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11gs7UNuh58hH7VPZJBm5VHpzE61cQ4WB\Finance shared\Covenants\2025\12. December 2025\Quona (Quarterly)\Q4 2025\"/>
    </mc:Choice>
  </mc:AlternateContent>
  <xr:revisionPtr revIDLastSave="0" documentId="13_ncr:1_{EA07BBDC-6CEB-456F-8F43-5A84F25D0195}" xr6:coauthVersionLast="47" xr6:coauthVersionMax="47" xr10:uidLastSave="{00000000-0000-0000-0000-000000000000}"/>
  <bookViews>
    <workbookView xWindow="-108" yWindow="-108" windowWidth="23256" windowHeight="13896" tabRatio="947" xr2:uid="{00000000-000D-0000-FFFF-FFFF00000000}"/>
  </bookViews>
  <sheets>
    <sheet name="KPI's" sheetId="16" r:id="rId1"/>
    <sheet name="P&amp;L -Dec25" sheetId="1" r:id="rId2"/>
    <sheet name="Balance Sheet - Dec25" sheetId="2" r:id="rId3"/>
    <sheet name="Notes - Dec25" sheetId="3" r:id="rId4"/>
    <sheet name="Debt funding - Dec25" sheetId="4" r:id="rId5"/>
    <sheet name="Advance Analysis - Dec25" sheetId="10" r:id="rId6"/>
    <sheet name="Exposure Analysis - Dec25" sheetId="8" state="hidden" r:id="rId7"/>
    <sheet name="Liquidity Gap Analysis - Dec25" sheetId="13" r:id="rId8"/>
    <sheet name="Covenants - Dec25" sheetId="9" r:id="rId9"/>
    <sheet name="PB_CACHE_JS" sheetId="15" state="very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FDS_HYPERLINK_TOGGLE_STATE__" hidden="1">"ON"</definedName>
    <definedName name="_1_0REPLA" localSheetId="0">[2]PXMODEL!#REF!</definedName>
    <definedName name="_1_0REPLA">#REF!</definedName>
    <definedName name="_2_0pric" localSheetId="0">[3]Sheet1!#REF!</definedName>
    <definedName name="_2_0pric">#REF!</definedName>
    <definedName name="_3_0TAB" localSheetId="0">[2]PXMODEL!#REF!</definedName>
    <definedName name="_3_0TAB">#REF!</definedName>
    <definedName name="_4_0TAB" localSheetId="0">[2]PXMODEL!#REF!</definedName>
    <definedName name="_4_0TAB">#REF!</definedName>
    <definedName name="_5_0TAB" localSheetId="0">[2]PXMODEL!#REF!</definedName>
    <definedName name="_5_0TAB">#REF!</definedName>
    <definedName name="_xlnm._FilterDatabase" localSheetId="5" hidden="1">'Advance Analysis - Dec25'!$B$3:$J$3</definedName>
    <definedName name="_xlnm._FilterDatabase" localSheetId="4" hidden="1">'Debt funding - Dec25'!$B$5:$ED$26</definedName>
    <definedName name="_Order1" hidden="1">255</definedName>
    <definedName name="_Order2" hidden="1">255</definedName>
    <definedName name="_Table1_In1" localSheetId="0" hidden="1">#REF!</definedName>
    <definedName name="_Table1_In1">#REF!</definedName>
    <definedName name="_Table1_Out" localSheetId="0" hidden="1">#REF!</definedName>
    <definedName name="_Table1_Out">#REF!</definedName>
    <definedName name="AllData" localSheetId="0">[5]Data!$F$5:$BS$240</definedName>
    <definedName name="AllData">#REF!</definedName>
    <definedName name="Alt_Chk_1_Hdg" localSheetId="0" hidden="1">[6]BS_Hist_TA!$B$1</definedName>
    <definedName name="Alt_Chk_1_Hdg" hidden="1">#REF!</definedName>
    <definedName name="Alt_Chk_14_Hdg" localSheetId="0" hidden="1">[6]BS_Fcast_TO!$B$1</definedName>
    <definedName name="Alt_Chk_14_Hdg" hidden="1">#REF!</definedName>
    <definedName name="Alt_Chk_15_Hdg" localSheetId="0" hidden="1">[6]Fcast_OP_TO!$C$117</definedName>
    <definedName name="Alt_Chk_15_Hdg" hidden="1">#REF!</definedName>
    <definedName name="Alt_Chk_2_Hdg" localSheetId="0" hidden="1">[6]BS_Hist_TO!$B$1</definedName>
    <definedName name="Alt_Chk_2_Hdg" hidden="1">#REF!</definedName>
    <definedName name="AS2DocOpenMode" hidden="1">"AS2DocumentEdit"</definedName>
    <definedName name="AS2HasNoAutoHeaderFooter" hidden="1">" "</definedName>
    <definedName name="asda">#REF!</definedName>
    <definedName name="Asia_Pipeline_Biolight" localSheetId="0">'[7]GP - Pipeline'!$J$8:$J$127</definedName>
    <definedName name="Asia_Pipeline_Biolight">#REF!</definedName>
    <definedName name="Asia_Pipeline_Eco" localSheetId="0">'[7]GP - Pipeline'!$E$8:$E$127</definedName>
    <definedName name="Asia_Pipeline_Eco">#REF!</definedName>
    <definedName name="Asia_Pipeline_Eco_mini" localSheetId="0">'[7]GP - Pipeline'!$M$135:$M$254</definedName>
    <definedName name="Asia_Pipeline_Eco_mini">#REF!</definedName>
    <definedName name="Asia_Pipeline_Est_Ship_Quarter" localSheetId="0">'[7]GP - Pipeline'!$O$8:$O$127</definedName>
    <definedName name="Asia_Pipeline_Est_Ship_Quarter">#REF!</definedName>
    <definedName name="Asia_Pipeline_Home_System_10W" localSheetId="0">'[7]GP - Pipeline'!$L$8:$L$127</definedName>
    <definedName name="Asia_Pipeline_Home_System_10W">#REF!</definedName>
    <definedName name="Asia_Pipeline_Home_System_5w" localSheetId="0">'[7]GP - Pipeline'!$K$8:$K$127</definedName>
    <definedName name="Asia_Pipeline_Home_System_5w">#REF!</definedName>
    <definedName name="Asia_Pipeline_Mobile" localSheetId="0">'[7]GP - Pipeline'!$I$8:$I$127</definedName>
    <definedName name="Asia_Pipeline_Mobile">#REF!</definedName>
    <definedName name="Asia_Pipeline_Pro" localSheetId="0">'[7]GP - Pipeline'!$G$8:$G$127</definedName>
    <definedName name="Asia_Pipeline_Pro">#REF!</definedName>
    <definedName name="Asia_Pipeline_Pro2" localSheetId="0">'[7]GP - Pipeline'!$H$8:$H$127</definedName>
    <definedName name="Asia_Pipeline_Pro2">#REF!</definedName>
    <definedName name="Asia_Pipeline_Solo" localSheetId="0">'[7]GP - Pipeline'!$F$8:$F$127</definedName>
    <definedName name="Asia_Pipeline_Solo">#REF!</definedName>
    <definedName name="astq" localSheetId="0">#REF!</definedName>
    <definedName name="astq">#REF!</definedName>
    <definedName name="bal" localSheetId="0">#REF!</definedName>
    <definedName name="bal">#REF!</definedName>
    <definedName name="balstr" localSheetId="0">#REF!</definedName>
    <definedName name="balstr">#REF!</definedName>
    <definedName name="BLPH1" localSheetId="0" hidden="1">#REF!</definedName>
    <definedName name="BLPH1">#REF!</definedName>
    <definedName name="BLPH2" localSheetId="0" hidden="1">#REF!</definedName>
    <definedName name="BLPH2">#REF!</definedName>
    <definedName name="BLPH3" localSheetId="0" hidden="1">#REF!</definedName>
    <definedName name="BLPH3">#REF!</definedName>
    <definedName name="brneng" localSheetId="0">#REF!</definedName>
    <definedName name="brneng">#REF!</definedName>
    <definedName name="brneng2" localSheetId="0">#REF!</definedName>
    <definedName name="brneng2">#REF!</definedName>
    <definedName name="brneng3" localSheetId="0">#REF!</definedName>
    <definedName name="brneng3">#REF!</definedName>
    <definedName name="brnfrn" localSheetId="0">#REF!</definedName>
    <definedName name="brnfrn">#REF!</definedName>
    <definedName name="brnspn" localSheetId="0">#REF!</definedName>
    <definedName name="brnspn">#REF!</definedName>
    <definedName name="dat" localSheetId="0">#REF!</definedName>
    <definedName name="dat">#REF!</definedName>
    <definedName name="dateng" localSheetId="0">[5]Data!#REF!</definedName>
    <definedName name="dateng">#REF!</definedName>
    <definedName name="dateng1" localSheetId="0">[5]Data!#REF!</definedName>
    <definedName name="dateng1">#REF!</definedName>
    <definedName name="datfrn" localSheetId="0">[5]Data!#REF!</definedName>
    <definedName name="datfrn">#REF!</definedName>
    <definedName name="datfrn1" localSheetId="0">[5]Data!#REF!</definedName>
    <definedName name="datfrn1">#REF!</definedName>
    <definedName name="datspn" localSheetId="0">[5]Data!#REF!</definedName>
    <definedName name="datspn">#REF!</definedName>
    <definedName name="datspn1" localSheetId="0">[5]Data!#REF!</definedName>
    <definedName name="datspn1">#REF!</definedName>
    <definedName name="debeng" localSheetId="0">#REF!</definedName>
    <definedName name="debeng">#REF!</definedName>
    <definedName name="debfrn" localSheetId="0">#REF!</definedName>
    <definedName name="debfrn">#REF!</definedName>
    <definedName name="debspn" localSheetId="0">#REF!</definedName>
    <definedName name="debspn">#REF!</definedName>
    <definedName name="efficiency" localSheetId="0">#REF!</definedName>
    <definedName name="efficiency">#REF!</definedName>
    <definedName name="eqeng" localSheetId="0">#REF!</definedName>
    <definedName name="eqeng">#REF!</definedName>
    <definedName name="eqfrn" localSheetId="0">#REF!</definedName>
    <definedName name="eqfrn">#REF!</definedName>
    <definedName name="eqspn" localSheetId="0">#REF!</definedName>
    <definedName name="eqspn">#REF!</definedName>
    <definedName name="Err_Chk_1_Hdg" localSheetId="0" hidden="1">[6]Fcast_OP_TO!$C$27</definedName>
    <definedName name="Err_Chk_1_Hdg" hidden="1">#REF!</definedName>
    <definedName name="Err_Chk_11_Hdg" localSheetId="0" hidden="1">[6]IS_Fcast_TO!$B$1</definedName>
    <definedName name="Err_Chk_11_Hdg" hidden="1">#REF!</definedName>
    <definedName name="Err_Chk_13_Hdg" localSheetId="0" hidden="1">[6]BS_Fcast_TO!$B$1</definedName>
    <definedName name="Err_Chk_13_Hdg" hidden="1">#REF!</definedName>
    <definedName name="Err_Chk_14_Hdg" localSheetId="0" hidden="1">#REF!</definedName>
    <definedName name="Err_Chk_14_Hdg">#REF!</definedName>
    <definedName name="Err_Chk_15_Hdg" localSheetId="0" hidden="1">[6]Fcast_OP_TO!$C$117</definedName>
    <definedName name="Err_Chk_15_Hdg" hidden="1">#REF!</definedName>
    <definedName name="Err_Chk_2_Hdg" localSheetId="0" hidden="1">[6]Fcast_OP_TO!$C$44</definedName>
    <definedName name="Err_Chk_2_Hdg" hidden="1">#REF!</definedName>
    <definedName name="Err_Chk_3_Hdg" localSheetId="0" hidden="1">[6]Fcast_OP_TO!$C$64</definedName>
    <definedName name="Err_Chk_3_Hdg" hidden="1">#REF!</definedName>
    <definedName name="Err_Chk_4_Hdg" localSheetId="0" hidden="1">[6]Fcast_OP_TO!$C$76</definedName>
    <definedName name="Err_Chk_4_Hdg" hidden="1">#REF!</definedName>
    <definedName name="FDP_0_1_aUrv" localSheetId="0" hidden="1">#REF!</definedName>
    <definedName name="FDP_0_1_aUrv">#REF!</definedName>
    <definedName name="FDP_1_1_aUrv" localSheetId="0" hidden="1">#REF!</definedName>
    <definedName name="FDP_1_1_aUrv">#REF!</definedName>
    <definedName name="FDP_10_1_aDrv" localSheetId="0" hidden="1">#REF!</definedName>
    <definedName name="FDP_10_1_aDrv">#REF!</definedName>
    <definedName name="FDP_100_1_aUrv" localSheetId="0" hidden="1">#REF!</definedName>
    <definedName name="FDP_100_1_aUrv">#REF!</definedName>
    <definedName name="FDP_101_1_aUrv" localSheetId="0" hidden="1">#REF!</definedName>
    <definedName name="FDP_101_1_aUrv">#REF!</definedName>
    <definedName name="FDP_102_1_aUrv" localSheetId="0" hidden="1">#REF!</definedName>
    <definedName name="FDP_102_1_aUrv">#REF!</definedName>
    <definedName name="FDP_103_1_aUrv" localSheetId="0" hidden="1">#REF!</definedName>
    <definedName name="FDP_103_1_aUrv">#REF!</definedName>
    <definedName name="FDP_104_1_aUrv" localSheetId="0" hidden="1">#REF!</definedName>
    <definedName name="FDP_104_1_aUrv">#REF!</definedName>
    <definedName name="FDP_105_1_aUrv" localSheetId="0" hidden="1">#REF!</definedName>
    <definedName name="FDP_105_1_aUrv">#REF!</definedName>
    <definedName name="FDP_106_1_aUrv" localSheetId="0" hidden="1">#REF!</definedName>
    <definedName name="FDP_106_1_aUrv">#REF!</definedName>
    <definedName name="FDP_107_1_aUrv" localSheetId="0" hidden="1">#REF!</definedName>
    <definedName name="FDP_107_1_aUrv">#REF!</definedName>
    <definedName name="FDP_108_1_aUrv" localSheetId="0" hidden="1">#REF!</definedName>
    <definedName name="FDP_108_1_aUrv">#REF!</definedName>
    <definedName name="FDP_109_1_aUrv" localSheetId="0" hidden="1">#REF!</definedName>
    <definedName name="FDP_109_1_aUrv">#REF!</definedName>
    <definedName name="FDP_11_1_aDrv" localSheetId="0" hidden="1">#REF!</definedName>
    <definedName name="FDP_11_1_aDrv">#REF!</definedName>
    <definedName name="FDP_110_1_aUrv" localSheetId="0" hidden="1">#REF!</definedName>
    <definedName name="FDP_110_1_aUrv">#REF!</definedName>
    <definedName name="FDP_111_1_aUrv" localSheetId="0" hidden="1">#REF!</definedName>
    <definedName name="FDP_111_1_aUrv">#REF!</definedName>
    <definedName name="FDP_112_1_aUrv" localSheetId="0" hidden="1">#REF!</definedName>
    <definedName name="FDP_112_1_aUrv">#REF!</definedName>
    <definedName name="FDP_113_1_aUrv" localSheetId="0" hidden="1">#REF!</definedName>
    <definedName name="FDP_113_1_aUrv">#REF!</definedName>
    <definedName name="FDP_114_1_aUrv" localSheetId="0" hidden="1">#REF!</definedName>
    <definedName name="FDP_114_1_aUrv">#REF!</definedName>
    <definedName name="FDP_115_1_aUrv" localSheetId="0" hidden="1">#REF!</definedName>
    <definedName name="FDP_115_1_aUrv">#REF!</definedName>
    <definedName name="FDP_116_1_aUrv" localSheetId="0" hidden="1">#REF!</definedName>
    <definedName name="FDP_116_1_aUrv">#REF!</definedName>
    <definedName name="FDP_117_1_aUrv" localSheetId="0" hidden="1">#REF!</definedName>
    <definedName name="FDP_117_1_aUrv">#REF!</definedName>
    <definedName name="FDP_118_1_aUrv" localSheetId="0" hidden="1">#REF!</definedName>
    <definedName name="FDP_118_1_aUrv">#REF!</definedName>
    <definedName name="FDP_119_1_aUrv" localSheetId="0" hidden="1">#REF!</definedName>
    <definedName name="FDP_119_1_aUrv">#REF!</definedName>
    <definedName name="FDP_12_1_aDrv" localSheetId="0" hidden="1">#REF!</definedName>
    <definedName name="FDP_12_1_aDrv">#REF!</definedName>
    <definedName name="FDP_120_1_aUrv" localSheetId="0" hidden="1">#REF!</definedName>
    <definedName name="FDP_120_1_aUrv">#REF!</definedName>
    <definedName name="FDP_121_1_aUrv" localSheetId="0" hidden="1">#REF!</definedName>
    <definedName name="FDP_121_1_aUrv">#REF!</definedName>
    <definedName name="FDP_122_1_aUrv" localSheetId="0" hidden="1">#REF!</definedName>
    <definedName name="FDP_122_1_aUrv">#REF!</definedName>
    <definedName name="FDP_123_1_aUrv" localSheetId="0" hidden="1">#REF!</definedName>
    <definedName name="FDP_123_1_aUrv">#REF!</definedName>
    <definedName name="FDP_124_1_aUrv" localSheetId="0" hidden="1">#REF!</definedName>
    <definedName name="FDP_124_1_aUrv">#REF!</definedName>
    <definedName name="FDP_125_1_aUrv" localSheetId="0" hidden="1">#REF!</definedName>
    <definedName name="FDP_125_1_aUrv">#REF!</definedName>
    <definedName name="FDP_126_1_aUrv" localSheetId="0" hidden="1">#REF!</definedName>
    <definedName name="FDP_126_1_aUrv">#REF!</definedName>
    <definedName name="FDP_127_1_aUrv" localSheetId="0" hidden="1">#REF!</definedName>
    <definedName name="FDP_127_1_aUrv">#REF!</definedName>
    <definedName name="FDP_128_1_aUrv" localSheetId="0" hidden="1">#REF!</definedName>
    <definedName name="FDP_128_1_aUrv">#REF!</definedName>
    <definedName name="FDP_129_1_aUrv" localSheetId="0" hidden="1">#REF!</definedName>
    <definedName name="FDP_129_1_aUrv">#REF!</definedName>
    <definedName name="FDP_13_1_aUrv" localSheetId="0" hidden="1">#REF!</definedName>
    <definedName name="FDP_13_1_aUrv">#REF!</definedName>
    <definedName name="FDP_130_1_aUrv" localSheetId="0" hidden="1">#REF!</definedName>
    <definedName name="FDP_130_1_aUrv">#REF!</definedName>
    <definedName name="FDP_131_1_aSrv" localSheetId="0" hidden="1">#REF!</definedName>
    <definedName name="FDP_131_1_aSrv">#REF!</definedName>
    <definedName name="FDP_132_1_aUrv" localSheetId="0" hidden="1">#REF!</definedName>
    <definedName name="FDP_132_1_aUrv">#REF!</definedName>
    <definedName name="FDP_133_1_aUrv" localSheetId="0" hidden="1">#REF!</definedName>
    <definedName name="FDP_133_1_aUrv">#REF!</definedName>
    <definedName name="FDP_134_1_aUrv" localSheetId="0" hidden="1">#REF!</definedName>
    <definedName name="FDP_134_1_aUrv">#REF!</definedName>
    <definedName name="FDP_135_1_aUrv" localSheetId="0" hidden="1">#REF!</definedName>
    <definedName name="FDP_135_1_aUrv">#REF!</definedName>
    <definedName name="FDP_136_1_aSrv" localSheetId="0" hidden="1">#REF!</definedName>
    <definedName name="FDP_136_1_aSrv">#REF!</definedName>
    <definedName name="FDP_137_1_aUrv" localSheetId="0" hidden="1">#REF!</definedName>
    <definedName name="FDP_137_1_aUrv">#REF!</definedName>
    <definedName name="FDP_138_1_aUrv" localSheetId="0" hidden="1">#REF!</definedName>
    <definedName name="FDP_138_1_aUrv">#REF!</definedName>
    <definedName name="FDP_139_1_aUrv" localSheetId="0" hidden="1">#REF!</definedName>
    <definedName name="FDP_139_1_aUrv">#REF!</definedName>
    <definedName name="FDP_14_1_aUrv" localSheetId="0" hidden="1">#REF!</definedName>
    <definedName name="FDP_14_1_aUrv">#REF!</definedName>
    <definedName name="FDP_140_1_aUrv" localSheetId="0" hidden="1">#REF!</definedName>
    <definedName name="FDP_140_1_aUrv">#REF!</definedName>
    <definedName name="FDP_141_1_aUrv" localSheetId="0" hidden="1">#REF!</definedName>
    <definedName name="FDP_141_1_aUrv">#REF!</definedName>
    <definedName name="FDP_142_1_aUrv" localSheetId="0" hidden="1">#REF!</definedName>
    <definedName name="FDP_142_1_aUrv">#REF!</definedName>
    <definedName name="FDP_143_1_aUrv" localSheetId="0" hidden="1">#REF!</definedName>
    <definedName name="FDP_143_1_aUrv">#REF!</definedName>
    <definedName name="FDP_144_1_aUrv" localSheetId="0" hidden="1">#REF!</definedName>
    <definedName name="FDP_144_1_aUrv">#REF!</definedName>
    <definedName name="FDP_145_1_aUrv" localSheetId="0" hidden="1">#REF!</definedName>
    <definedName name="FDP_145_1_aUrv">#REF!</definedName>
    <definedName name="FDP_146_1_aUrv" localSheetId="0" hidden="1">#REF!</definedName>
    <definedName name="FDP_146_1_aUrv">#REF!</definedName>
    <definedName name="FDP_147_1_aUrv" localSheetId="0" hidden="1">#REF!</definedName>
    <definedName name="FDP_147_1_aUrv">#REF!</definedName>
    <definedName name="FDP_148_1_aUrv" localSheetId="0" hidden="1">#REF!</definedName>
    <definedName name="FDP_148_1_aUrv">#REF!</definedName>
    <definedName name="FDP_149_1_aUrv" localSheetId="0" hidden="1">#REF!</definedName>
    <definedName name="FDP_149_1_aUrv">#REF!</definedName>
    <definedName name="FDP_15_1_aUrv" localSheetId="0" hidden="1">#REF!</definedName>
    <definedName name="FDP_15_1_aUrv">#REF!</definedName>
    <definedName name="FDP_150_1_aSrv" localSheetId="0" hidden="1">#REF!</definedName>
    <definedName name="FDP_150_1_aSrv">#REF!</definedName>
    <definedName name="FDP_151_1_aUrv" localSheetId="0" hidden="1">#REF!</definedName>
    <definedName name="FDP_151_1_aUrv">#REF!</definedName>
    <definedName name="FDP_152_1_aSrv" localSheetId="0" hidden="1">#REF!</definedName>
    <definedName name="FDP_152_1_aSrv">#REF!</definedName>
    <definedName name="FDP_153_1_aUrv" localSheetId="0" hidden="1">#REF!</definedName>
    <definedName name="FDP_153_1_aUrv">#REF!</definedName>
    <definedName name="FDP_154_1_aSrv" localSheetId="0" hidden="1">#REF!</definedName>
    <definedName name="FDP_154_1_aSrv">#REF!</definedName>
    <definedName name="FDP_155_1_aUrv" localSheetId="0" hidden="1">#REF!</definedName>
    <definedName name="FDP_155_1_aUrv">#REF!</definedName>
    <definedName name="FDP_156_1_aSrv" localSheetId="0" hidden="1">#REF!</definedName>
    <definedName name="FDP_156_1_aSrv">#REF!</definedName>
    <definedName name="FDP_157_1_aUrv" localSheetId="0" hidden="1">#REF!</definedName>
    <definedName name="FDP_157_1_aUrv">#REF!</definedName>
    <definedName name="FDP_158_1_aSrv" localSheetId="0" hidden="1">#REF!</definedName>
    <definedName name="FDP_158_1_aSrv">#REF!</definedName>
    <definedName name="FDP_159_1_aUrv" localSheetId="0" hidden="1">#REF!</definedName>
    <definedName name="FDP_159_1_aUrv">#REF!</definedName>
    <definedName name="FDP_16_1_aUrv" localSheetId="0" hidden="1">#REF!</definedName>
    <definedName name="FDP_16_1_aUrv">#REF!</definedName>
    <definedName name="FDP_160_1_aSrv" localSheetId="0" hidden="1">#REF!</definedName>
    <definedName name="FDP_160_1_aSrv">#REF!</definedName>
    <definedName name="FDP_161_1_aDrv" localSheetId="0" hidden="1">#REF!</definedName>
    <definedName name="FDP_161_1_aDrv">#REF!</definedName>
    <definedName name="FDP_162_1_aDrv" localSheetId="0" hidden="1">#REF!</definedName>
    <definedName name="FDP_162_1_aDrv">#REF!</definedName>
    <definedName name="FDP_163_1_aDrv" localSheetId="0" hidden="1">#REF!</definedName>
    <definedName name="FDP_163_1_aDrv">#REF!</definedName>
    <definedName name="FDP_164_1_aDrv" localSheetId="0" hidden="1">#REF!</definedName>
    <definedName name="FDP_164_1_aDrv">#REF!</definedName>
    <definedName name="FDP_165_1_aDrv" localSheetId="0" hidden="1">#REF!</definedName>
    <definedName name="FDP_165_1_aDrv">#REF!</definedName>
    <definedName name="FDP_166_1_aDrv" localSheetId="0" hidden="1">#REF!</definedName>
    <definedName name="FDP_166_1_aDrv">#REF!</definedName>
    <definedName name="FDP_167_1_aDrv" localSheetId="0" hidden="1">#REF!</definedName>
    <definedName name="FDP_167_1_aDrv">#REF!</definedName>
    <definedName name="FDP_168_1_aDrv" localSheetId="0" hidden="1">#REF!</definedName>
    <definedName name="FDP_168_1_aDrv">#REF!</definedName>
    <definedName name="FDP_169_1_aDrv" localSheetId="0" hidden="1">#REF!</definedName>
    <definedName name="FDP_169_1_aDrv">#REF!</definedName>
    <definedName name="FDP_17_1_aUrv" localSheetId="0" hidden="1">#REF!</definedName>
    <definedName name="FDP_17_1_aUrv">#REF!</definedName>
    <definedName name="FDP_170_1_aDrv" localSheetId="0" hidden="1">#REF!</definedName>
    <definedName name="FDP_170_1_aDrv">#REF!</definedName>
    <definedName name="FDP_171_1_aDrv" localSheetId="0" hidden="1">#REF!</definedName>
    <definedName name="FDP_171_1_aDrv">#REF!</definedName>
    <definedName name="FDP_172_1_aDrv" localSheetId="0" hidden="1">#REF!</definedName>
    <definedName name="FDP_172_1_aDrv">#REF!</definedName>
    <definedName name="FDP_173_1_aDrv" localSheetId="0" hidden="1">#REF!</definedName>
    <definedName name="FDP_173_1_aDrv">#REF!</definedName>
    <definedName name="FDP_174_1_aUrv" localSheetId="0" hidden="1">#REF!</definedName>
    <definedName name="FDP_174_1_aUrv">#REF!</definedName>
    <definedName name="FDP_175_1_aUrv" localSheetId="0" hidden="1">#REF!</definedName>
    <definedName name="FDP_175_1_aUrv">#REF!</definedName>
    <definedName name="FDP_176_1_aUrv" localSheetId="0" hidden="1">#REF!</definedName>
    <definedName name="FDP_176_1_aUrv">#REF!</definedName>
    <definedName name="FDP_177_1_aUrv" localSheetId="0" hidden="1">#REF!</definedName>
    <definedName name="FDP_177_1_aUrv">#REF!</definedName>
    <definedName name="FDP_178_1_aUrv" localSheetId="0" hidden="1">#REF!</definedName>
    <definedName name="FDP_178_1_aUrv">#REF!</definedName>
    <definedName name="FDP_179_1_aUrv" localSheetId="0" hidden="1">#REF!</definedName>
    <definedName name="FDP_179_1_aUrv">#REF!</definedName>
    <definedName name="FDP_18_1_aUrv" localSheetId="0" hidden="1">#REF!</definedName>
    <definedName name="FDP_18_1_aUrv">#REF!</definedName>
    <definedName name="FDP_180_1_aUdv" localSheetId="0" hidden="1">#REF!</definedName>
    <definedName name="FDP_180_1_aUdv">#REF!</definedName>
    <definedName name="FDP_181_1_aUdv" localSheetId="0" hidden="1">#REF!</definedName>
    <definedName name="FDP_181_1_aUdv">#REF!</definedName>
    <definedName name="FDP_182_1_aUdv" localSheetId="0" hidden="1">#REF!</definedName>
    <definedName name="FDP_182_1_aUdv">#REF!</definedName>
    <definedName name="FDP_183_1_aUdv" localSheetId="0" hidden="1">#REF!</definedName>
    <definedName name="FDP_183_1_aUdv">#REF!</definedName>
    <definedName name="FDP_184_1_aUdv" localSheetId="0" hidden="1">#REF!</definedName>
    <definedName name="FDP_184_1_aUdv">#REF!</definedName>
    <definedName name="FDP_185_1_aUdv" localSheetId="0" hidden="1">#REF!</definedName>
    <definedName name="FDP_185_1_aUdv">#REF!</definedName>
    <definedName name="FDP_186_1_aUdv" localSheetId="0" hidden="1">#REF!</definedName>
    <definedName name="FDP_186_1_aUdv">#REF!</definedName>
    <definedName name="FDP_187_1_aUdv" localSheetId="0" hidden="1">#REF!</definedName>
    <definedName name="FDP_187_1_aUdv">#REF!</definedName>
    <definedName name="FDP_188_1_aUdv" localSheetId="0" hidden="1">#REF!</definedName>
    <definedName name="FDP_188_1_aUdv">#REF!</definedName>
    <definedName name="FDP_189_1_aUdv" localSheetId="0" hidden="1">#REF!</definedName>
    <definedName name="FDP_189_1_aUdv">#REF!</definedName>
    <definedName name="FDP_19_1_aUrv" localSheetId="0" hidden="1">#REF!</definedName>
    <definedName name="FDP_19_1_aUrv">#REF!</definedName>
    <definedName name="FDP_190_1_aUdv" localSheetId="0" hidden="1">#REF!</definedName>
    <definedName name="FDP_190_1_aUdv">#REF!</definedName>
    <definedName name="FDP_191_1_aUdv" localSheetId="0" hidden="1">#REF!</definedName>
    <definedName name="FDP_191_1_aUdv">#REF!</definedName>
    <definedName name="FDP_192_1_aUdv" localSheetId="0" hidden="1">#REF!</definedName>
    <definedName name="FDP_192_1_aUdv">#REF!</definedName>
    <definedName name="FDP_193_1_aUdv" localSheetId="0" hidden="1">#REF!</definedName>
    <definedName name="FDP_193_1_aUdv">#REF!</definedName>
    <definedName name="FDP_194_1_aUdv" localSheetId="0" hidden="1">#REF!</definedName>
    <definedName name="FDP_194_1_aUdv">#REF!</definedName>
    <definedName name="FDP_195_1_aUdv" localSheetId="0" hidden="1">#REF!</definedName>
    <definedName name="FDP_195_1_aUdv">#REF!</definedName>
    <definedName name="FDP_196_1_aUdv" localSheetId="0" hidden="1">#REF!</definedName>
    <definedName name="FDP_196_1_aUdv">#REF!</definedName>
    <definedName name="FDP_196_1aUdv1" localSheetId="0" hidden="1">#REF!</definedName>
    <definedName name="FDP_196_1aUdv1">#REF!</definedName>
    <definedName name="FDP_197_1_aUdv" localSheetId="0" hidden="1">#REF!</definedName>
    <definedName name="FDP_197_1_aUdv">#REF!</definedName>
    <definedName name="FDP_198_1_aUdv" localSheetId="0" hidden="1">#REF!</definedName>
    <definedName name="FDP_198_1_aUdv">#REF!</definedName>
    <definedName name="FDP_199_1_aUdv" localSheetId="0" hidden="1">#REF!</definedName>
    <definedName name="FDP_199_1_aUdv">#REF!</definedName>
    <definedName name="FDP_2_1_aUrv" localSheetId="0" hidden="1">#REF!</definedName>
    <definedName name="FDP_2_1_aUrv">#REF!</definedName>
    <definedName name="FDP_20_1_aUrv" localSheetId="0" hidden="1">#REF!</definedName>
    <definedName name="FDP_20_1_aUrv">#REF!</definedName>
    <definedName name="FDP_21_1_aUrv" localSheetId="0" hidden="1">#REF!</definedName>
    <definedName name="FDP_21_1_aUrv">#REF!</definedName>
    <definedName name="FDP_22_1_aUrv" localSheetId="0" hidden="1">#REF!</definedName>
    <definedName name="FDP_22_1_aUrv">#REF!</definedName>
    <definedName name="FDP_23_1_aDrv" localSheetId="0" hidden="1">#REF!</definedName>
    <definedName name="FDP_23_1_aDrv">#REF!</definedName>
    <definedName name="FDP_24_1_aUrv" localSheetId="0" hidden="1">#REF!</definedName>
    <definedName name="FDP_24_1_aUrv">#REF!</definedName>
    <definedName name="FDP_25_1_aUrv" localSheetId="0" hidden="1">#REF!</definedName>
    <definedName name="FDP_25_1_aUrv">#REF!</definedName>
    <definedName name="FDP_26_1_aUrv" localSheetId="0" hidden="1">#REF!</definedName>
    <definedName name="FDP_26_1_aUrv">#REF!</definedName>
    <definedName name="FDP_27_1_aUrv" localSheetId="0" hidden="1">#REF!</definedName>
    <definedName name="FDP_27_1_aUrv">#REF!</definedName>
    <definedName name="FDP_28_1_aUrv" localSheetId="0" hidden="1">#REF!</definedName>
    <definedName name="FDP_28_1_aUrv">#REF!</definedName>
    <definedName name="FDP_29_1_aDrv" localSheetId="0" hidden="1">#REF!</definedName>
    <definedName name="FDP_29_1_aDrv">#REF!</definedName>
    <definedName name="FDP_3_1_aUrv" localSheetId="0" hidden="1">#REF!</definedName>
    <definedName name="FDP_3_1_aUrv">#REF!</definedName>
    <definedName name="FDP_30_1_aUrv" localSheetId="0" hidden="1">#REF!</definedName>
    <definedName name="FDP_30_1_aUrv">#REF!</definedName>
    <definedName name="FDP_31_1_aUrv" localSheetId="0" hidden="1">#REF!</definedName>
    <definedName name="FDP_31_1_aUrv">#REF!</definedName>
    <definedName name="FDP_32_1_aUrv" localSheetId="0" hidden="1">#REF!</definedName>
    <definedName name="FDP_32_1_aUrv">#REF!</definedName>
    <definedName name="FDP_33_1_aUrv" localSheetId="0" hidden="1">#REF!</definedName>
    <definedName name="FDP_33_1_aUrv">#REF!</definedName>
    <definedName name="FDP_34_1_aUrv" localSheetId="0" hidden="1">#REF!</definedName>
    <definedName name="FDP_34_1_aUrv">#REF!</definedName>
    <definedName name="FDP_35_1_aSrv" localSheetId="0" hidden="1">#REF!</definedName>
    <definedName name="FDP_35_1_aSrv">#REF!</definedName>
    <definedName name="FDP_36_1_aUrv" localSheetId="0" hidden="1">#REF!</definedName>
    <definedName name="FDP_36_1_aUrv">#REF!</definedName>
    <definedName name="FDP_37_1_aUrv" localSheetId="0" hidden="1">#REF!</definedName>
    <definedName name="FDP_37_1_aUrv">#REF!</definedName>
    <definedName name="FDP_38_1_aUrv" localSheetId="0" hidden="1">#REF!</definedName>
    <definedName name="FDP_38_1_aUrv">#REF!</definedName>
    <definedName name="FDP_39_1_aUrv" localSheetId="0" hidden="1">#REF!</definedName>
    <definedName name="FDP_39_1_aUrv">#REF!</definedName>
    <definedName name="FDP_4_1_aUrv" localSheetId="0" hidden="1">#REF!</definedName>
    <definedName name="FDP_4_1_aUrv">#REF!</definedName>
    <definedName name="FDP_40_1_aUrv" localSheetId="0" hidden="1">#REF!</definedName>
    <definedName name="FDP_40_1_aUrv">#REF!</definedName>
    <definedName name="FDP_41_1_aSrv" localSheetId="0" hidden="1">#REF!</definedName>
    <definedName name="FDP_41_1_aSrv">#REF!</definedName>
    <definedName name="FDP_42_1_aSrv" localSheetId="0" hidden="1">#REF!</definedName>
    <definedName name="FDP_42_1_aSrv">#REF!</definedName>
    <definedName name="FDP_43_1_aUrv" localSheetId="0" hidden="1">#REF!</definedName>
    <definedName name="FDP_43_1_aUrv">#REF!</definedName>
    <definedName name="FDP_44_1_aUrv" localSheetId="0" hidden="1">#REF!</definedName>
    <definedName name="FDP_44_1_aUrv">#REF!</definedName>
    <definedName name="FDP_45_1_aUrv" localSheetId="0" hidden="1">#REF!</definedName>
    <definedName name="FDP_45_1_aUrv">#REF!</definedName>
    <definedName name="FDP_46_1_aUrv" localSheetId="0" hidden="1">#REF!</definedName>
    <definedName name="FDP_46_1_aUrv">#REF!</definedName>
    <definedName name="FDP_47_1_aUrv" localSheetId="0" hidden="1">#REF!</definedName>
    <definedName name="FDP_47_1_aUrv">#REF!</definedName>
    <definedName name="FDP_48_1_aSrv" localSheetId="0" hidden="1">#REF!</definedName>
    <definedName name="FDP_48_1_aSrv">#REF!</definedName>
    <definedName name="FDP_49_1_aUrv" localSheetId="0" hidden="1">#REF!</definedName>
    <definedName name="FDP_49_1_aUrv">#REF!</definedName>
    <definedName name="FDP_5_1_aUrv" localSheetId="0" hidden="1">#REF!</definedName>
    <definedName name="FDP_5_1_aUrv">#REF!</definedName>
    <definedName name="FDP_50_1_aUrv" localSheetId="0" hidden="1">#REF!</definedName>
    <definedName name="FDP_50_1_aUrv">#REF!</definedName>
    <definedName name="FDP_51_1_aUrv" localSheetId="0" hidden="1">#REF!</definedName>
    <definedName name="FDP_51_1_aUrv">#REF!</definedName>
    <definedName name="FDP_52_1_aUrv" localSheetId="0" hidden="1">#REF!</definedName>
    <definedName name="FDP_52_1_aUrv">#REF!</definedName>
    <definedName name="FDP_53_1_aUrv" localSheetId="0" hidden="1">#REF!</definedName>
    <definedName name="FDP_53_1_aUrv">#REF!</definedName>
    <definedName name="FDP_54_1_aUrv" localSheetId="0" hidden="1">#REF!</definedName>
    <definedName name="FDP_54_1_aUrv">#REF!</definedName>
    <definedName name="FDP_55_1_aUrv" localSheetId="0" hidden="1">#REF!</definedName>
    <definedName name="FDP_55_1_aUrv">#REF!</definedName>
    <definedName name="FDP_56_1_aUrv" localSheetId="0" hidden="1">#REF!</definedName>
    <definedName name="FDP_56_1_aUrv">#REF!</definedName>
    <definedName name="FDP_57_1_aUrv" localSheetId="0" hidden="1">#REF!</definedName>
    <definedName name="FDP_57_1_aUrv">#REF!</definedName>
    <definedName name="FDP_58_1_aUrv" localSheetId="0" hidden="1">#REF!</definedName>
    <definedName name="FDP_58_1_aUrv">#REF!</definedName>
    <definedName name="FDP_59_1_aUrv" localSheetId="0" hidden="1">#REF!</definedName>
    <definedName name="FDP_59_1_aUrv">#REF!</definedName>
    <definedName name="FDP_6_1_aUrv" localSheetId="0" hidden="1">#REF!</definedName>
    <definedName name="FDP_6_1_aUrv">#REF!</definedName>
    <definedName name="FDP_60_1_aUrv" localSheetId="0" hidden="1">#REF!</definedName>
    <definedName name="FDP_60_1_aUrv">#REF!</definedName>
    <definedName name="FDP_61_1_aSrv" localSheetId="0" hidden="1">#REF!</definedName>
    <definedName name="FDP_61_1_aSrv">#REF!</definedName>
    <definedName name="FDP_62_1_aSrv" localSheetId="0" hidden="1">#REF!</definedName>
    <definedName name="FDP_62_1_aSrv">#REF!</definedName>
    <definedName name="FDP_63_1_aUrv" localSheetId="0" hidden="1">#REF!</definedName>
    <definedName name="FDP_63_1_aUrv">#REF!</definedName>
    <definedName name="FDP_64_1_aSrv" localSheetId="0" hidden="1">#REF!</definedName>
    <definedName name="FDP_64_1_aSrv">#REF!</definedName>
    <definedName name="FDP_65_1_aSrv" localSheetId="0" hidden="1">#REF!</definedName>
    <definedName name="FDP_65_1_aSrv">#REF!</definedName>
    <definedName name="FDP_66_1_aUrv" localSheetId="0" hidden="1">#REF!</definedName>
    <definedName name="FDP_66_1_aUrv">#REF!</definedName>
    <definedName name="FDP_67_1_aUrv" localSheetId="0" hidden="1">#REF!</definedName>
    <definedName name="FDP_67_1_aUrv">#REF!</definedName>
    <definedName name="FDP_68_1_aUrv" localSheetId="0" hidden="1">#REF!</definedName>
    <definedName name="FDP_68_1_aUrv">#REF!</definedName>
    <definedName name="FDP_69_1_aUrv" localSheetId="0" hidden="1">#REF!</definedName>
    <definedName name="FDP_69_1_aUrv">#REF!</definedName>
    <definedName name="FDP_7_1_aUrv" localSheetId="0" hidden="1">#REF!</definedName>
    <definedName name="FDP_7_1_aUrv">#REF!</definedName>
    <definedName name="FDP_70_1_aDrv" localSheetId="0" hidden="1">#REF!</definedName>
    <definedName name="FDP_70_1_aDrv">#REF!</definedName>
    <definedName name="FDP_71_1_aUrv" localSheetId="0" hidden="1">#REF!</definedName>
    <definedName name="FDP_71_1_aUrv">#REF!</definedName>
    <definedName name="FDP_72_1_aDrv" localSheetId="0" hidden="1">#REF!</definedName>
    <definedName name="FDP_72_1_aDrv">#REF!</definedName>
    <definedName name="FDP_73_1_aUrv" localSheetId="0" hidden="1">#REF!</definedName>
    <definedName name="FDP_73_1_aUrv">#REF!</definedName>
    <definedName name="FDP_74_1_aUrv" localSheetId="0" hidden="1">#REF!</definedName>
    <definedName name="FDP_74_1_aUrv">#REF!</definedName>
    <definedName name="FDP_75_1_aSrv" localSheetId="0" hidden="1">#REF!</definedName>
    <definedName name="FDP_75_1_aSrv">#REF!</definedName>
    <definedName name="FDP_76_1_aUrv" localSheetId="0" hidden="1">#REF!</definedName>
    <definedName name="FDP_76_1_aUrv">#REF!</definedName>
    <definedName name="FDP_77_1_aUrv" localSheetId="0" hidden="1">#REF!</definedName>
    <definedName name="FDP_77_1_aUrv">#REF!</definedName>
    <definedName name="FDP_78_1_aUrv" localSheetId="0" hidden="1">#REF!</definedName>
    <definedName name="FDP_78_1_aUrv">#REF!</definedName>
    <definedName name="FDP_79_1_aUrv" localSheetId="0" hidden="1">#REF!</definedName>
    <definedName name="FDP_79_1_aUrv">#REF!</definedName>
    <definedName name="FDP_8_1_aDrv" localSheetId="0" hidden="1">#REF!</definedName>
    <definedName name="FDP_8_1_aDrv">#REF!</definedName>
    <definedName name="FDP_80_1_aUrv" localSheetId="0" hidden="1">#REF!</definedName>
    <definedName name="FDP_80_1_aUrv">#REF!</definedName>
    <definedName name="FDP_81_1_aSrv" localSheetId="0" hidden="1">#REF!</definedName>
    <definedName name="FDP_81_1_aSrv">#REF!</definedName>
    <definedName name="FDP_82_1_aUrv" localSheetId="0" hidden="1">#REF!</definedName>
    <definedName name="FDP_82_1_aUrv">#REF!</definedName>
    <definedName name="FDP_83_1_aSrv" localSheetId="0" hidden="1">#REF!</definedName>
    <definedName name="FDP_83_1_aSrv">#REF!</definedName>
    <definedName name="FDP_84_1_aUrv" localSheetId="0" hidden="1">#REF!</definedName>
    <definedName name="FDP_84_1_aUrv">#REF!</definedName>
    <definedName name="FDP_85_1_aUrv" localSheetId="0" hidden="1">#REF!</definedName>
    <definedName name="FDP_85_1_aUrv">#REF!</definedName>
    <definedName name="FDP_86_1_aUrv" localSheetId="0" hidden="1">#REF!</definedName>
    <definedName name="FDP_86_1_aUrv">#REF!</definedName>
    <definedName name="FDP_87_1_aSrv" localSheetId="0" hidden="1">#REF!</definedName>
    <definedName name="FDP_87_1_aSrv">#REF!</definedName>
    <definedName name="FDP_88_1_aUrv" localSheetId="0" hidden="1">#REF!</definedName>
    <definedName name="FDP_88_1_aUrv">#REF!</definedName>
    <definedName name="FDP_89_1_aSrv" localSheetId="0" hidden="1">#REF!</definedName>
    <definedName name="FDP_89_1_aSrv">#REF!</definedName>
    <definedName name="FDP_9_1_aDrv" localSheetId="0" hidden="1">#REF!</definedName>
    <definedName name="FDP_9_1_aDrv">#REF!</definedName>
    <definedName name="FDP_90_1_aUrv" localSheetId="0" hidden="1">#REF!</definedName>
    <definedName name="FDP_90_1_aUrv">#REF!</definedName>
    <definedName name="FDP_91_1_aUrv" localSheetId="0" hidden="1">#REF!</definedName>
    <definedName name="FDP_91_1_aUrv">#REF!</definedName>
    <definedName name="FDP_92_1_aSrv" localSheetId="0" hidden="1">#REF!</definedName>
    <definedName name="FDP_92_1_aSrv">#REF!</definedName>
    <definedName name="FDP_93_1_aDrv" localSheetId="0" hidden="1">#REF!</definedName>
    <definedName name="FDP_93_1_aDrv">#REF!</definedName>
    <definedName name="FDP_94_1_aUrv" localSheetId="0" hidden="1">#REF!</definedName>
    <definedName name="FDP_94_1_aUrv">#REF!</definedName>
    <definedName name="FDP_95_1_aUrv" localSheetId="0" hidden="1">#REF!</definedName>
    <definedName name="FDP_95_1_aUrv">#REF!</definedName>
    <definedName name="FDP_96_1_aUrv" localSheetId="0" hidden="1">#REF!</definedName>
    <definedName name="FDP_96_1_aUrv">#REF!</definedName>
    <definedName name="FDP_97_1_aUrv" localSheetId="0" hidden="1">#REF!</definedName>
    <definedName name="FDP_97_1_aUrv">#REF!</definedName>
    <definedName name="FDP_98_1_aUrv" localSheetId="0" hidden="1">#REF!</definedName>
    <definedName name="FDP_98_1_aUrv">#REF!</definedName>
    <definedName name="FDP_99_1_aUrv" localSheetId="0" hidden="1">#REF!</definedName>
    <definedName name="FDP_99_1_aUrv">#REF!</definedName>
    <definedName name="gwth" localSheetId="0">#REF!</definedName>
    <definedName name="gwth">#REF!</definedName>
    <definedName name="HL_Alt_Chk_1" localSheetId="0" hidden="1">[6]BS_Hist_TA!$H$73</definedName>
    <definedName name="HL_Alt_Chk_1" hidden="1">#REF!</definedName>
    <definedName name="HL_Alt_Chk_14" localSheetId="0" hidden="1">[6]BS_Fcast_TO!$I$72</definedName>
    <definedName name="HL_Alt_Chk_14" hidden="1">#REF!</definedName>
    <definedName name="HL_Alt_Chk_15" localSheetId="0" hidden="1">[6]Fcast_OP_TO!$I$138</definedName>
    <definedName name="HL_Alt_Chk_15" hidden="1">#REF!</definedName>
    <definedName name="HL_Alt_Chk_2" localSheetId="0" hidden="1">[6]BS_Hist_TO!$H$74</definedName>
    <definedName name="HL_Alt_Chk_2" hidden="1">#REF!</definedName>
    <definedName name="HL_Err_Chk_1" localSheetId="0" hidden="1">[6]Fcast_OP_TO!$I$42</definedName>
    <definedName name="HL_Err_Chk_1" hidden="1">#REF!</definedName>
    <definedName name="HL_Err_Chk_11" localSheetId="0" hidden="1">[6]IS_Fcast_TO!$I$41</definedName>
    <definedName name="HL_Err_Chk_11" hidden="1">#REF!</definedName>
    <definedName name="HL_Err_Chk_13" localSheetId="0" hidden="1">[6]BS_Fcast_TO!$I$70</definedName>
    <definedName name="HL_Err_Chk_13" hidden="1">#REF!</definedName>
    <definedName name="HL_Err_Chk_14" localSheetId="0" hidden="1">#REF!</definedName>
    <definedName name="HL_Err_Chk_14">#REF!</definedName>
    <definedName name="HL_Err_Chk_15" localSheetId="0" hidden="1">[6]Fcast_OP_TO!$I$136</definedName>
    <definedName name="HL_Err_Chk_15" hidden="1">#REF!</definedName>
    <definedName name="HL_Err_Chk_2" localSheetId="0" hidden="1">[6]Fcast_OP_TO!$I$59</definedName>
    <definedName name="HL_Err_Chk_2" hidden="1">#REF!</definedName>
    <definedName name="HL_Err_Chk_3" localSheetId="0" hidden="1">[6]Fcast_OP_TO!$I$74</definedName>
    <definedName name="HL_Err_Chk_3" hidden="1">#REF!</definedName>
    <definedName name="HL_Err_Chk_4" localSheetId="0" hidden="1">[6]Fcast_OP_TO!$I$86</definedName>
    <definedName name="HL_Err_Chk_4" hidden="1">#REF!</definedName>
    <definedName name="HL_Sheet_Main_19" localSheetId="0" hidden="1">#REF!</definedName>
    <definedName name="HL_Sheet_Main_19">#REF!</definedName>
    <definedName name="HL_Sheet_Main_32" localSheetId="0" hidden="1">#REF!</definedName>
    <definedName name="HL_Sheet_Main_32">#REF!</definedName>
    <definedName name="HL_Sheet_Main_37" localSheetId="0" hidden="1">#REF!</definedName>
    <definedName name="HL_Sheet_Main_37">#REF!</definedName>
    <definedName name="HTML_CodePage" hidden="1">1252</definedName>
    <definedName name="HTML_Control" localSheetId="0" hidden="1">{"'IG3Q99'!$A$306:$I$356"}</definedName>
    <definedName name="HTML_Control" hidden="1">{"'IG3Q99'!$A$306:$I$356"}</definedName>
    <definedName name="html_control_1" localSheetId="0" hidden="1">{"'IG3Q99'!$A$306:$I$356"}</definedName>
    <definedName name="html_control_1" hidden="1">{"'IG3Q99'!$A$306:$I$356"}</definedName>
    <definedName name="HTML_Description" hidden="1">""</definedName>
    <definedName name="HTML_Email" hidden="1">""</definedName>
    <definedName name="HTML_Header" hidden="1">"IG1Q99"</definedName>
    <definedName name="HTML_LastUpdate" hidden="1">"10/26/1999"</definedName>
    <definedName name="HTML_LineAfter" hidden="1">FALSE</definedName>
    <definedName name="HTML_LineBefore" hidden="1">FALSE</definedName>
    <definedName name="HTML_Name" hidden="1">"Judy Sinclair"</definedName>
    <definedName name="HTML_OBDlg2" hidden="1">TRUE</definedName>
    <definedName name="HTML_OBDlg4" hidden="1">TRUE</definedName>
    <definedName name="HTML_OS" hidden="1">0</definedName>
    <definedName name="HTML_PathFile" hidden="1">"G:\EXCELDAT\CEXJIS\newcoll.htm"</definedName>
    <definedName name="HTML_Title" hidden="1">"CNCIG98"</definedName>
    <definedName name="inc" localSheetId="0">#REF!</definedName>
    <definedName name="inc">#REF!</definedName>
    <definedName name="intcov" localSheetId="0">#REF!</definedName>
    <definedName name="intcov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43696.6051157407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39883.5273032407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largeng" localSheetId="0">[5]Suppliers!#REF!</definedName>
    <definedName name="largeng">#REF!</definedName>
    <definedName name="largfrn" localSheetId="0">[5]Suppliers!#REF!</definedName>
    <definedName name="largfrn">#REF!</definedName>
    <definedName name="largspn" localSheetId="0">[5]Suppliers!#REF!</definedName>
    <definedName name="largspn">#REF!</definedName>
    <definedName name="n" localSheetId="0" hidden="1">#REF!</definedName>
    <definedName name="n">#REF!</definedName>
    <definedName name="name" localSheetId="0">#REF!</definedName>
    <definedName name="name">#REF!</definedName>
    <definedName name="offeng" localSheetId="0">#REF!</definedName>
    <definedName name="offeng">#REF!</definedName>
    <definedName name="offfrn" localSheetId="0">#REF!</definedName>
    <definedName name="offfrn">#REF!</definedName>
    <definedName name="offspn" localSheetId="0">#REF!</definedName>
    <definedName name="offspn">#REF!</definedName>
    <definedName name="oo" localSheetId="0">[8]Data!$F$7:$BS$142</definedName>
    <definedName name="oo">#REF!</definedName>
    <definedName name="opeff" localSheetId="0">#REF!</definedName>
    <definedName name="opeff">#REF!</definedName>
    <definedName name="oth" localSheetId="0">#REF!</definedName>
    <definedName name="oth">#REF!</definedName>
    <definedName name="outrch" localSheetId="0">#REF!</definedName>
    <definedName name="outrch">#REF!</definedName>
    <definedName name="par" localSheetId="0">#REF!</definedName>
    <definedName name="par">#REF!</definedName>
    <definedName name="porteff" localSheetId="0">#REF!</definedName>
    <definedName name="porteff">#REF!</definedName>
    <definedName name="rateng" localSheetId="0">#REF!</definedName>
    <definedName name="rateng">#REF!</definedName>
    <definedName name="ratfrn" localSheetId="0">#REF!</definedName>
    <definedName name="ratfrn">#REF!</definedName>
    <definedName name="ratspn" localSheetId="0">#REF!</definedName>
    <definedName name="ratspn">#REF!</definedName>
    <definedName name="ROE" localSheetId="0">[9]AP!$F$70</definedName>
    <definedName name="ROE">#REF!</definedName>
    <definedName name="saveng" localSheetId="0">#REF!</definedName>
    <definedName name="saveng">#REF!</definedName>
    <definedName name="saveng1" localSheetId="0">#REF!</definedName>
    <definedName name="saveng1">#REF!</definedName>
    <definedName name="savfrn" localSheetId="0">#REF!</definedName>
    <definedName name="savfrn">#REF!</definedName>
    <definedName name="savfrn1" localSheetId="0">#REF!</definedName>
    <definedName name="savfrn1">#REF!</definedName>
    <definedName name="savspn" localSheetId="0">#REF!</definedName>
    <definedName name="savspn">#REF!</definedName>
    <definedName name="savspn1" localSheetId="0">#REF!</definedName>
    <definedName name="savspn1">#REF!</definedName>
    <definedName name="sec" localSheetId="0">#REF!</definedName>
    <definedName name="sec">#REF!</definedName>
    <definedName name="sencount" hidden="1">1</definedName>
    <definedName name="soc" localSheetId="0">#REF!</definedName>
    <definedName name="soc">#REF!</definedName>
    <definedName name="solver_adj" localSheetId="0" hidden="1">#REF!</definedName>
    <definedName name="solver_adj">#REF!</definedName>
    <definedName name="solver_lin" hidden="1">0</definedName>
    <definedName name="solver_num" hidden="1">0</definedName>
    <definedName name="solver_opt" localSheetId="0" hidden="1">#REF!</definedName>
    <definedName name="solver_opt">#REF!</definedName>
    <definedName name="solver_typ" hidden="1">3</definedName>
    <definedName name="solver_val" hidden="1">0.6</definedName>
    <definedName name="strat" localSheetId="0">#REF!</definedName>
    <definedName name="strat">#REF!</definedName>
    <definedName name="Stress_Opex_Growth_Rate" localSheetId="0">'[7]Income Statement'!#REF!</definedName>
    <definedName name="Stress_Opex_Growth_Rate">#REF!</definedName>
    <definedName name="TextRefCopy11" localSheetId="0">'[10]P dolar'!$C$86</definedName>
    <definedName name="TextRefCopy11">#REF!</definedName>
    <definedName name="TextRefCopy13" localSheetId="0">'[10]P dolar'!$C$45</definedName>
    <definedName name="TextRefCopy13">#REF!</definedName>
    <definedName name="TextRefCopy17" localSheetId="0">'[10]P dolar'!$C$6</definedName>
    <definedName name="TextRefCopy17">#REF!</definedName>
    <definedName name="TOC_Hdg_1" localSheetId="0" hidden="1">[6]Keys_BO!$B$7</definedName>
    <definedName name="TOC_Hdg_1" hidden="1">#REF!</definedName>
    <definedName name="TOC_Hdg_10" localSheetId="0" hidden="1">[6]Fcast_TA!$B$45</definedName>
    <definedName name="TOC_Hdg_10" hidden="1">#REF!</definedName>
    <definedName name="TOC_Hdg_11" localSheetId="0" hidden="1">[6]Fcast_TA!$B$58</definedName>
    <definedName name="TOC_Hdg_11" hidden="1">#REF!</definedName>
    <definedName name="TOC_Hdg_12" localSheetId="0" hidden="1">[6]Fcast_TA!$B$106</definedName>
    <definedName name="TOC_Hdg_12" hidden="1">#REF!</definedName>
    <definedName name="TOC_Hdg_13" localSheetId="0" hidden="1">[6]Fcast_TA!$B$123</definedName>
    <definedName name="TOC_Hdg_13" hidden="1">#REF!</definedName>
    <definedName name="TOC_Hdg_15" localSheetId="0" hidden="1">[6]Fcast_OP_TO!$B$89</definedName>
    <definedName name="TOC_Hdg_15" hidden="1">#REF!</definedName>
    <definedName name="TOC_Hdg_16" localSheetId="0" hidden="1">[6]Fcast_OP_TO!$B$184</definedName>
    <definedName name="TOC_Hdg_16" hidden="1">#REF!</definedName>
    <definedName name="TOC_Hdg_17" localSheetId="0" hidden="1">[6]Fcast_OP_TO!$B$62</definedName>
    <definedName name="TOC_Hdg_17" hidden="1">#REF!</definedName>
    <definedName name="TOC_Hdg_2" localSheetId="0" hidden="1">[6]Keys_BO!$B$54</definedName>
    <definedName name="TOC_Hdg_2" hidden="1">#REF!</definedName>
    <definedName name="TOC_Hdg_21" localSheetId="0" hidden="1">[6]Fcast_OP_TO!$B$16</definedName>
    <definedName name="TOC_Hdg_21" hidden="1">#REF!</definedName>
    <definedName name="TOC_Hdg_24" localSheetId="0" hidden="1">[6]Fcast_OP_TO!$B$25</definedName>
    <definedName name="TOC_Hdg_24" hidden="1">#REF!</definedName>
    <definedName name="TOC_Hdg_3" localSheetId="0" hidden="1">[6]Keys_BO!$B$102</definedName>
    <definedName name="TOC_Hdg_3" hidden="1">#REF!</definedName>
    <definedName name="TOC_Hdg_32" localSheetId="0" hidden="1">[6]Fcast_OP_TO!$B$158</definedName>
    <definedName name="TOC_Hdg_32" hidden="1">#REF!</definedName>
    <definedName name="TOC_Hdg_5" localSheetId="0" hidden="1">[6]Fcast_TA!$B$16</definedName>
    <definedName name="TOC_Hdg_5" hidden="1">#REF!</definedName>
    <definedName name="TOC_Hdg_6" localSheetId="0" hidden="1">[6]Checks_BO!$B$7</definedName>
    <definedName name="TOC_Hdg_6" hidden="1">#REF!</definedName>
    <definedName name="TOC_Hdg_7" localSheetId="0" hidden="1">[6]Checks_BO!$B$32</definedName>
    <definedName name="TOC_Hdg_7" hidden="1">#REF!</definedName>
    <definedName name="TOC_Hdg_8" localSheetId="0" hidden="1">[6]Checks_BO!$B$48</definedName>
    <definedName name="TOC_Hdg_8" hidden="1">#REF!</definedName>
    <definedName name="TOC_Hdg_9" localSheetId="0" hidden="1">[6]Fcast_TA!$B$29</definedName>
    <definedName name="TOC_Hdg_9" hidden="1">#REF!</definedName>
    <definedName name="Units" localSheetId="0">'[11]Output (Historical)'!$D$6</definedName>
    <definedName name="Units">#REF!</definedName>
    <definedName name="USA_Pipeline_Biolight" localSheetId="0">'[7]GP - Pipeline'!$J$262:$J$452</definedName>
    <definedName name="USA_Pipeline_Biolight">#REF!</definedName>
    <definedName name="USA_Pipeline_Eco" localSheetId="0">'[7]GP - Pipeline'!$E$262:$E$452</definedName>
    <definedName name="USA_Pipeline_Eco">#REF!</definedName>
    <definedName name="USA_Pipeline_Eco_mini" localSheetId="0">'[7]GP - Pipeline'!$M$262:$M$452</definedName>
    <definedName name="USA_Pipeline_Eco_mini">#REF!</definedName>
    <definedName name="USA_Pipeline_Est_Ship_Quarter" localSheetId="0">'[7]GP - Pipeline'!$O$262:$O$452</definedName>
    <definedName name="USA_Pipeline_Est_Ship_Quarter">#REF!</definedName>
    <definedName name="USA_Pipeline_Home_System_10W" localSheetId="0">'[7]GP - Pipeline'!$L$262:$L$452</definedName>
    <definedName name="USA_Pipeline_Home_System_10W">#REF!</definedName>
    <definedName name="USA_Pipeline_Home_System_5w" localSheetId="0">'[7]GP - Pipeline'!$K$262:$K$452</definedName>
    <definedName name="USA_Pipeline_Home_System_5w">#REF!</definedName>
    <definedName name="USA_Pipeline_Mobile" localSheetId="0">'[7]GP - Pipeline'!$I$262:$I$452</definedName>
    <definedName name="USA_Pipeline_Mobile">#REF!</definedName>
    <definedName name="USA_Pipeline_Pro" localSheetId="0">'[7]GP - Pipeline'!$G$262:$G$452</definedName>
    <definedName name="USA_Pipeline_Pro">#REF!</definedName>
    <definedName name="USA_Pipeline_Pro2" localSheetId="0">'[7]GP - Pipeline'!$H$262:$H$452</definedName>
    <definedName name="USA_Pipeline_Pro2">#REF!</definedName>
    <definedName name="USA_Pipeline_Solo" localSheetId="0">'[7]GP - Pipeline'!$F$262:$F$452</definedName>
    <definedName name="USA_Pipeline_Sol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4" i="16" l="1"/>
  <c r="D23" i="16"/>
  <c r="D22" i="16"/>
  <c r="D20" i="16"/>
  <c r="D19" i="16"/>
  <c r="D18" i="16"/>
  <c r="D15" i="16"/>
  <c r="D13" i="16" l="1"/>
  <c r="D11" i="16"/>
  <c r="D10" i="16"/>
  <c r="D8" i="16"/>
  <c r="D7" i="16"/>
  <c r="D12" i="16"/>
  <c r="G6" i="9" l="1"/>
  <c r="G11" i="9" s="1"/>
  <c r="DU184" i="1" l="1"/>
  <c r="DU37" i="1"/>
  <c r="E55" i="2"/>
  <c r="C55" i="2"/>
  <c r="I53" i="2"/>
  <c r="G53" i="2"/>
  <c r="E53" i="2"/>
  <c r="C53" i="2"/>
  <c r="I34" i="9"/>
  <c r="G34" i="9"/>
  <c r="G22" i="9" l="1"/>
  <c r="I17" i="9"/>
  <c r="G17" i="9"/>
  <c r="G16" i="9"/>
  <c r="M9" i="13"/>
  <c r="K9" i="13"/>
  <c r="M23" i="13" l="1"/>
  <c r="C23" i="13"/>
  <c r="C48" i="2"/>
  <c r="M22" i="13"/>
  <c r="K22" i="13"/>
  <c r="CN26" i="4"/>
  <c r="CM26" i="4"/>
  <c r="CL26" i="4"/>
  <c r="CK26" i="4"/>
  <c r="CJ26" i="4"/>
  <c r="CI26" i="4"/>
  <c r="CH26" i="4"/>
  <c r="CG26" i="4"/>
  <c r="CF26" i="4"/>
  <c r="H20" i="13"/>
  <c r="G20" i="13"/>
  <c r="F20" i="13"/>
  <c r="E20" i="13"/>
  <c r="D20" i="13"/>
  <c r="C20" i="13"/>
  <c r="M18" i="13"/>
  <c r="C18" i="13"/>
  <c r="K14" i="13"/>
  <c r="M13" i="13"/>
  <c r="K13" i="13"/>
  <c r="M12" i="13"/>
  <c r="K12" i="13"/>
  <c r="M11" i="13"/>
  <c r="K11" i="13"/>
  <c r="M10" i="13"/>
  <c r="C10" i="13"/>
  <c r="M6" i="13"/>
  <c r="M5" i="13"/>
  <c r="L5" i="13"/>
  <c r="C6" i="13"/>
  <c r="C5" i="13"/>
  <c r="G99" i="9"/>
  <c r="G100" i="9" s="1"/>
  <c r="G83" i="9"/>
  <c r="G84" i="9" s="1"/>
  <c r="G74" i="9"/>
  <c r="G73" i="9"/>
  <c r="G66" i="9"/>
  <c r="G65" i="9"/>
  <c r="G60" i="9"/>
  <c r="G59" i="9"/>
  <c r="G46" i="9" s="1"/>
  <c r="G48" i="9" s="1"/>
  <c r="G36" i="9"/>
  <c r="G54" i="9" s="1"/>
  <c r="G29" i="9" s="1"/>
  <c r="G28" i="9"/>
  <c r="G30" i="9" s="1"/>
  <c r="G23" i="9"/>
  <c r="G24" i="9"/>
  <c r="G18" i="9"/>
  <c r="G12" i="9"/>
  <c r="G5" i="9"/>
  <c r="I109" i="9"/>
  <c r="I115" i="9" s="1"/>
  <c r="I116" i="9" s="1"/>
  <c r="I83" i="9"/>
  <c r="I84" i="9" s="1"/>
  <c r="I74" i="9"/>
  <c r="I73" i="9" s="1"/>
  <c r="I66" i="9"/>
  <c r="I59" i="9"/>
  <c r="I36" i="9"/>
  <c r="I54" i="9" s="1"/>
  <c r="I29" i="9" s="1"/>
  <c r="I60" i="9"/>
  <c r="I28" i="9"/>
  <c r="I40" i="9" s="1"/>
  <c r="I18" i="9"/>
  <c r="I12" i="9"/>
  <c r="I6" i="9"/>
  <c r="I11" i="9" s="1"/>
  <c r="I5" i="9"/>
  <c r="I7" i="9" s="1"/>
  <c r="HU21" i="8"/>
  <c r="HO21" i="8"/>
  <c r="HR21" i="8"/>
  <c r="HU173" i="8"/>
  <c r="HU172" i="8"/>
  <c r="HU159" i="8"/>
  <c r="HU158" i="8"/>
  <c r="HU157" i="8"/>
  <c r="HU156" i="8"/>
  <c r="HU155" i="8"/>
  <c r="HU154" i="8"/>
  <c r="HU153" i="8"/>
  <c r="HU152" i="8"/>
  <c r="HU151" i="8"/>
  <c r="HU150" i="8"/>
  <c r="HU144" i="8"/>
  <c r="HU126" i="8"/>
  <c r="HU110" i="8"/>
  <c r="HV102" i="8" s="1"/>
  <c r="HV109" i="8"/>
  <c r="HV108" i="8"/>
  <c r="HV107" i="8"/>
  <c r="HV106" i="8"/>
  <c r="HV105" i="8"/>
  <c r="HV104" i="8"/>
  <c r="HV103" i="8"/>
  <c r="HV94" i="8"/>
  <c r="HV93" i="8"/>
  <c r="HV92" i="8"/>
  <c r="HV91" i="8"/>
  <c r="HV90" i="8"/>
  <c r="HU77" i="8"/>
  <c r="HV74" i="8" s="1"/>
  <c r="HV76" i="8"/>
  <c r="HV75" i="8"/>
  <c r="HV73" i="8"/>
  <c r="HU60" i="8"/>
  <c r="HU59" i="8"/>
  <c r="HU58" i="8"/>
  <c r="HU57" i="8"/>
  <c r="HU55" i="8"/>
  <c r="HU54" i="8"/>
  <c r="HU52" i="8"/>
  <c r="HU49" i="8"/>
  <c r="HU51" i="8" s="1"/>
  <c r="HU47" i="8"/>
  <c r="HU43" i="8"/>
  <c r="HU34" i="8"/>
  <c r="HU33" i="8"/>
  <c r="HU32" i="8" s="1"/>
  <c r="HU24" i="8"/>
  <c r="HU46" i="8"/>
  <c r="HR158" i="8"/>
  <c r="HR157" i="8"/>
  <c r="HR156" i="8"/>
  <c r="HR155" i="8"/>
  <c r="HR154" i="8"/>
  <c r="HR153" i="8"/>
  <c r="HR152" i="8"/>
  <c r="HR151" i="8"/>
  <c r="HR150" i="8"/>
  <c r="HR144" i="8"/>
  <c r="HR173" i="8" s="1"/>
  <c r="HR126" i="8"/>
  <c r="HR172" i="8" s="1"/>
  <c r="HR110" i="8"/>
  <c r="HS109" i="8" s="1"/>
  <c r="HS108" i="8"/>
  <c r="HS107" i="8"/>
  <c r="HS106" i="8"/>
  <c r="HS105" i="8"/>
  <c r="HS104" i="8"/>
  <c r="HS103" i="8"/>
  <c r="HS102" i="8"/>
  <c r="HS101" i="8"/>
  <c r="HS97" i="8"/>
  <c r="HS96" i="8"/>
  <c r="HS95" i="8"/>
  <c r="HS94" i="8"/>
  <c r="HS93" i="8"/>
  <c r="HS92" i="8"/>
  <c r="HS91" i="8"/>
  <c r="HS90" i="8"/>
  <c r="HR77" i="8"/>
  <c r="HS66" i="8" s="1"/>
  <c r="HS76" i="8"/>
  <c r="HS75" i="8"/>
  <c r="HS74" i="8"/>
  <c r="HR60" i="8"/>
  <c r="HR59" i="8"/>
  <c r="HR58" i="8"/>
  <c r="HR55" i="8"/>
  <c r="HR54" i="8"/>
  <c r="HR52" i="8"/>
  <c r="HR47" i="8"/>
  <c r="HR43" i="8"/>
  <c r="HR34" i="8"/>
  <c r="HR33" i="8"/>
  <c r="HR32" i="8"/>
  <c r="HR24" i="8"/>
  <c r="HR49" i="8" s="1"/>
  <c r="HR37" i="8"/>
  <c r="J132" i="10"/>
  <c r="I65" i="9" l="1"/>
  <c r="G61" i="9"/>
  <c r="I99" i="9"/>
  <c r="I100" i="9" s="1"/>
  <c r="I110" i="9"/>
  <c r="G67" i="9"/>
  <c r="G37" i="9"/>
  <c r="G41" i="9" s="1"/>
  <c r="I23" i="9"/>
  <c r="I24" i="9" s="1"/>
  <c r="G40" i="9"/>
  <c r="I61" i="9"/>
  <c r="I53" i="9"/>
  <c r="I13" i="9"/>
  <c r="I30" i="9"/>
  <c r="I67" i="9"/>
  <c r="I46" i="9"/>
  <c r="I48" i="9" s="1"/>
  <c r="I37" i="9"/>
  <c r="I41" i="9" s="1"/>
  <c r="I42" i="9" s="1"/>
  <c r="HU48" i="8"/>
  <c r="HV24" i="8"/>
  <c r="HV34" i="8"/>
  <c r="HU37" i="8"/>
  <c r="HV32" i="8" s="1"/>
  <c r="HV66" i="8"/>
  <c r="HV67" i="8"/>
  <c r="HV96" i="8"/>
  <c r="HV97" i="8"/>
  <c r="HV70" i="8"/>
  <c r="HV98" i="8"/>
  <c r="HV71" i="8"/>
  <c r="HV99" i="8"/>
  <c r="HU171" i="8"/>
  <c r="HV65" i="8"/>
  <c r="HV95" i="8"/>
  <c r="HV68" i="8"/>
  <c r="HV69" i="8"/>
  <c r="HU56" i="8"/>
  <c r="HV72" i="8"/>
  <c r="HV100" i="8"/>
  <c r="HV101" i="8"/>
  <c r="HS33" i="8"/>
  <c r="HR51" i="8"/>
  <c r="HS32" i="8"/>
  <c r="HS34" i="8"/>
  <c r="HS18" i="8"/>
  <c r="HS35" i="8"/>
  <c r="HS36" i="8"/>
  <c r="HS30" i="8"/>
  <c r="HR111" i="8"/>
  <c r="HR39" i="8"/>
  <c r="HS29" i="8"/>
  <c r="HS27" i="8"/>
  <c r="HS24" i="8"/>
  <c r="HS70" i="8"/>
  <c r="HS98" i="8"/>
  <c r="HS67" i="8"/>
  <c r="HS68" i="8"/>
  <c r="HS71" i="8"/>
  <c r="HS99" i="8"/>
  <c r="HS69" i="8"/>
  <c r="HR46" i="8"/>
  <c r="HS72" i="8"/>
  <c r="HS100" i="8"/>
  <c r="HS21" i="8"/>
  <c r="HR57" i="8"/>
  <c r="HS73" i="8"/>
  <c r="HR159" i="8"/>
  <c r="HR171" i="8"/>
  <c r="HS65" i="8"/>
  <c r="G42" i="9" l="1"/>
  <c r="I55" i="9"/>
  <c r="I76" i="9"/>
  <c r="HU61" i="8"/>
  <c r="HV48" i="8" s="1"/>
  <c r="HV29" i="8"/>
  <c r="HV27" i="8"/>
  <c r="HU39" i="8"/>
  <c r="HU111" i="8"/>
  <c r="HV18" i="8"/>
  <c r="HV36" i="8"/>
  <c r="HV30" i="8"/>
  <c r="HV35" i="8"/>
  <c r="HV21" i="8"/>
  <c r="HV33" i="8"/>
  <c r="HU50" i="8"/>
  <c r="HR56" i="8"/>
  <c r="HR48" i="8"/>
  <c r="I85" i="9" l="1"/>
  <c r="I77" i="9"/>
  <c r="HV50" i="8"/>
  <c r="HV47" i="8"/>
  <c r="HV45" i="8"/>
  <c r="HV44" i="8"/>
  <c r="HV46" i="8"/>
  <c r="HV51" i="8"/>
  <c r="HV58" i="8"/>
  <c r="HV43" i="8"/>
  <c r="HV57" i="8"/>
  <c r="HV49" i="8"/>
  <c r="HV59" i="8"/>
  <c r="HV52" i="8"/>
  <c r="HR50" i="8"/>
  <c r="HR61" i="8"/>
  <c r="I101" i="9" l="1"/>
  <c r="I93" i="9"/>
  <c r="I86" i="9"/>
  <c r="HS45" i="8"/>
  <c r="HS44" i="8"/>
  <c r="HS47" i="8"/>
  <c r="HS43" i="8"/>
  <c r="HS59" i="8"/>
  <c r="HS49" i="8"/>
  <c r="HS58" i="8"/>
  <c r="HS52" i="8"/>
  <c r="HS57" i="8"/>
  <c r="HS46" i="8"/>
  <c r="HS51" i="8"/>
  <c r="HS50" i="8"/>
  <c r="HS48" i="8"/>
  <c r="I68" i="9" l="1"/>
  <c r="I69" i="9" s="1"/>
  <c r="I102" i="9"/>
  <c r="F131" i="10"/>
  <c r="I132" i="10"/>
  <c r="H132" i="10"/>
  <c r="C132" i="10"/>
  <c r="E129" i="10"/>
  <c r="G131" i="10" l="1"/>
  <c r="G130" i="10"/>
  <c r="F130" i="10"/>
  <c r="D131" i="10"/>
  <c r="D130" i="10"/>
  <c r="D129" i="10"/>
  <c r="E131" i="10"/>
  <c r="E130" i="10"/>
  <c r="K38" i="4"/>
  <c r="J24" i="4"/>
  <c r="FD26" i="4"/>
  <c r="F15" i="4"/>
  <c r="FO26" i="4"/>
  <c r="FN26" i="4"/>
  <c r="FL26" i="4"/>
  <c r="FK26" i="4"/>
  <c r="FJ26" i="4"/>
  <c r="FI26" i="4"/>
  <c r="FH26" i="4"/>
  <c r="FG26" i="4"/>
  <c r="FF26" i="4"/>
  <c r="FE26" i="4"/>
  <c r="FM14" i="4"/>
  <c r="FM26" i="4" s="1"/>
  <c r="EO14" i="4"/>
  <c r="EI10" i="4"/>
  <c r="K28" i="4" l="1"/>
  <c r="K22" i="4"/>
  <c r="G25" i="4" l="1"/>
  <c r="G24" i="4"/>
  <c r="G23" i="4"/>
  <c r="G21" i="4"/>
  <c r="G20" i="4"/>
  <c r="G19" i="4"/>
  <c r="G18" i="4"/>
  <c r="G17" i="4"/>
  <c r="G16" i="4"/>
  <c r="G15" i="4"/>
  <c r="G14" i="4"/>
  <c r="E14" i="4" s="1"/>
  <c r="G13" i="4"/>
  <c r="E13" i="4" s="1"/>
  <c r="G12" i="4"/>
  <c r="E12" i="4" s="1"/>
  <c r="G11" i="4"/>
  <c r="E11" i="4" s="1"/>
  <c r="G10" i="4"/>
  <c r="E10" i="4" s="1"/>
  <c r="C54" i="2" l="1"/>
  <c r="C133" i="3"/>
  <c r="C134" i="3"/>
  <c r="C68" i="3"/>
  <c r="C21" i="2" s="1"/>
  <c r="C38" i="3"/>
  <c r="C15" i="2" s="1"/>
  <c r="C35" i="3"/>
  <c r="C14" i="2" s="1"/>
  <c r="C9" i="2"/>
  <c r="C143" i="3"/>
  <c r="C141" i="3"/>
  <c r="C144" i="3" s="1"/>
  <c r="C127" i="3"/>
  <c r="C29" i="3"/>
  <c r="C13" i="2" s="1"/>
  <c r="C13" i="3"/>
  <c r="C6" i="3"/>
  <c r="C8" i="3" s="1"/>
  <c r="C15" i="3" s="1"/>
  <c r="C10" i="2" s="1"/>
  <c r="DU107" i="1"/>
  <c r="DU99" i="1"/>
  <c r="DU106" i="1"/>
  <c r="DR27" i="1"/>
  <c r="DU28" i="1"/>
  <c r="DU29" i="1"/>
  <c r="DU155" i="1"/>
  <c r="E68" i="3"/>
  <c r="E21" i="2" s="1"/>
  <c r="E54" i="2"/>
  <c r="DQ80" i="1"/>
  <c r="E23" i="2"/>
  <c r="E15" i="2"/>
  <c r="E35" i="3"/>
  <c r="E14" i="2" s="1"/>
  <c r="E9" i="2"/>
  <c r="E143" i="3"/>
  <c r="E141" i="3"/>
  <c r="E133" i="3"/>
  <c r="E127" i="3"/>
  <c r="E134" i="3" s="1"/>
  <c r="E38" i="3"/>
  <c r="E29" i="3"/>
  <c r="E13" i="2" s="1"/>
  <c r="E13" i="3"/>
  <c r="E6" i="3"/>
  <c r="E8" i="3" s="1"/>
  <c r="E15" i="3" s="1"/>
  <c r="E10" i="2" s="1"/>
  <c r="G9" i="2"/>
  <c r="G25" i="2"/>
  <c r="E144" i="3" l="1"/>
  <c r="C23" i="2"/>
  <c r="C19" i="2" s="1"/>
  <c r="C7" i="2"/>
  <c r="C47" i="2"/>
  <c r="C49" i="2" s="1"/>
  <c r="DQ161" i="1"/>
  <c r="DQ99" i="1"/>
  <c r="DQ27" i="1" l="1"/>
  <c r="E19" i="2"/>
  <c r="E7" i="2" l="1"/>
  <c r="F22" i="4" l="1"/>
  <c r="I22" i="4"/>
  <c r="K66" i="9"/>
  <c r="K34" i="9"/>
  <c r="K65" i="9" s="1"/>
  <c r="HO60" i="8"/>
  <c r="HO59" i="8"/>
  <c r="HO58" i="8"/>
  <c r="HO57" i="8"/>
  <c r="HO55" i="8"/>
  <c r="HO54" i="8"/>
  <c r="HO52" i="8"/>
  <c r="HO49" i="8"/>
  <c r="HO51" i="8" s="1"/>
  <c r="HO47" i="8"/>
  <c r="HO46" i="8"/>
  <c r="HO48" i="8" s="1"/>
  <c r="HO50" i="8" s="1"/>
  <c r="HL49" i="8"/>
  <c r="HL47" i="8"/>
  <c r="HL46" i="8"/>
  <c r="HL48" i="8" s="1"/>
  <c r="HL50" i="8" s="1"/>
  <c r="HO24" i="8"/>
  <c r="HO34" i="8"/>
  <c r="HO33" i="8"/>
  <c r="K60" i="9" l="1"/>
  <c r="HO56" i="8"/>
  <c r="HO77" i="8" l="1"/>
  <c r="L22" i="13"/>
  <c r="DU96" i="1" l="1"/>
  <c r="DU10" i="1"/>
  <c r="DU159" i="1"/>
  <c r="DP161" i="1" l="1"/>
  <c r="DP27" i="1"/>
  <c r="K83" i="9"/>
  <c r="K84" i="9" s="1"/>
  <c r="K74" i="9"/>
  <c r="K73" i="9" s="1"/>
  <c r="K59" i="9"/>
  <c r="K28" i="9"/>
  <c r="HO158" i="8"/>
  <c r="HO157" i="8"/>
  <c r="HO156" i="8"/>
  <c r="HO155" i="8"/>
  <c r="HO154" i="8"/>
  <c r="HO153" i="8"/>
  <c r="HO152" i="8"/>
  <c r="HO151" i="8"/>
  <c r="HO150" i="8"/>
  <c r="HO144" i="8"/>
  <c r="HO173" i="8" s="1"/>
  <c r="HO126" i="8"/>
  <c r="HO172" i="8" s="1"/>
  <c r="HO110" i="8"/>
  <c r="HP66" i="8"/>
  <c r="HP72" i="8"/>
  <c r="HP71" i="8"/>
  <c r="HP70" i="8"/>
  <c r="HP69" i="8"/>
  <c r="HP68" i="8"/>
  <c r="HP67" i="8"/>
  <c r="HP65" i="8"/>
  <c r="HO43" i="8"/>
  <c r="HO32" i="8"/>
  <c r="HO37" i="8" s="1"/>
  <c r="H129" i="10"/>
  <c r="G143" i="3"/>
  <c r="G141" i="3"/>
  <c r="G133" i="3"/>
  <c r="G127" i="3"/>
  <c r="G68" i="3"/>
  <c r="G38" i="3"/>
  <c r="G15" i="2" s="1"/>
  <c r="G35" i="3"/>
  <c r="G14" i="2" s="1"/>
  <c r="G47" i="2" s="1"/>
  <c r="G29" i="3"/>
  <c r="G13" i="3"/>
  <c r="G6" i="3"/>
  <c r="K99" i="9" l="1"/>
  <c r="K100" i="9" s="1"/>
  <c r="G144" i="3"/>
  <c r="HO39" i="8"/>
  <c r="G13" i="2"/>
  <c r="K46" i="9"/>
  <c r="K48" i="9" s="1"/>
  <c r="G8" i="3"/>
  <c r="F129" i="10" s="1"/>
  <c r="G54" i="2"/>
  <c r="G129" i="10"/>
  <c r="G23" i="2"/>
  <c r="G49" i="2"/>
  <c r="G21" i="2"/>
  <c r="E47" i="2"/>
  <c r="HO61" i="8"/>
  <c r="HP50" i="8" s="1"/>
  <c r="HP76" i="8"/>
  <c r="HP105" i="8"/>
  <c r="HO111" i="8"/>
  <c r="HP99" i="8"/>
  <c r="HP100" i="8"/>
  <c r="HP106" i="8"/>
  <c r="HP107" i="8"/>
  <c r="HP104" i="8"/>
  <c r="HP109" i="8"/>
  <c r="HP108" i="8"/>
  <c r="HP90" i="8"/>
  <c r="HP91" i="8"/>
  <c r="HP94" i="8"/>
  <c r="HP95" i="8"/>
  <c r="HP96" i="8"/>
  <c r="HP97" i="8"/>
  <c r="HP98" i="8"/>
  <c r="HP92" i="8"/>
  <c r="HP93" i="8"/>
  <c r="G134" i="3"/>
  <c r="K61" i="9"/>
  <c r="K67" i="9"/>
  <c r="K36" i="9"/>
  <c r="K37" i="9" s="1"/>
  <c r="K41" i="9" s="1"/>
  <c r="HP36" i="8"/>
  <c r="HP35" i="8"/>
  <c r="HP34" i="8"/>
  <c r="HP33" i="8"/>
  <c r="HP30" i="8"/>
  <c r="HP29" i="8"/>
  <c r="HP27" i="8"/>
  <c r="HP24" i="8"/>
  <c r="HP21" i="8"/>
  <c r="HP18" i="8"/>
  <c r="HP73" i="8"/>
  <c r="HP101" i="8"/>
  <c r="HP74" i="8"/>
  <c r="HP102" i="8"/>
  <c r="HP75" i="8"/>
  <c r="HP103" i="8"/>
  <c r="HP32" i="8"/>
  <c r="HO159" i="8"/>
  <c r="K54" i="9" l="1"/>
  <c r="K29" i="9" s="1"/>
  <c r="K30" i="9" s="1"/>
  <c r="G15" i="3"/>
  <c r="G10" i="2" s="1"/>
  <c r="G7" i="2" s="1"/>
  <c r="G19" i="2"/>
  <c r="K40" i="9"/>
  <c r="K42" i="9" s="1"/>
  <c r="E49" i="2"/>
  <c r="HP57" i="8"/>
  <c r="HP51" i="8"/>
  <c r="HP43" i="8"/>
  <c r="HP48" i="8"/>
  <c r="HP47" i="8"/>
  <c r="HP49" i="8"/>
  <c r="HP46" i="8"/>
  <c r="HP59" i="8"/>
  <c r="HP58" i="8"/>
  <c r="HP45" i="8"/>
  <c r="HP44" i="8"/>
  <c r="HP52" i="8"/>
  <c r="G33" i="2" l="1"/>
  <c r="K12" i="9"/>
  <c r="G52" i="2"/>
  <c r="G32" i="2"/>
  <c r="K5" i="9"/>
  <c r="K23" i="9" s="1"/>
  <c r="J21" i="4"/>
  <c r="J18" i="4"/>
  <c r="J16" i="4"/>
  <c r="J13" i="4"/>
  <c r="J20" i="4"/>
  <c r="J19" i="4"/>
  <c r="J17" i="4"/>
  <c r="J15" i="4"/>
  <c r="J14" i="4"/>
  <c r="J12" i="4"/>
  <c r="J11" i="4"/>
  <c r="J10" i="4"/>
  <c r="E24" i="4" l="1"/>
  <c r="I24" i="4" s="1"/>
  <c r="K49" i="4" s="1"/>
  <c r="K24" i="4" l="1"/>
  <c r="L49" i="4" s="1"/>
  <c r="M34" i="9"/>
  <c r="M83" i="9" l="1"/>
  <c r="M99" i="9" s="1"/>
  <c r="M100" i="9" s="1"/>
  <c r="M74" i="9"/>
  <c r="M73" i="9" s="1"/>
  <c r="M66" i="9"/>
  <c r="M65" i="9"/>
  <c r="M60" i="9"/>
  <c r="M59" i="9"/>
  <c r="M67" i="9" s="1"/>
  <c r="M28" i="9"/>
  <c r="O5" i="9"/>
  <c r="O6" i="9"/>
  <c r="M46" i="9" l="1"/>
  <c r="M48" i="9" s="1"/>
  <c r="M61" i="9"/>
  <c r="M84" i="9"/>
  <c r="HL60" i="8" l="1"/>
  <c r="HL59" i="8"/>
  <c r="HL58" i="8"/>
  <c r="HL57" i="8"/>
  <c r="HL55" i="8"/>
  <c r="HL54" i="8"/>
  <c r="HL52" i="8"/>
  <c r="HL43" i="8"/>
  <c r="HL157" i="8"/>
  <c r="HL56" i="8" l="1"/>
  <c r="H127" i="10" l="1"/>
  <c r="H128" i="10"/>
  <c r="E128" i="10" s="1"/>
  <c r="DO27" i="1" l="1"/>
  <c r="DO161" i="1"/>
  <c r="DO173" i="1"/>
  <c r="HL158" i="8" l="1"/>
  <c r="HL156" i="8"/>
  <c r="HL155" i="8"/>
  <c r="HL154" i="8"/>
  <c r="HL153" i="8"/>
  <c r="HL152" i="8"/>
  <c r="HL151" i="8"/>
  <c r="HL150" i="8"/>
  <c r="HL144" i="8"/>
  <c r="HL173" i="8" s="1"/>
  <c r="HL126" i="8"/>
  <c r="HL172" i="8" s="1"/>
  <c r="HL110" i="8"/>
  <c r="HM99" i="8" s="1"/>
  <c r="HL77" i="8"/>
  <c r="HM71" i="8" s="1"/>
  <c r="HL51" i="8"/>
  <c r="HL61" i="8" s="1"/>
  <c r="HL32" i="8"/>
  <c r="HL37" i="8" s="1"/>
  <c r="I143" i="3"/>
  <c r="I141" i="3"/>
  <c r="I133" i="3"/>
  <c r="I127" i="3"/>
  <c r="I68" i="3"/>
  <c r="I38" i="3"/>
  <c r="I35" i="3"/>
  <c r="I29" i="3"/>
  <c r="I13" i="3"/>
  <c r="I6" i="3"/>
  <c r="BD13" i="4"/>
  <c r="I144" i="3" l="1"/>
  <c r="I8" i="3"/>
  <c r="M36" i="9"/>
  <c r="HL39" i="8"/>
  <c r="G128" i="10"/>
  <c r="HM74" i="8"/>
  <c r="HM76" i="8"/>
  <c r="HM75" i="8"/>
  <c r="HM73" i="8"/>
  <c r="HM72" i="8"/>
  <c r="HL159" i="8"/>
  <c r="HM101" i="8"/>
  <c r="HM94" i="8"/>
  <c r="HM104" i="8"/>
  <c r="HM100" i="8"/>
  <c r="HM102" i="8"/>
  <c r="HM103" i="8"/>
  <c r="HM109" i="8"/>
  <c r="HM90" i="8"/>
  <c r="HM91" i="8"/>
  <c r="HM92" i="8"/>
  <c r="HM93" i="8"/>
  <c r="HM105" i="8"/>
  <c r="HM106" i="8"/>
  <c r="HM107" i="8"/>
  <c r="HM108" i="8"/>
  <c r="I134" i="3"/>
  <c r="M5" i="9"/>
  <c r="M23" i="9" s="1"/>
  <c r="HM21" i="8"/>
  <c r="HM18" i="8"/>
  <c r="HL111" i="8"/>
  <c r="HM35" i="8"/>
  <c r="HM33" i="8"/>
  <c r="HM29" i="8"/>
  <c r="HM27" i="8"/>
  <c r="HM36" i="8"/>
  <c r="HM34" i="8"/>
  <c r="HM30" i="8"/>
  <c r="HM24" i="8"/>
  <c r="HM32" i="8"/>
  <c r="HL171" i="8"/>
  <c r="HM95" i="8"/>
  <c r="HM68" i="8"/>
  <c r="HM96" i="8"/>
  <c r="HM69" i="8"/>
  <c r="HM97" i="8"/>
  <c r="HM65" i="8"/>
  <c r="HM66" i="8"/>
  <c r="HM67" i="8"/>
  <c r="HM70" i="8"/>
  <c r="HM98" i="8"/>
  <c r="BD12" i="4"/>
  <c r="M40" i="9" l="1"/>
  <c r="M54" i="9"/>
  <c r="M29" i="9" s="1"/>
  <c r="M30" i="9" s="1"/>
  <c r="M37" i="9"/>
  <c r="M41" i="9" s="1"/>
  <c r="M42" i="9" s="1"/>
  <c r="I15" i="3"/>
  <c r="M12" i="9" s="1"/>
  <c r="D128" i="10"/>
  <c r="F128" i="10" s="1"/>
  <c r="U127" i="3"/>
  <c r="U68" i="3"/>
  <c r="U21" i="2" s="1"/>
  <c r="S68" i="3"/>
  <c r="S21" i="2" s="1"/>
  <c r="Q68" i="3"/>
  <c r="Q21" i="2" s="1"/>
  <c r="Q19" i="2" s="1"/>
  <c r="O68" i="3"/>
  <c r="O21" i="2" s="1"/>
  <c r="O19" i="2" s="1"/>
  <c r="M68" i="3"/>
  <c r="M21" i="2" s="1"/>
  <c r="M19" i="2" s="1"/>
  <c r="U29" i="3"/>
  <c r="U13" i="2" s="1"/>
  <c r="Q29" i="3"/>
  <c r="Q13" i="2" s="1"/>
  <c r="M29" i="3"/>
  <c r="M13" i="2" s="1"/>
  <c r="M25" i="2"/>
  <c r="O29" i="3"/>
  <c r="O13" i="2" s="1"/>
  <c r="S29" i="3"/>
  <c r="S13" i="2" s="1"/>
  <c r="U13" i="3"/>
  <c r="S13" i="3"/>
  <c r="Q13" i="3"/>
  <c r="O13" i="3"/>
  <c r="U6" i="3"/>
  <c r="U8" i="3" s="1"/>
  <c r="S6" i="3"/>
  <c r="S8" i="3" s="1"/>
  <c r="Q6" i="3"/>
  <c r="Q8" i="3" s="1"/>
  <c r="O6" i="3"/>
  <c r="O8" i="3" s="1"/>
  <c r="M6" i="3"/>
  <c r="M8" i="3" s="1"/>
  <c r="O25" i="2"/>
  <c r="U25" i="2"/>
  <c r="S25" i="2"/>
  <c r="Q25" i="2"/>
  <c r="HM45" i="8" l="1"/>
  <c r="HM44" i="8"/>
  <c r="HM51" i="8"/>
  <c r="HM52" i="8"/>
  <c r="HM59" i="8"/>
  <c r="HM47" i="8"/>
  <c r="HM57" i="8"/>
  <c r="HM49" i="8"/>
  <c r="HM43" i="8"/>
  <c r="HM46" i="8"/>
  <c r="HM58" i="8"/>
  <c r="HM50" i="8"/>
  <c r="HM48" i="8"/>
  <c r="U19" i="2"/>
  <c r="S19" i="2"/>
  <c r="U15" i="3"/>
  <c r="U10" i="2" s="1"/>
  <c r="U7" i="2" s="1"/>
  <c r="S15" i="3"/>
  <c r="S10" i="2" s="1"/>
  <c r="S7" i="2" s="1"/>
  <c r="Q15" i="3"/>
  <c r="Q10" i="2" s="1"/>
  <c r="Q7" i="2" s="1"/>
  <c r="Q32" i="2" s="1"/>
  <c r="O15" i="3"/>
  <c r="O10" i="2" s="1"/>
  <c r="O7" i="2" s="1"/>
  <c r="O32" i="2" s="1"/>
  <c r="U32" i="2" l="1"/>
  <c r="S32" i="2"/>
  <c r="E20" i="4" l="1"/>
  <c r="I20" i="4" s="1"/>
  <c r="K45" i="4" s="1"/>
  <c r="K20" i="4" l="1"/>
  <c r="L45" i="4" s="1"/>
  <c r="K127" i="3"/>
  <c r="K29" i="3"/>
  <c r="K68" i="3"/>
  <c r="DN27" i="1" l="1"/>
  <c r="O214" i="9"/>
  <c r="O206" i="9"/>
  <c r="O209" i="9" s="1"/>
  <c r="O121" i="9"/>
  <c r="O83" i="9"/>
  <c r="O99" i="9" s="1"/>
  <c r="O100" i="9" s="1"/>
  <c r="O74" i="9"/>
  <c r="O73" i="9" s="1"/>
  <c r="O66" i="9"/>
  <c r="O65" i="9"/>
  <c r="O60" i="9"/>
  <c r="O59" i="9"/>
  <c r="O67" i="9" s="1"/>
  <c r="O28" i="9"/>
  <c r="HI158" i="8"/>
  <c r="HI157" i="8"/>
  <c r="HI156" i="8"/>
  <c r="HI155" i="8"/>
  <c r="HI154" i="8"/>
  <c r="HI153" i="8"/>
  <c r="HI152" i="8"/>
  <c r="HI151" i="8"/>
  <c r="HI150" i="8"/>
  <c r="HI144" i="8"/>
  <c r="HI173" i="8" s="1"/>
  <c r="HI126" i="8"/>
  <c r="HI172" i="8" s="1"/>
  <c r="HI110" i="8"/>
  <c r="HJ103" i="8" s="1"/>
  <c r="HI77" i="8"/>
  <c r="HJ75" i="8" s="1"/>
  <c r="HI60" i="8"/>
  <c r="HI59" i="8"/>
  <c r="HI58" i="8"/>
  <c r="HI57" i="8"/>
  <c r="HI55" i="8"/>
  <c r="HI54" i="8"/>
  <c r="HI52" i="8"/>
  <c r="HI49" i="8"/>
  <c r="HI51" i="8" s="1"/>
  <c r="HI47" i="8"/>
  <c r="HI46" i="8"/>
  <c r="HI48" i="8" s="1"/>
  <c r="HI50" i="8" s="1"/>
  <c r="HI43" i="8"/>
  <c r="HI32" i="8"/>
  <c r="HI37" i="8" s="1"/>
  <c r="E127" i="10"/>
  <c r="K143" i="3"/>
  <c r="K141" i="3"/>
  <c r="K133" i="3"/>
  <c r="K38" i="3"/>
  <c r="K35" i="3"/>
  <c r="K13" i="3"/>
  <c r="K6" i="3"/>
  <c r="G127" i="10" s="1"/>
  <c r="W29" i="3"/>
  <c r="W13" i="2" s="1"/>
  <c r="W6" i="3"/>
  <c r="W8" i="3" s="1"/>
  <c r="W25" i="2"/>
  <c r="W68" i="3"/>
  <c r="W21" i="2" s="1"/>
  <c r="W19" i="2" s="1"/>
  <c r="W13" i="3"/>
  <c r="AU68" i="3"/>
  <c r="AU21" i="2" s="1"/>
  <c r="AU19" i="2" s="1"/>
  <c r="AU13" i="3"/>
  <c r="AU29" i="3"/>
  <c r="AU13" i="2" s="1"/>
  <c r="AU25" i="2"/>
  <c r="AU6" i="3"/>
  <c r="AU8" i="3" s="1"/>
  <c r="AU15" i="3" s="1"/>
  <c r="AU10" i="2" s="1"/>
  <c r="BS19" i="2"/>
  <c r="BS25" i="2"/>
  <c r="HI39" i="8" l="1"/>
  <c r="K8" i="3"/>
  <c r="O84" i="9"/>
  <c r="HJ105" i="8"/>
  <c r="HJ94" i="8"/>
  <c r="HJ97" i="8"/>
  <c r="HJ102" i="8"/>
  <c r="HJ96" i="8"/>
  <c r="HJ104" i="8"/>
  <c r="HJ69" i="8"/>
  <c r="HJ76" i="8"/>
  <c r="HJ68" i="8"/>
  <c r="AU7" i="2"/>
  <c r="K134" i="3"/>
  <c r="W15" i="3"/>
  <c r="W10" i="2" s="1"/>
  <c r="W7" i="2" s="1"/>
  <c r="K144" i="3"/>
  <c r="O61" i="9"/>
  <c r="O46" i="9"/>
  <c r="O48" i="9" s="1"/>
  <c r="O36" i="9"/>
  <c r="O37" i="9" s="1"/>
  <c r="O41" i="9" s="1"/>
  <c r="HI111" i="8"/>
  <c r="HJ30" i="8"/>
  <c r="HJ29" i="8"/>
  <c r="HJ27" i="8"/>
  <c r="HJ36" i="8"/>
  <c r="HJ35" i="8"/>
  <c r="HJ24" i="8"/>
  <c r="HJ34" i="8"/>
  <c r="HJ21" i="8"/>
  <c r="HJ33" i="8"/>
  <c r="HJ18" i="8"/>
  <c r="HJ32" i="8"/>
  <c r="HJ70" i="8"/>
  <c r="HJ90" i="8"/>
  <c r="HJ98" i="8"/>
  <c r="HJ106" i="8"/>
  <c r="HJ71" i="8"/>
  <c r="HJ91" i="8"/>
  <c r="HJ99" i="8"/>
  <c r="HJ107" i="8"/>
  <c r="HI56" i="8"/>
  <c r="HI61" i="8" s="1"/>
  <c r="HJ72" i="8"/>
  <c r="HJ92" i="8"/>
  <c r="HJ100" i="8"/>
  <c r="HJ108" i="8"/>
  <c r="HI159" i="8"/>
  <c r="HJ65" i="8"/>
  <c r="HJ73" i="8"/>
  <c r="HJ93" i="8"/>
  <c r="HJ101" i="8"/>
  <c r="HJ109" i="8"/>
  <c r="HI171" i="8"/>
  <c r="HJ66" i="8"/>
  <c r="HJ74" i="8"/>
  <c r="HJ67" i="8"/>
  <c r="HJ95" i="8"/>
  <c r="BU29" i="3"/>
  <c r="BS29" i="3"/>
  <c r="BS13" i="2" s="1"/>
  <c r="BS68" i="3"/>
  <c r="BS6" i="3"/>
  <c r="BS8" i="3" s="1"/>
  <c r="BS13" i="3"/>
  <c r="HF60" i="8"/>
  <c r="HF59" i="8"/>
  <c r="HF58" i="8"/>
  <c r="HF57" i="8"/>
  <c r="HF55" i="8"/>
  <c r="HF54" i="8"/>
  <c r="HF52" i="8"/>
  <c r="HF49" i="8"/>
  <c r="HF51" i="8" s="1"/>
  <c r="HF47" i="8"/>
  <c r="HF46" i="8"/>
  <c r="HF48" i="8" s="1"/>
  <c r="HF50" i="8" s="1"/>
  <c r="HF43" i="8"/>
  <c r="O54" i="9" l="1"/>
  <c r="O29" i="9" s="1"/>
  <c r="O30" i="9" s="1"/>
  <c r="D127" i="10"/>
  <c r="F127" i="10" s="1"/>
  <c r="K15" i="3"/>
  <c r="O12" i="9"/>
  <c r="O40" i="9"/>
  <c r="O42" i="9" s="1"/>
  <c r="HJ46" i="8"/>
  <c r="HJ49" i="8"/>
  <c r="HJ45" i="8"/>
  <c r="HJ58" i="8"/>
  <c r="HJ44" i="8"/>
  <c r="HJ48" i="8"/>
  <c r="HJ57" i="8"/>
  <c r="HJ43" i="8"/>
  <c r="HJ59" i="8"/>
  <c r="HJ52" i="8"/>
  <c r="HJ47" i="8"/>
  <c r="HJ50" i="8"/>
  <c r="HJ51" i="8"/>
  <c r="BS15" i="3"/>
  <c r="BS10" i="2" s="1"/>
  <c r="BS7" i="2" s="1"/>
  <c r="HF56" i="8"/>
  <c r="HF61" i="8" s="1"/>
  <c r="O23" i="9" l="1"/>
  <c r="K126" i="10"/>
  <c r="HF147" i="8" l="1"/>
  <c r="HF150" i="8"/>
  <c r="HF144" i="8"/>
  <c r="DM107" i="1" l="1"/>
  <c r="DM80" i="1"/>
  <c r="DM27" i="1"/>
  <c r="H126" i="10"/>
  <c r="E126" i="10" s="1"/>
  <c r="Q214" i="9" l="1"/>
  <c r="Q206" i="9"/>
  <c r="Q209" i="9" s="1"/>
  <c r="Q121" i="9"/>
  <c r="Q83" i="9"/>
  <c r="Q84" i="9" s="1"/>
  <c r="Q74" i="9"/>
  <c r="Q73" i="9" s="1"/>
  <c r="Q66" i="9"/>
  <c r="Q65" i="9"/>
  <c r="Q60" i="9"/>
  <c r="Q59" i="9"/>
  <c r="Q67" i="9" s="1"/>
  <c r="Q28" i="9"/>
  <c r="HF158" i="8"/>
  <c r="HF157" i="8"/>
  <c r="HF156" i="8"/>
  <c r="HF155" i="8"/>
  <c r="HF154" i="8"/>
  <c r="HF153" i="8"/>
  <c r="HF152" i="8"/>
  <c r="HF151" i="8"/>
  <c r="HF173" i="8"/>
  <c r="HF126" i="8"/>
  <c r="HF110" i="8"/>
  <c r="HG109" i="8" s="1"/>
  <c r="HF77" i="8"/>
  <c r="HG74" i="8" s="1"/>
  <c r="HF32" i="8"/>
  <c r="HF37" i="8" s="1"/>
  <c r="M143" i="3"/>
  <c r="M141" i="3"/>
  <c r="M133" i="3"/>
  <c r="M127" i="3"/>
  <c r="M38" i="3"/>
  <c r="M35" i="3"/>
  <c r="M13" i="3"/>
  <c r="G126" i="10"/>
  <c r="K125" i="10"/>
  <c r="M15" i="3" l="1"/>
  <c r="M10" i="2" s="1"/>
  <c r="M7" i="2" s="1"/>
  <c r="M32" i="2" s="1"/>
  <c r="Q99" i="9"/>
  <c r="Q100" i="9" s="1"/>
  <c r="HF172" i="8"/>
  <c r="HF159" i="8"/>
  <c r="HG67" i="8"/>
  <c r="HG75" i="8"/>
  <c r="M144" i="3"/>
  <c r="HG94" i="8"/>
  <c r="HG95" i="8"/>
  <c r="HG96" i="8"/>
  <c r="HG97" i="8"/>
  <c r="HG102" i="8"/>
  <c r="HG103" i="8"/>
  <c r="HG105" i="8"/>
  <c r="HG29" i="8"/>
  <c r="HF39" i="8"/>
  <c r="HG21" i="8"/>
  <c r="HG32" i="8"/>
  <c r="HG34" i="8"/>
  <c r="HG36" i="8"/>
  <c r="HF111" i="8"/>
  <c r="HG30" i="8"/>
  <c r="M134" i="3"/>
  <c r="Q5" i="9"/>
  <c r="Q23" i="9" s="1"/>
  <c r="Q46" i="9"/>
  <c r="Q48" i="9" s="1"/>
  <c r="Q36" i="9"/>
  <c r="Q37" i="9" s="1"/>
  <c r="Q41" i="9" s="1"/>
  <c r="Q61" i="9"/>
  <c r="HG68" i="8"/>
  <c r="HG76" i="8"/>
  <c r="HG104" i="8"/>
  <c r="HG69" i="8"/>
  <c r="HG18" i="8"/>
  <c r="HG33" i="8"/>
  <c r="HG70" i="8"/>
  <c r="HG90" i="8"/>
  <c r="HG98" i="8"/>
  <c r="HG106" i="8"/>
  <c r="HG71" i="8"/>
  <c r="HG91" i="8"/>
  <c r="HG99" i="8"/>
  <c r="HG107" i="8"/>
  <c r="HG24" i="8"/>
  <c r="HG35" i="8"/>
  <c r="HG72" i="8"/>
  <c r="HG92" i="8"/>
  <c r="HG100" i="8"/>
  <c r="HG108" i="8"/>
  <c r="HF171" i="8"/>
  <c r="HG27" i="8"/>
  <c r="HG65" i="8"/>
  <c r="HG73" i="8"/>
  <c r="HG93" i="8"/>
  <c r="HG101" i="8"/>
  <c r="HG66" i="8"/>
  <c r="D43" i="8"/>
  <c r="F43" i="8"/>
  <c r="H43" i="8"/>
  <c r="J43" i="8"/>
  <c r="L43" i="8"/>
  <c r="N43" i="8"/>
  <c r="P43" i="8"/>
  <c r="R43" i="8"/>
  <c r="T43" i="8"/>
  <c r="V43" i="8"/>
  <c r="X43" i="8"/>
  <c r="Z43" i="8"/>
  <c r="AB43" i="8"/>
  <c r="AD43" i="8"/>
  <c r="AF43" i="8"/>
  <c r="AH43" i="8"/>
  <c r="AJ43" i="8"/>
  <c r="AL43" i="8"/>
  <c r="AN43" i="8"/>
  <c r="AP43" i="8"/>
  <c r="AR43" i="8"/>
  <c r="AT43" i="8"/>
  <c r="AV43" i="8"/>
  <c r="AX43" i="8"/>
  <c r="AZ43" i="8"/>
  <c r="BB43" i="8"/>
  <c r="BF43" i="8"/>
  <c r="BH43" i="8"/>
  <c r="BJ43" i="8"/>
  <c r="BL43" i="8"/>
  <c r="BN43" i="8"/>
  <c r="BP43" i="8"/>
  <c r="BR43" i="8"/>
  <c r="BT43" i="8"/>
  <c r="BV43" i="8"/>
  <c r="BX43" i="8"/>
  <c r="BZ43" i="8"/>
  <c r="CB43" i="8"/>
  <c r="CD43" i="8"/>
  <c r="CF43" i="8"/>
  <c r="CH43" i="8"/>
  <c r="CK43" i="8"/>
  <c r="CN43" i="8"/>
  <c r="CZ43" i="8"/>
  <c r="DC43" i="8"/>
  <c r="DF43" i="8"/>
  <c r="DI43" i="8"/>
  <c r="DL43" i="8"/>
  <c r="DO43" i="8"/>
  <c r="DR43" i="8"/>
  <c r="DU43" i="8"/>
  <c r="DX43" i="8"/>
  <c r="EA43" i="8"/>
  <c r="ED43" i="8"/>
  <c r="EG43" i="8"/>
  <c r="EJ43" i="8"/>
  <c r="EM43" i="8"/>
  <c r="EP43" i="8"/>
  <c r="ES43" i="8"/>
  <c r="EV43" i="8"/>
  <c r="EY43" i="8"/>
  <c r="FB43" i="8"/>
  <c r="FE43" i="8"/>
  <c r="FH43" i="8"/>
  <c r="FK43" i="8"/>
  <c r="FN43" i="8"/>
  <c r="FQ43" i="8"/>
  <c r="FT43" i="8"/>
  <c r="FW43" i="8"/>
  <c r="FZ43" i="8"/>
  <c r="GC43" i="8"/>
  <c r="GF43" i="8"/>
  <c r="GG43" i="8"/>
  <c r="GI43" i="8"/>
  <c r="GK43" i="8"/>
  <c r="GM43" i="8"/>
  <c r="GO43" i="8"/>
  <c r="GQ43" i="8"/>
  <c r="GT43" i="8"/>
  <c r="GW43" i="8"/>
  <c r="GZ43" i="8"/>
  <c r="HC43" i="8"/>
  <c r="IA43" i="8"/>
  <c r="D44" i="8"/>
  <c r="F44" i="8"/>
  <c r="H44" i="8"/>
  <c r="J44" i="8"/>
  <c r="L44" i="8"/>
  <c r="N44" i="8"/>
  <c r="P44" i="8"/>
  <c r="R44" i="8"/>
  <c r="T44" i="8"/>
  <c r="V44" i="8"/>
  <c r="X44" i="8"/>
  <c r="Z44" i="8"/>
  <c r="AB44" i="8"/>
  <c r="AD44" i="8"/>
  <c r="AF44" i="8"/>
  <c r="AH44" i="8"/>
  <c r="AJ44" i="8"/>
  <c r="AL44" i="8"/>
  <c r="AN44" i="8"/>
  <c r="AP44" i="8"/>
  <c r="AR44" i="8"/>
  <c r="AT44" i="8"/>
  <c r="AV44" i="8"/>
  <c r="AX44" i="8"/>
  <c r="AZ44" i="8"/>
  <c r="BB44" i="8"/>
  <c r="BD44" i="8"/>
  <c r="BF44" i="8"/>
  <c r="BH44" i="8"/>
  <c r="BJ44" i="8"/>
  <c r="BL44" i="8"/>
  <c r="BN44" i="8"/>
  <c r="BP44" i="8"/>
  <c r="BR44" i="8"/>
  <c r="BT44" i="8"/>
  <c r="BV44" i="8"/>
  <c r="BX44" i="8"/>
  <c r="BZ44" i="8"/>
  <c r="CB44" i="8"/>
  <c r="CD44" i="8"/>
  <c r="CF44" i="8"/>
  <c r="CH44" i="8"/>
  <c r="CK44" i="8"/>
  <c r="GF44" i="8"/>
  <c r="JC44" i="8"/>
  <c r="JD44" i="8"/>
  <c r="JE44" i="8"/>
  <c r="JF44" i="8"/>
  <c r="D45" i="8"/>
  <c r="F45" i="8"/>
  <c r="H45" i="8"/>
  <c r="J45" i="8"/>
  <c r="L45" i="8"/>
  <c r="N45" i="8"/>
  <c r="P45" i="8"/>
  <c r="R45" i="8"/>
  <c r="T45" i="8"/>
  <c r="V45" i="8"/>
  <c r="X45" i="8"/>
  <c r="Z45" i="8"/>
  <c r="AB45" i="8"/>
  <c r="AD45" i="8"/>
  <c r="AF45" i="8"/>
  <c r="AH45" i="8"/>
  <c r="AJ45" i="8"/>
  <c r="AL45" i="8"/>
  <c r="AN45" i="8"/>
  <c r="AP45" i="8"/>
  <c r="AR45" i="8"/>
  <c r="AT45" i="8"/>
  <c r="AV45" i="8"/>
  <c r="AX45" i="8"/>
  <c r="AZ45" i="8"/>
  <c r="BB45" i="8"/>
  <c r="BD45" i="8"/>
  <c r="BF45" i="8"/>
  <c r="BH45" i="8"/>
  <c r="BJ45" i="8"/>
  <c r="BL45" i="8"/>
  <c r="BN45" i="8"/>
  <c r="BP45" i="8"/>
  <c r="BR45" i="8"/>
  <c r="BT45" i="8"/>
  <c r="BV45" i="8"/>
  <c r="BZ45" i="8"/>
  <c r="CB45" i="8"/>
  <c r="CD45" i="8"/>
  <c r="CF45" i="8"/>
  <c r="CH45" i="8"/>
  <c r="CK45" i="8"/>
  <c r="GF45" i="8"/>
  <c r="D46" i="8"/>
  <c r="F46" i="8"/>
  <c r="H46" i="8"/>
  <c r="J46" i="8"/>
  <c r="L46" i="8"/>
  <c r="N46" i="8"/>
  <c r="P46" i="8"/>
  <c r="R46" i="8"/>
  <c r="T46" i="8"/>
  <c r="V46" i="8"/>
  <c r="X46" i="8"/>
  <c r="Z46" i="8"/>
  <c r="AB46" i="8"/>
  <c r="AD46" i="8"/>
  <c r="AF46" i="8"/>
  <c r="AJ46" i="8"/>
  <c r="AL46" i="8"/>
  <c r="AN46" i="8"/>
  <c r="AR46" i="8"/>
  <c r="AV46" i="8"/>
  <c r="AX46" i="8"/>
  <c r="AZ46" i="8"/>
  <c r="BB46" i="8"/>
  <c r="BD46" i="8"/>
  <c r="BF46" i="8"/>
  <c r="BN46" i="8"/>
  <c r="BT46" i="8"/>
  <c r="BV46" i="8"/>
  <c r="BX46" i="8"/>
  <c r="BZ46" i="8"/>
  <c r="CB46" i="8"/>
  <c r="CD46" i="8"/>
  <c r="CF46" i="8"/>
  <c r="CH46" i="8"/>
  <c r="CK46" i="8"/>
  <c r="CT46" i="8"/>
  <c r="CW46" i="8"/>
  <c r="CZ46" i="8"/>
  <c r="DC46" i="8"/>
  <c r="DF46" i="8"/>
  <c r="DI46" i="8"/>
  <c r="DL46" i="8"/>
  <c r="DO46" i="8"/>
  <c r="DR46" i="8"/>
  <c r="DU46" i="8"/>
  <c r="DX46" i="8"/>
  <c r="EA46" i="8"/>
  <c r="ED46" i="8"/>
  <c r="EG46" i="8"/>
  <c r="EJ46" i="8"/>
  <c r="EM46" i="8"/>
  <c r="EP46" i="8"/>
  <c r="ES46" i="8"/>
  <c r="EV46" i="8"/>
  <c r="EY46" i="8"/>
  <c r="FB46" i="8"/>
  <c r="FE46" i="8"/>
  <c r="FH46" i="8"/>
  <c r="FK46" i="8"/>
  <c r="FN46" i="8"/>
  <c r="FQ46" i="8"/>
  <c r="FT46" i="8"/>
  <c r="FW46" i="8"/>
  <c r="FZ46" i="8"/>
  <c r="GC46" i="8"/>
  <c r="GF46" i="8"/>
  <c r="GG46" i="8"/>
  <c r="GI46" i="8"/>
  <c r="GK46" i="8"/>
  <c r="GM46" i="8"/>
  <c r="GO46" i="8"/>
  <c r="GQ46" i="8"/>
  <c r="GT46" i="8"/>
  <c r="GW46" i="8"/>
  <c r="GZ46" i="8"/>
  <c r="HC46" i="8"/>
  <c r="HC48" i="8" s="1"/>
  <c r="HC50" i="8" s="1"/>
  <c r="IA46" i="8"/>
  <c r="HC58" i="8"/>
  <c r="GZ58" i="8"/>
  <c r="HC59" i="8"/>
  <c r="HC57" i="8"/>
  <c r="HC60" i="8"/>
  <c r="HC55" i="8"/>
  <c r="HC54" i="8"/>
  <c r="HC52" i="8"/>
  <c r="HC49" i="8"/>
  <c r="HC51" i="8" s="1"/>
  <c r="HC47" i="8"/>
  <c r="HC110" i="8"/>
  <c r="Q12" i="9" l="1"/>
  <c r="D126" i="10"/>
  <c r="F126" i="10" s="1"/>
  <c r="Q40" i="9"/>
  <c r="Q42" i="9" s="1"/>
  <c r="Q54" i="9"/>
  <c r="Q29" i="9" s="1"/>
  <c r="Q30" i="9" s="1"/>
  <c r="HC56" i="8"/>
  <c r="HG49" i="8" l="1"/>
  <c r="HG45" i="8"/>
  <c r="HG47" i="8"/>
  <c r="HG44" i="8"/>
  <c r="HG52" i="8"/>
  <c r="HG43" i="8"/>
  <c r="HG59" i="8"/>
  <c r="HG51" i="8"/>
  <c r="HG57" i="8"/>
  <c r="HG58" i="8"/>
  <c r="HG46" i="8"/>
  <c r="HG48" i="8"/>
  <c r="HG50" i="8"/>
  <c r="U38" i="3" l="1"/>
  <c r="S38" i="3"/>
  <c r="Q38" i="3"/>
  <c r="DL80" i="1" l="1"/>
  <c r="DL27" i="1"/>
  <c r="H125" i="10"/>
  <c r="E125" i="10" s="1"/>
  <c r="HC158" i="8"/>
  <c r="HC157" i="8"/>
  <c r="HC156" i="8"/>
  <c r="HC155" i="8"/>
  <c r="HC154" i="8"/>
  <c r="HC153" i="8"/>
  <c r="HC152" i="8"/>
  <c r="HC151" i="8"/>
  <c r="HC150" i="8"/>
  <c r="HC144" i="8"/>
  <c r="HC173" i="8" s="1"/>
  <c r="HC126" i="8"/>
  <c r="HC172" i="8" s="1"/>
  <c r="HD109" i="8"/>
  <c r="HD102" i="8"/>
  <c r="HD101" i="8"/>
  <c r="HD94" i="8"/>
  <c r="HC77" i="8"/>
  <c r="HD74" i="8" s="1"/>
  <c r="HC32" i="8"/>
  <c r="HC37" i="8" s="1"/>
  <c r="HC39" i="8" s="1"/>
  <c r="K124" i="10"/>
  <c r="HD75" i="8" l="1"/>
  <c r="HD36" i="8"/>
  <c r="HC111" i="8"/>
  <c r="HD32" i="8"/>
  <c r="HD106" i="8"/>
  <c r="G125" i="10"/>
  <c r="HD90" i="8"/>
  <c r="HD103" i="8"/>
  <c r="HD93" i="8"/>
  <c r="HD105" i="8"/>
  <c r="HD29" i="8"/>
  <c r="HD67" i="8"/>
  <c r="HD97" i="8"/>
  <c r="HD95" i="8"/>
  <c r="HD30" i="8"/>
  <c r="HD69" i="8"/>
  <c r="HD98" i="8"/>
  <c r="HD68" i="8"/>
  <c r="HD76" i="8"/>
  <c r="HD96" i="8"/>
  <c r="HD104" i="8"/>
  <c r="HD18" i="8"/>
  <c r="HD33" i="8"/>
  <c r="HD70" i="8"/>
  <c r="HD34" i="8"/>
  <c r="HD71" i="8"/>
  <c r="HD91" i="8"/>
  <c r="HD99" i="8"/>
  <c r="HD107" i="8"/>
  <c r="HC159" i="8"/>
  <c r="HD21" i="8"/>
  <c r="HD24" i="8"/>
  <c r="HD35" i="8"/>
  <c r="HD72" i="8"/>
  <c r="HD92" i="8"/>
  <c r="HD100" i="8"/>
  <c r="HD108" i="8"/>
  <c r="HC171" i="8"/>
  <c r="HD27" i="8"/>
  <c r="HD65" i="8"/>
  <c r="HD73" i="8"/>
  <c r="HD66" i="8"/>
  <c r="D125" i="10" l="1"/>
  <c r="F125" i="10" s="1"/>
  <c r="HC61" i="8"/>
  <c r="DK27" i="1"/>
  <c r="DJ27" i="1"/>
  <c r="DI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V67" i="1"/>
  <c r="W37" i="9"/>
  <c r="GZ60" i="8"/>
  <c r="GZ59" i="8"/>
  <c r="GZ57" i="8"/>
  <c r="GZ55" i="8"/>
  <c r="GZ54" i="8"/>
  <c r="GZ52" i="8"/>
  <c r="GZ49" i="8"/>
  <c r="DU27" i="1" l="1"/>
  <c r="HD45" i="8"/>
  <c r="HD46" i="8"/>
  <c r="HD43" i="8"/>
  <c r="HD44" i="8"/>
  <c r="HD59" i="8"/>
  <c r="HD52" i="8"/>
  <c r="HD57" i="8"/>
  <c r="HD58" i="8"/>
  <c r="HD51" i="8"/>
  <c r="HD48" i="8"/>
  <c r="HD47" i="8"/>
  <c r="HD50" i="8"/>
  <c r="HD49" i="8"/>
  <c r="GZ56" i="8"/>
  <c r="DK80" i="1" l="1"/>
  <c r="GZ158" i="8" l="1"/>
  <c r="GZ157" i="8"/>
  <c r="GZ156" i="8"/>
  <c r="GZ155" i="8"/>
  <c r="GZ154" i="8"/>
  <c r="GZ153" i="8"/>
  <c r="GZ152" i="8"/>
  <c r="GZ151" i="8"/>
  <c r="GZ150" i="8"/>
  <c r="GZ144" i="8"/>
  <c r="GZ173" i="8" s="1"/>
  <c r="GZ126" i="8"/>
  <c r="GZ172" i="8" s="1"/>
  <c r="GZ110" i="8"/>
  <c r="HA109" i="8" s="1"/>
  <c r="GZ77" i="8"/>
  <c r="GZ171" i="8" s="1"/>
  <c r="GZ51" i="8"/>
  <c r="GZ47" i="8"/>
  <c r="GZ48" i="8"/>
  <c r="GZ32" i="8"/>
  <c r="GZ37" i="8" s="1"/>
  <c r="H124" i="10"/>
  <c r="E124" i="10" s="1"/>
  <c r="HA73" i="8" l="1"/>
  <c r="HA74" i="8"/>
  <c r="HA75" i="8"/>
  <c r="HA65" i="8"/>
  <c r="HA66" i="8"/>
  <c r="HA67" i="8"/>
  <c r="HA69" i="8"/>
  <c r="HA71" i="8"/>
  <c r="HA36" i="8"/>
  <c r="GZ39" i="8"/>
  <c r="G124" i="10"/>
  <c r="GZ159" i="8"/>
  <c r="GZ50" i="8"/>
  <c r="GZ61" i="8" s="1"/>
  <c r="HA94" i="8"/>
  <c r="HA68" i="8"/>
  <c r="HA76" i="8"/>
  <c r="HA96" i="8"/>
  <c r="HA104" i="8"/>
  <c r="HA103" i="8"/>
  <c r="HA32" i="8"/>
  <c r="HA97" i="8"/>
  <c r="HA105" i="8"/>
  <c r="HA29" i="8"/>
  <c r="HA102" i="8"/>
  <c r="HA30" i="8"/>
  <c r="HA95" i="8"/>
  <c r="GZ111" i="8"/>
  <c r="HA18" i="8"/>
  <c r="HA33" i="8"/>
  <c r="HA70" i="8"/>
  <c r="HA90" i="8"/>
  <c r="HA98" i="8"/>
  <c r="HA106" i="8"/>
  <c r="HA21" i="8"/>
  <c r="HA34" i="8"/>
  <c r="HA91" i="8"/>
  <c r="HA99" i="8"/>
  <c r="HA107" i="8"/>
  <c r="HA24" i="8"/>
  <c r="HA35" i="8"/>
  <c r="HA72" i="8"/>
  <c r="HA92" i="8"/>
  <c r="HA100" i="8"/>
  <c r="HA108" i="8"/>
  <c r="HA27" i="8"/>
  <c r="HA93" i="8"/>
  <c r="HA101" i="8"/>
  <c r="M47" i="4"/>
  <c r="L47" i="4"/>
  <c r="HA45" i="8" l="1"/>
  <c r="HA46" i="8"/>
  <c r="HA44" i="8"/>
  <c r="HA43" i="8"/>
  <c r="HA59" i="8"/>
  <c r="HA51" i="8"/>
  <c r="HA47" i="8"/>
  <c r="HA58" i="8"/>
  <c r="D124" i="10"/>
  <c r="F124" i="10" s="1"/>
  <c r="HA57" i="8"/>
  <c r="HA49" i="8"/>
  <c r="HA52" i="8"/>
  <c r="HA48" i="8"/>
  <c r="HA50" i="8"/>
  <c r="DJ161" i="1" l="1"/>
  <c r="DJ166" i="1" s="1"/>
  <c r="DI161" i="1"/>
  <c r="DI166" i="1" s="1"/>
  <c r="DJ80" i="1" l="1"/>
  <c r="GW60" i="8"/>
  <c r="GW59" i="8"/>
  <c r="GW58" i="8"/>
  <c r="GW57" i="8"/>
  <c r="GW55" i="8"/>
  <c r="GW54" i="8"/>
  <c r="GW52" i="8"/>
  <c r="GW49" i="8"/>
  <c r="GW56" i="8" l="1"/>
  <c r="DI126" i="1" l="1"/>
  <c r="H123" i="10" l="1"/>
  <c r="E123" i="10" s="1"/>
  <c r="GW158" i="8"/>
  <c r="GW156" i="8"/>
  <c r="GW155" i="8"/>
  <c r="GW154" i="8"/>
  <c r="GW152" i="8"/>
  <c r="GW151" i="8"/>
  <c r="GW150" i="8"/>
  <c r="GW144" i="8"/>
  <c r="GW173" i="8" s="1"/>
  <c r="GW110" i="8"/>
  <c r="GX109" i="8" s="1"/>
  <c r="GW77" i="8"/>
  <c r="GX74" i="8" s="1"/>
  <c r="GW51" i="8"/>
  <c r="GW47" i="8"/>
  <c r="GW48" i="8"/>
  <c r="GW50" i="8" s="1"/>
  <c r="GW32" i="8"/>
  <c r="GW37" i="8" s="1"/>
  <c r="W214" i="9"/>
  <c r="W206" i="9"/>
  <c r="W209" i="9" s="1"/>
  <c r="GT60" i="8"/>
  <c r="GT59" i="8"/>
  <c r="GT58" i="8"/>
  <c r="GT57" i="8"/>
  <c r="GT55" i="8"/>
  <c r="GT54" i="8"/>
  <c r="GT52" i="8"/>
  <c r="GT49" i="8"/>
  <c r="K122" i="10"/>
  <c r="GW39" i="8" l="1"/>
  <c r="GX94" i="8"/>
  <c r="GX97" i="8"/>
  <c r="GX95" i="8"/>
  <c r="GX103" i="8"/>
  <c r="GX102" i="8"/>
  <c r="GX96" i="8"/>
  <c r="GX105" i="8"/>
  <c r="GX104" i="8"/>
  <c r="GX67" i="8"/>
  <c r="GX68" i="8"/>
  <c r="GX69" i="8"/>
  <c r="GX75" i="8"/>
  <c r="GX76" i="8"/>
  <c r="G123" i="10"/>
  <c r="GX29" i="8"/>
  <c r="GW111" i="8"/>
  <c r="GX30" i="8"/>
  <c r="GX36" i="8"/>
  <c r="GX27" i="8"/>
  <c r="GX35" i="8"/>
  <c r="GX24" i="8"/>
  <c r="GX34" i="8"/>
  <c r="GX21" i="8"/>
  <c r="GX33" i="8"/>
  <c r="GX18" i="8"/>
  <c r="GX32" i="8"/>
  <c r="GX70" i="8"/>
  <c r="GX90" i="8"/>
  <c r="GX98" i="8"/>
  <c r="GX106" i="8"/>
  <c r="GX71" i="8"/>
  <c r="GX91" i="8"/>
  <c r="GX99" i="8"/>
  <c r="GX107" i="8"/>
  <c r="GW61" i="8"/>
  <c r="GX72" i="8"/>
  <c r="GX92" i="8"/>
  <c r="GX100" i="8"/>
  <c r="GX108" i="8"/>
  <c r="GW171" i="8"/>
  <c r="GX65" i="8"/>
  <c r="GX73" i="8"/>
  <c r="GX93" i="8"/>
  <c r="GX101" i="8"/>
  <c r="GX66" i="8"/>
  <c r="GT56" i="8"/>
  <c r="GX45" i="8" l="1"/>
  <c r="GX44" i="8"/>
  <c r="GX46" i="8"/>
  <c r="GX43" i="8"/>
  <c r="D123" i="10"/>
  <c r="F123" i="10" s="1"/>
  <c r="GX49" i="8"/>
  <c r="GX47" i="8"/>
  <c r="GX48" i="8"/>
  <c r="GX52" i="8"/>
  <c r="GX51" i="8"/>
  <c r="GX50" i="8"/>
  <c r="GX57" i="8"/>
  <c r="GX58" i="8"/>
  <c r="GX59" i="8"/>
  <c r="DX26" i="4"/>
  <c r="DI78" i="1" l="1"/>
  <c r="DI80" i="1" s="1"/>
  <c r="Y214" i="9" l="1"/>
  <c r="Y206" i="9"/>
  <c r="Y209" i="9" s="1"/>
  <c r="Y121" i="9"/>
  <c r="Y83" i="9"/>
  <c r="Y84" i="9" s="1"/>
  <c r="Y66" i="9"/>
  <c r="Y65" i="9"/>
  <c r="Y60" i="9"/>
  <c r="Y59" i="9"/>
  <c r="Y28" i="9"/>
  <c r="GT158" i="8"/>
  <c r="GT157" i="8"/>
  <c r="GT156" i="8"/>
  <c r="GT155" i="8"/>
  <c r="GT154" i="8"/>
  <c r="GT153" i="8"/>
  <c r="GT152" i="8"/>
  <c r="GT151" i="8"/>
  <c r="GT150" i="8"/>
  <c r="GT144" i="8"/>
  <c r="GT173" i="8" s="1"/>
  <c r="GT126" i="8"/>
  <c r="GT172" i="8" s="1"/>
  <c r="GT110" i="8"/>
  <c r="GT77" i="8"/>
  <c r="GT171" i="8" s="1"/>
  <c r="GT51" i="8"/>
  <c r="GT47" i="8"/>
  <c r="GT48" i="8"/>
  <c r="GT32" i="8"/>
  <c r="GT37" i="8" s="1"/>
  <c r="GT39" i="8" s="1"/>
  <c r="H122" i="10"/>
  <c r="E122" i="10" s="1"/>
  <c r="DQ166" i="1"/>
  <c r="DP166" i="1"/>
  <c r="DO166" i="1"/>
  <c r="DN161" i="1"/>
  <c r="DN166" i="1" s="1"/>
  <c r="DM161" i="1"/>
  <c r="DM166" i="1" s="1"/>
  <c r="DL161" i="1"/>
  <c r="DL166" i="1" s="1"/>
  <c r="DK161" i="1"/>
  <c r="DT12" i="1"/>
  <c r="DT18" i="1" s="1"/>
  <c r="DS12" i="1"/>
  <c r="DS18" i="1" s="1"/>
  <c r="DR12" i="1"/>
  <c r="DR18" i="1" s="1"/>
  <c r="DQ12" i="1"/>
  <c r="DQ18" i="1" s="1"/>
  <c r="DP12" i="1"/>
  <c r="DP18" i="1" s="1"/>
  <c r="DO12" i="1"/>
  <c r="DO18" i="1" s="1"/>
  <c r="DN12" i="1"/>
  <c r="DN18" i="1" s="1"/>
  <c r="DM12" i="1"/>
  <c r="DM18" i="1" s="1"/>
  <c r="DL12" i="1"/>
  <c r="DL18" i="1" s="1"/>
  <c r="DK12" i="1"/>
  <c r="DK18" i="1" s="1"/>
  <c r="DJ12" i="1"/>
  <c r="DJ18" i="1" s="1"/>
  <c r="DI12" i="1"/>
  <c r="DI18" i="1" s="1"/>
  <c r="DG12" i="1"/>
  <c r="DH10" i="1"/>
  <c r="CW12" i="1"/>
  <c r="CX12" i="1"/>
  <c r="CY12" i="1"/>
  <c r="CZ12" i="1"/>
  <c r="DA12" i="1"/>
  <c r="DB12" i="1"/>
  <c r="DC12" i="1"/>
  <c r="DD12" i="1"/>
  <c r="DE12" i="1"/>
  <c r="DF12" i="1"/>
  <c r="DU183" i="1"/>
  <c r="DU178" i="1"/>
  <c r="DU170" i="1"/>
  <c r="DU169" i="1"/>
  <c r="DU165" i="1"/>
  <c r="DU164" i="1"/>
  <c r="DU163" i="1"/>
  <c r="DU162" i="1"/>
  <c r="DU160" i="1"/>
  <c r="DU158" i="1"/>
  <c r="DU154" i="1"/>
  <c r="DU153" i="1"/>
  <c r="DU152" i="1"/>
  <c r="DU151" i="1"/>
  <c r="DU139" i="1"/>
  <c r="DU138" i="1"/>
  <c r="DU137" i="1"/>
  <c r="DU136" i="1"/>
  <c r="DU135" i="1"/>
  <c r="DU134" i="1"/>
  <c r="DU133" i="1"/>
  <c r="DU132" i="1"/>
  <c r="DU131" i="1"/>
  <c r="DU130" i="1"/>
  <c r="DU129" i="1"/>
  <c r="DU125" i="1"/>
  <c r="DU124" i="1"/>
  <c r="DU119" i="1"/>
  <c r="DU110" i="1"/>
  <c r="DU105" i="1"/>
  <c r="DU103" i="1"/>
  <c r="DU102" i="1"/>
  <c r="DU98" i="1"/>
  <c r="DU97" i="1"/>
  <c r="DU95" i="1"/>
  <c r="DU90" i="1"/>
  <c r="DU87" i="1"/>
  <c r="DU86" i="1"/>
  <c r="DU85" i="1"/>
  <c r="DU82" i="1"/>
  <c r="DU79" i="1"/>
  <c r="DU78" i="1"/>
  <c r="DU77" i="1"/>
  <c r="DU76" i="1"/>
  <c r="DU75" i="1"/>
  <c r="DU74" i="1"/>
  <c r="DU66" i="1"/>
  <c r="DU55" i="1"/>
  <c r="DU54" i="1"/>
  <c r="DU53" i="1"/>
  <c r="DU47" i="1"/>
  <c r="DU46" i="1"/>
  <c r="DU43" i="1"/>
  <c r="DU36" i="1"/>
  <c r="DU16" i="1"/>
  <c r="DU15" i="1"/>
  <c r="DU14" i="1"/>
  <c r="DU13" i="1"/>
  <c r="DT173" i="1"/>
  <c r="DT161" i="1"/>
  <c r="DT166" i="1" s="1"/>
  <c r="DT126" i="1"/>
  <c r="DT142" i="1" s="1"/>
  <c r="DT144" i="1" s="1"/>
  <c r="DT107" i="1"/>
  <c r="DT99" i="1"/>
  <c r="DT88" i="1"/>
  <c r="DT92" i="1" s="1"/>
  <c r="DT80" i="1"/>
  <c r="DT67" i="1"/>
  <c r="DT56" i="1"/>
  <c r="DT48" i="1"/>
  <c r="DT37" i="1"/>
  <c r="DT39" i="1" s="1"/>
  <c r="DS173" i="1"/>
  <c r="DS161" i="1"/>
  <c r="DS166" i="1" s="1"/>
  <c r="DS126" i="1"/>
  <c r="DS142" i="1" s="1"/>
  <c r="DS144" i="1" s="1"/>
  <c r="DS107" i="1"/>
  <c r="DS99" i="1"/>
  <c r="DS88" i="1"/>
  <c r="DS92" i="1" s="1"/>
  <c r="DS80" i="1"/>
  <c r="DS67" i="1"/>
  <c r="DS56" i="1"/>
  <c r="DS48" i="1"/>
  <c r="DS37" i="1"/>
  <c r="DS39" i="1" s="1"/>
  <c r="DR173" i="1"/>
  <c r="DR161" i="1"/>
  <c r="DR166" i="1" s="1"/>
  <c r="DR126" i="1"/>
  <c r="DR142" i="1" s="1"/>
  <c r="DR144" i="1" s="1"/>
  <c r="DR107" i="1"/>
  <c r="DR99" i="1"/>
  <c r="DR88" i="1"/>
  <c r="DR92" i="1" s="1"/>
  <c r="DR80" i="1"/>
  <c r="DR113" i="1" s="1"/>
  <c r="DR67" i="1"/>
  <c r="DR56" i="1"/>
  <c r="DR48" i="1"/>
  <c r="DR37" i="1"/>
  <c r="DR39" i="1" s="1"/>
  <c r="DQ173" i="1"/>
  <c r="DQ126" i="1"/>
  <c r="DQ142" i="1" s="1"/>
  <c r="DQ144" i="1" s="1"/>
  <c r="DQ107" i="1"/>
  <c r="DQ88" i="1"/>
  <c r="DQ92" i="1" s="1"/>
  <c r="DQ67" i="1"/>
  <c r="DQ56" i="1"/>
  <c r="DQ48" i="1"/>
  <c r="DQ37" i="1"/>
  <c r="DQ39" i="1" s="1"/>
  <c r="DP173" i="1"/>
  <c r="DP126" i="1"/>
  <c r="DP142" i="1" s="1"/>
  <c r="DP144" i="1" s="1"/>
  <c r="DP107" i="1"/>
  <c r="DP99" i="1"/>
  <c r="DP88" i="1"/>
  <c r="DP92" i="1" s="1"/>
  <c r="DP80" i="1"/>
  <c r="DP67" i="1"/>
  <c r="DP56" i="1"/>
  <c r="DP48" i="1"/>
  <c r="DP37" i="1"/>
  <c r="DP39" i="1" s="1"/>
  <c r="DO126" i="1"/>
  <c r="DO142" i="1" s="1"/>
  <c r="DO144" i="1" s="1"/>
  <c r="DO107" i="1"/>
  <c r="DO99" i="1"/>
  <c r="DO88" i="1"/>
  <c r="DO92" i="1" s="1"/>
  <c r="DO80" i="1"/>
  <c r="DO67" i="1"/>
  <c r="DO56" i="1"/>
  <c r="DO48" i="1"/>
  <c r="DO37" i="1"/>
  <c r="DO39" i="1" s="1"/>
  <c r="DN173" i="1"/>
  <c r="DN126" i="1"/>
  <c r="DN142" i="1" s="1"/>
  <c r="DN144" i="1" s="1"/>
  <c r="DN107" i="1"/>
  <c r="DN99" i="1"/>
  <c r="DN88" i="1"/>
  <c r="DN92" i="1" s="1"/>
  <c r="DN80" i="1"/>
  <c r="DN67" i="1"/>
  <c r="DN56" i="1"/>
  <c r="DN48" i="1"/>
  <c r="DN37" i="1"/>
  <c r="DN39" i="1" s="1"/>
  <c r="DM173" i="1"/>
  <c r="DM126" i="1"/>
  <c r="DM142" i="1" s="1"/>
  <c r="DM144" i="1" s="1"/>
  <c r="DM99" i="1"/>
  <c r="DM88" i="1"/>
  <c r="DM92" i="1" s="1"/>
  <c r="DM67" i="1"/>
  <c r="DM56" i="1"/>
  <c r="DM48" i="1"/>
  <c r="DM37" i="1"/>
  <c r="DM39" i="1" s="1"/>
  <c r="DL173" i="1"/>
  <c r="DL126" i="1"/>
  <c r="DL142" i="1" s="1"/>
  <c r="DL144" i="1" s="1"/>
  <c r="DL107" i="1"/>
  <c r="DL99" i="1"/>
  <c r="DL88" i="1"/>
  <c r="DL92" i="1" s="1"/>
  <c r="DL67" i="1"/>
  <c r="DL56" i="1"/>
  <c r="DL48" i="1"/>
  <c r="DL37" i="1"/>
  <c r="DL39" i="1" s="1"/>
  <c r="DK173" i="1"/>
  <c r="DK166" i="1"/>
  <c r="DK126" i="1"/>
  <c r="DK142" i="1" s="1"/>
  <c r="DK144" i="1" s="1"/>
  <c r="DK107" i="1"/>
  <c r="DK99" i="1"/>
  <c r="DK88" i="1"/>
  <c r="DK92" i="1" s="1"/>
  <c r="DK67" i="1"/>
  <c r="DK56" i="1"/>
  <c r="DK48" i="1"/>
  <c r="DK37" i="1"/>
  <c r="DK39" i="1" s="1"/>
  <c r="DJ173" i="1"/>
  <c r="DJ126" i="1"/>
  <c r="DJ142" i="1" s="1"/>
  <c r="DJ144" i="1" s="1"/>
  <c r="DJ107" i="1"/>
  <c r="DJ99" i="1"/>
  <c r="DJ88" i="1"/>
  <c r="DJ92" i="1" s="1"/>
  <c r="DJ67" i="1"/>
  <c r="DJ56" i="1"/>
  <c r="DJ48" i="1"/>
  <c r="DJ37" i="1"/>
  <c r="DJ39" i="1" s="1"/>
  <c r="DI173" i="1"/>
  <c r="DI142" i="1"/>
  <c r="DI144" i="1" s="1"/>
  <c r="DI107" i="1"/>
  <c r="DI99" i="1"/>
  <c r="DI88" i="1"/>
  <c r="DI92" i="1" s="1"/>
  <c r="DI67" i="1"/>
  <c r="DI56" i="1"/>
  <c r="DI48" i="1"/>
  <c r="DI37" i="1"/>
  <c r="DH184" i="1"/>
  <c r="DU48" i="1" l="1"/>
  <c r="DO180" i="1"/>
  <c r="DL180" i="1"/>
  <c r="DM180" i="1"/>
  <c r="DJ58" i="1"/>
  <c r="DJ60" i="1" s="1"/>
  <c r="DS147" i="1"/>
  <c r="DS58" i="1"/>
  <c r="DS60" i="1" s="1"/>
  <c r="DL58" i="1"/>
  <c r="DL60" i="1" s="1"/>
  <c r="DU126" i="1"/>
  <c r="DK180" i="1"/>
  <c r="DL147" i="1"/>
  <c r="DO58" i="1"/>
  <c r="DO60" i="1" s="1"/>
  <c r="DP58" i="1"/>
  <c r="DP60" i="1" s="1"/>
  <c r="DO147" i="1"/>
  <c r="DK147" i="1"/>
  <c r="DQ147" i="1"/>
  <c r="DR58" i="1"/>
  <c r="DR60" i="1" s="1"/>
  <c r="DJ147" i="1"/>
  <c r="Y36" i="9"/>
  <c r="Y37" i="9" s="1"/>
  <c r="Y41" i="9" s="1"/>
  <c r="G122" i="10"/>
  <c r="GT111" i="8"/>
  <c r="Y99" i="9"/>
  <c r="Y100" i="9" s="1"/>
  <c r="GU73" i="8"/>
  <c r="GU69" i="8"/>
  <c r="GU72" i="8"/>
  <c r="GU76" i="8"/>
  <c r="GU65" i="8"/>
  <c r="GU66" i="8"/>
  <c r="GU68" i="8"/>
  <c r="GU107" i="8"/>
  <c r="GU109" i="8"/>
  <c r="GU100" i="8"/>
  <c r="GU104" i="8"/>
  <c r="GU102" i="8"/>
  <c r="GU92" i="8"/>
  <c r="GU93" i="8"/>
  <c r="GU94" i="8"/>
  <c r="GU96" i="8"/>
  <c r="GU97" i="8"/>
  <c r="GU101" i="8"/>
  <c r="GU108" i="8"/>
  <c r="Y61" i="9"/>
  <c r="Y109" i="9"/>
  <c r="Y115" i="9" s="1"/>
  <c r="Y116" i="9" s="1"/>
  <c r="Y6" i="9"/>
  <c r="Y11" i="9" s="1"/>
  <c r="Y53" i="9" s="1"/>
  <c r="DU56" i="1"/>
  <c r="DI147" i="1"/>
  <c r="GT159" i="8"/>
  <c r="Y46" i="9"/>
  <c r="Y48" i="9" s="1"/>
  <c r="Y67" i="9"/>
  <c r="GT50" i="8"/>
  <c r="GU32" i="8"/>
  <c r="GU74" i="8"/>
  <c r="GU67" i="8"/>
  <c r="GU75" i="8"/>
  <c r="GU95" i="8"/>
  <c r="GU103" i="8"/>
  <c r="GU70" i="8"/>
  <c r="GU90" i="8"/>
  <c r="GU98" i="8"/>
  <c r="GU106" i="8"/>
  <c r="GU105" i="8"/>
  <c r="GU71" i="8"/>
  <c r="GU91" i="8"/>
  <c r="GU99" i="8"/>
  <c r="DR180" i="1"/>
  <c r="DS180" i="1"/>
  <c r="DT180" i="1"/>
  <c r="DU173" i="1"/>
  <c r="DU80" i="1"/>
  <c r="DR147" i="1"/>
  <c r="DT58" i="1"/>
  <c r="DT60" i="1" s="1"/>
  <c r="DI180" i="1"/>
  <c r="DN180" i="1"/>
  <c r="DP180" i="1"/>
  <c r="DJ180" i="1"/>
  <c r="DQ180" i="1"/>
  <c r="DU161" i="1"/>
  <c r="DU166" i="1" s="1"/>
  <c r="DU142" i="1"/>
  <c r="DU144" i="1"/>
  <c r="DQ113" i="1"/>
  <c r="DQ146" i="1" s="1"/>
  <c r="DU88" i="1"/>
  <c r="DN113" i="1"/>
  <c r="DU92" i="1"/>
  <c r="DL113" i="1"/>
  <c r="DL146" i="1" s="1"/>
  <c r="DT113" i="1"/>
  <c r="DT146" i="1" s="1"/>
  <c r="DP113" i="1"/>
  <c r="DP146" i="1" s="1"/>
  <c r="DU67" i="1"/>
  <c r="DQ58" i="1"/>
  <c r="DQ60" i="1" s="1"/>
  <c r="DP147" i="1"/>
  <c r="DN147" i="1"/>
  <c r="DT147" i="1"/>
  <c r="DM147" i="1"/>
  <c r="DU12" i="1"/>
  <c r="DN58" i="1"/>
  <c r="DN60" i="1" s="1"/>
  <c r="DM58" i="1"/>
  <c r="DM60" i="1" s="1"/>
  <c r="DU18" i="1"/>
  <c r="DS113" i="1"/>
  <c r="DS146" i="1" s="1"/>
  <c r="DR146" i="1"/>
  <c r="DO113" i="1"/>
  <c r="DO146" i="1" s="1"/>
  <c r="DM113" i="1"/>
  <c r="DM146" i="1" s="1"/>
  <c r="DK58" i="1"/>
  <c r="DK60" i="1" s="1"/>
  <c r="DI39" i="1"/>
  <c r="IZ27" i="8"/>
  <c r="IZ24" i="8"/>
  <c r="IZ21" i="8"/>
  <c r="IY21" i="8"/>
  <c r="DS149" i="1" l="1"/>
  <c r="DS186" i="1" s="1"/>
  <c r="DS193" i="1" s="1"/>
  <c r="DN146" i="1"/>
  <c r="DN149" i="1" s="1"/>
  <c r="DO149" i="1"/>
  <c r="DO186" i="1" s="1"/>
  <c r="DO193" i="1" s="1"/>
  <c r="Y40" i="9"/>
  <c r="Y42" i="9" s="1"/>
  <c r="Y54" i="9"/>
  <c r="Y29" i="9" s="1"/>
  <c r="Y30" i="9" s="1"/>
  <c r="DL149" i="1"/>
  <c r="DL186" i="1" s="1"/>
  <c r="DL193" i="1" s="1"/>
  <c r="DQ149" i="1"/>
  <c r="DQ186" i="1" s="1"/>
  <c r="DM149" i="1"/>
  <c r="DM186" i="1" s="1"/>
  <c r="DM193" i="1" s="1"/>
  <c r="GT61" i="8"/>
  <c r="Y110" i="9"/>
  <c r="Y12" i="9"/>
  <c r="Y13" i="9" s="1"/>
  <c r="D122" i="10"/>
  <c r="F122" i="10" s="1"/>
  <c r="Y76" i="9"/>
  <c r="GU24" i="8"/>
  <c r="GU34" i="8"/>
  <c r="GU21" i="8"/>
  <c r="GU33" i="8"/>
  <c r="GU18" i="8"/>
  <c r="GU35" i="8"/>
  <c r="GU30" i="8"/>
  <c r="GU29" i="8"/>
  <c r="GU36" i="8"/>
  <c r="GU27" i="8"/>
  <c r="DU180" i="1"/>
  <c r="DR149" i="1"/>
  <c r="DR186" i="1" s="1"/>
  <c r="DR193" i="1" s="1"/>
  <c r="DT149" i="1"/>
  <c r="DT186" i="1" s="1"/>
  <c r="DT193" i="1" s="1"/>
  <c r="DP149" i="1"/>
  <c r="DU147" i="1"/>
  <c r="DI58" i="1"/>
  <c r="DU39" i="1"/>
  <c r="DQ193" i="1" l="1"/>
  <c r="DP186" i="1"/>
  <c r="DN186" i="1"/>
  <c r="Y55" i="9"/>
  <c r="GU45" i="8"/>
  <c r="GU43" i="8"/>
  <c r="GU46" i="8"/>
  <c r="GU44" i="8"/>
  <c r="GU57" i="8"/>
  <c r="GU52" i="8"/>
  <c r="GU48" i="8"/>
  <c r="GU49" i="8"/>
  <c r="GU59" i="8"/>
  <c r="GU58" i="8"/>
  <c r="GU50" i="8"/>
  <c r="GU47" i="8"/>
  <c r="GU51" i="8"/>
  <c r="Y5" i="9"/>
  <c r="Y23" i="9" s="1"/>
  <c r="Y85" i="9"/>
  <c r="Y77" i="9"/>
  <c r="DI60" i="1"/>
  <c r="DU60" i="1" s="1"/>
  <c r="DU58" i="1"/>
  <c r="DH183" i="1"/>
  <c r="DN193" i="1" l="1"/>
  <c r="DP193" i="1"/>
  <c r="Y7" i="9"/>
  <c r="Y93" i="9"/>
  <c r="Y101" i="9"/>
  <c r="Y86" i="9"/>
  <c r="IZ18" i="8"/>
  <c r="GQ60" i="8"/>
  <c r="GQ59" i="8"/>
  <c r="GQ58" i="8"/>
  <c r="GQ57" i="8"/>
  <c r="GQ55" i="8"/>
  <c r="GQ54" i="8"/>
  <c r="GQ52" i="8"/>
  <c r="GQ49" i="8"/>
  <c r="GO49" i="8"/>
  <c r="Y68" i="9" l="1"/>
  <c r="Y69" i="9" s="1"/>
  <c r="Y102" i="9"/>
  <c r="GQ56" i="8"/>
  <c r="GQ32" i="8" l="1"/>
  <c r="GQ37" i="8" l="1"/>
  <c r="K121" i="10"/>
  <c r="E19" i="4"/>
  <c r="I19" i="4" s="1"/>
  <c r="K19" i="4" l="1"/>
  <c r="K44" i="4"/>
  <c r="G121" i="10"/>
  <c r="H121" i="10"/>
  <c r="E121" i="10" s="1"/>
  <c r="L44" i="4" l="1"/>
  <c r="M44" i="4" s="1"/>
  <c r="D121" i="10"/>
  <c r="F121" i="10" s="1"/>
  <c r="GQ39" i="8"/>
  <c r="DG173" i="1"/>
  <c r="DG161" i="1"/>
  <c r="DG166" i="1" s="1"/>
  <c r="DG126" i="1"/>
  <c r="DG142" i="1" s="1"/>
  <c r="DG144" i="1" s="1"/>
  <c r="DG107" i="1"/>
  <c r="DG99" i="1"/>
  <c r="DG88" i="1"/>
  <c r="DG92" i="1" s="1"/>
  <c r="DG80" i="1"/>
  <c r="DG67" i="1"/>
  <c r="DG56" i="1"/>
  <c r="DG48" i="1"/>
  <c r="DG37" i="1"/>
  <c r="DG39" i="1" s="1"/>
  <c r="DG18" i="1"/>
  <c r="AA214" i="9"/>
  <c r="AA206" i="9"/>
  <c r="AA209" i="9" s="1"/>
  <c r="AA121" i="9"/>
  <c r="AA83" i="9"/>
  <c r="AA99" i="9" s="1"/>
  <c r="AA100" i="9" s="1"/>
  <c r="AA66" i="9"/>
  <c r="AA65" i="9"/>
  <c r="AA60" i="9"/>
  <c r="AA59" i="9"/>
  <c r="AA67" i="9" s="1"/>
  <c r="AA36" i="9"/>
  <c r="AA54" i="9" s="1"/>
  <c r="AA29" i="9" s="1"/>
  <c r="AA28" i="9"/>
  <c r="GQ158" i="8"/>
  <c r="GQ157" i="8"/>
  <c r="GQ156" i="8"/>
  <c r="GQ155" i="8"/>
  <c r="GQ154" i="8"/>
  <c r="GQ153" i="8"/>
  <c r="GQ152" i="8"/>
  <c r="GQ151" i="8"/>
  <c r="GQ150" i="8"/>
  <c r="GQ144" i="8"/>
  <c r="GQ173" i="8" s="1"/>
  <c r="GQ126" i="8"/>
  <c r="GQ172" i="8" s="1"/>
  <c r="GQ110" i="8"/>
  <c r="GR109" i="8" s="1"/>
  <c r="GQ77" i="8"/>
  <c r="GR73" i="8" s="1"/>
  <c r="GQ51" i="8"/>
  <c r="GQ47" i="8"/>
  <c r="GQ48" i="8"/>
  <c r="DF161" i="1"/>
  <c r="IZ26" i="8"/>
  <c r="IZ25" i="8"/>
  <c r="IZ23" i="8"/>
  <c r="IZ22" i="8"/>
  <c r="GO55" i="8"/>
  <c r="GO60" i="8"/>
  <c r="GO58" i="8"/>
  <c r="GO57" i="8"/>
  <c r="GO54" i="8"/>
  <c r="GO51" i="8"/>
  <c r="AA84" i="9" l="1"/>
  <c r="DG147" i="1"/>
  <c r="DG180" i="1"/>
  <c r="DG113" i="1"/>
  <c r="DG146" i="1" s="1"/>
  <c r="GQ50" i="8"/>
  <c r="GQ61" i="8" s="1"/>
  <c r="GR74" i="8"/>
  <c r="GR69" i="8"/>
  <c r="GR76" i="8"/>
  <c r="DG58" i="1"/>
  <c r="DG60" i="1" s="1"/>
  <c r="AA37" i="9"/>
  <c r="AA41" i="9" s="1"/>
  <c r="AA40" i="9"/>
  <c r="AA5" i="9"/>
  <c r="AA23" i="9" s="1"/>
  <c r="AA30" i="9"/>
  <c r="AA61" i="9"/>
  <c r="AA46" i="9"/>
  <c r="AA48" i="9" s="1"/>
  <c r="GR65" i="8"/>
  <c r="GR66" i="8"/>
  <c r="GR68" i="8"/>
  <c r="GR67" i="8"/>
  <c r="GR75" i="8"/>
  <c r="GR95" i="8"/>
  <c r="GR103" i="8"/>
  <c r="GR96" i="8"/>
  <c r="GR104" i="8"/>
  <c r="GR94" i="8"/>
  <c r="GR97" i="8"/>
  <c r="GR105" i="8"/>
  <c r="GR70" i="8"/>
  <c r="GR90" i="8"/>
  <c r="GR98" i="8"/>
  <c r="GR106" i="8"/>
  <c r="GQ159" i="8"/>
  <c r="GR71" i="8"/>
  <c r="GR91" i="8"/>
  <c r="GR99" i="8"/>
  <c r="GR107" i="8"/>
  <c r="GR102" i="8"/>
  <c r="GR72" i="8"/>
  <c r="GR92" i="8"/>
  <c r="GR100" i="8"/>
  <c r="GR108" i="8"/>
  <c r="GR93" i="8"/>
  <c r="GR101" i="8"/>
  <c r="AA12" i="9"/>
  <c r="GR51" i="8" l="1"/>
  <c r="GR43" i="8"/>
  <c r="GR46" i="8"/>
  <c r="GR44" i="8"/>
  <c r="GR45" i="8"/>
  <c r="DG149" i="1"/>
  <c r="DG186" i="1" s="1"/>
  <c r="GR29" i="8"/>
  <c r="GR33" i="8"/>
  <c r="GR24" i="8"/>
  <c r="GR36" i="8"/>
  <c r="GR32" i="8"/>
  <c r="GR21" i="8"/>
  <c r="GR34" i="8"/>
  <c r="GR30" i="8"/>
  <c r="GR47" i="8"/>
  <c r="GR58" i="8"/>
  <c r="GR49" i="8"/>
  <c r="GR57" i="8"/>
  <c r="GR50" i="8"/>
  <c r="GR52" i="8"/>
  <c r="GR48" i="8"/>
  <c r="AA42" i="9"/>
  <c r="GR59" i="8"/>
  <c r="GR35" i="8"/>
  <c r="GR27" i="8"/>
  <c r="GR18" i="8"/>
  <c r="L8" i="13"/>
  <c r="M8" i="13" l="1"/>
  <c r="IW18" i="8"/>
  <c r="GO35" i="8"/>
  <c r="GO59" i="8" s="1"/>
  <c r="GO56" i="8" s="1"/>
  <c r="GO150" i="8"/>
  <c r="GM144" i="8" l="1"/>
  <c r="K120" i="10"/>
  <c r="DH170" i="1" l="1"/>
  <c r="DH169" i="1"/>
  <c r="DH165" i="1"/>
  <c r="DH164" i="1"/>
  <c r="DH163" i="1"/>
  <c r="DH162" i="1"/>
  <c r="DH160" i="1"/>
  <c r="DH159" i="1"/>
  <c r="DH158" i="1"/>
  <c r="DH155" i="1"/>
  <c r="DH139" i="1"/>
  <c r="DH138" i="1"/>
  <c r="DH137" i="1"/>
  <c r="DH136" i="1"/>
  <c r="DH135" i="1"/>
  <c r="DH134" i="1"/>
  <c r="DH133" i="1"/>
  <c r="DH132" i="1"/>
  <c r="DH131" i="1"/>
  <c r="DH130" i="1"/>
  <c r="DH129" i="1"/>
  <c r="DH125" i="1"/>
  <c r="DH124" i="1"/>
  <c r="DH119" i="1"/>
  <c r="DH110" i="1"/>
  <c r="DH106" i="1"/>
  <c r="DH105" i="1"/>
  <c r="DH104" i="1"/>
  <c r="DH103" i="1"/>
  <c r="DH102" i="1"/>
  <c r="DH97" i="1"/>
  <c r="DH95" i="1"/>
  <c r="DH90" i="1"/>
  <c r="DH87" i="1"/>
  <c r="DH86" i="1"/>
  <c r="DH85" i="1"/>
  <c r="DH82" i="1"/>
  <c r="DH79" i="1"/>
  <c r="DH77" i="1"/>
  <c r="DH76" i="1"/>
  <c r="DH75" i="1"/>
  <c r="DH74" i="1"/>
  <c r="DH29" i="1"/>
  <c r="DH27" i="1" s="1"/>
  <c r="DH66" i="1"/>
  <c r="DH55" i="1"/>
  <c r="DH54" i="1"/>
  <c r="DH53" i="1"/>
  <c r="DH47" i="1"/>
  <c r="DH46" i="1"/>
  <c r="DH43" i="1"/>
  <c r="DH35" i="1"/>
  <c r="DH34" i="1"/>
  <c r="DF173" i="1"/>
  <c r="DF166" i="1"/>
  <c r="DF126" i="1"/>
  <c r="DF142" i="1" s="1"/>
  <c r="DF144" i="1" s="1"/>
  <c r="DF107" i="1"/>
  <c r="DF99" i="1"/>
  <c r="DF88" i="1"/>
  <c r="DF92" i="1" s="1"/>
  <c r="DF80" i="1"/>
  <c r="DF67" i="1"/>
  <c r="DF56" i="1"/>
  <c r="DF48" i="1"/>
  <c r="DF37" i="1"/>
  <c r="DF39" i="1" s="1"/>
  <c r="DF18" i="1"/>
  <c r="DH56" i="1" l="1"/>
  <c r="DF113" i="1"/>
  <c r="DF146" i="1" s="1"/>
  <c r="DF180" i="1"/>
  <c r="DF58" i="1"/>
  <c r="DF60" i="1" s="1"/>
  <c r="DF147" i="1"/>
  <c r="GO158" i="8"/>
  <c r="GO157" i="8"/>
  <c r="GO156" i="8"/>
  <c r="GO155" i="8"/>
  <c r="GO154" i="8"/>
  <c r="GO153" i="8"/>
  <c r="GO152" i="8"/>
  <c r="GO151" i="8"/>
  <c r="GO144" i="8"/>
  <c r="GO173" i="8" s="1"/>
  <c r="GO126" i="8"/>
  <c r="GO172" i="8" s="1"/>
  <c r="GO110" i="8"/>
  <c r="GP108" i="8" s="1"/>
  <c r="GO77" i="8"/>
  <c r="GP72" i="8" s="1"/>
  <c r="GO52" i="8"/>
  <c r="GO47" i="8"/>
  <c r="GO48" i="8"/>
  <c r="GO32" i="8"/>
  <c r="H120" i="10"/>
  <c r="E120" i="10" s="1"/>
  <c r="DH16" i="1"/>
  <c r="DH15" i="1"/>
  <c r="DH14" i="1"/>
  <c r="DH13" i="1"/>
  <c r="G120" i="10" l="1"/>
  <c r="DF149" i="1"/>
  <c r="DF186" i="1" s="1"/>
  <c r="GO50" i="8"/>
  <c r="GO61" i="8" s="1"/>
  <c r="GO37" i="8"/>
  <c r="GP27" i="8" s="1"/>
  <c r="GP109" i="8"/>
  <c r="GP94" i="8"/>
  <c r="GP101" i="8"/>
  <c r="GP73" i="8"/>
  <c r="GP74" i="8"/>
  <c r="GP93" i="8"/>
  <c r="GP65" i="8"/>
  <c r="GP66" i="8"/>
  <c r="GP102" i="8"/>
  <c r="GP67" i="8"/>
  <c r="GP75" i="8"/>
  <c r="GP95" i="8"/>
  <c r="GP103" i="8"/>
  <c r="GP68" i="8"/>
  <c r="GP76" i="8"/>
  <c r="GP96" i="8"/>
  <c r="GP104" i="8"/>
  <c r="GP69" i="8"/>
  <c r="GP97" i="8"/>
  <c r="GP70" i="8"/>
  <c r="GP90" i="8"/>
  <c r="GP98" i="8"/>
  <c r="GP106" i="8"/>
  <c r="GO159" i="8"/>
  <c r="GP71" i="8"/>
  <c r="GP91" i="8"/>
  <c r="GP99" i="8"/>
  <c r="GP107" i="8"/>
  <c r="GO171" i="8"/>
  <c r="GP105" i="8"/>
  <c r="GP92" i="8"/>
  <c r="GP100" i="8"/>
  <c r="CR21" i="1"/>
  <c r="GP43" i="8" l="1"/>
  <c r="GP46" i="8"/>
  <c r="GP44" i="8"/>
  <c r="GP45" i="8"/>
  <c r="GP29" i="8"/>
  <c r="GP34" i="8"/>
  <c r="GP32" i="8"/>
  <c r="GP18" i="8"/>
  <c r="GP33" i="8"/>
  <c r="GP30" i="8"/>
  <c r="GO39" i="8"/>
  <c r="GP24" i="8"/>
  <c r="GP21" i="8"/>
  <c r="GP36" i="8"/>
  <c r="GP35" i="8"/>
  <c r="GP47" i="8"/>
  <c r="DF193" i="1"/>
  <c r="GP57" i="8"/>
  <c r="GP58" i="8"/>
  <c r="D120" i="10"/>
  <c r="F120" i="10" s="1"/>
  <c r="GP48" i="8"/>
  <c r="GP52" i="8"/>
  <c r="GP59" i="8"/>
  <c r="GP51" i="8"/>
  <c r="GP49" i="8"/>
  <c r="GP50" i="8"/>
  <c r="GM60" i="8" l="1"/>
  <c r="GM35" i="8"/>
  <c r="GM59" i="8" s="1"/>
  <c r="IY18" i="8" l="1"/>
  <c r="GM32" i="8"/>
  <c r="GM37" i="8" l="1"/>
  <c r="GM39" i="8" s="1"/>
  <c r="GM158" i="8"/>
  <c r="GM157" i="8"/>
  <c r="GM156" i="8"/>
  <c r="GM155" i="8"/>
  <c r="GM154" i="8"/>
  <c r="GM153" i="8"/>
  <c r="GM152" i="8"/>
  <c r="GM151" i="8"/>
  <c r="GM150" i="8"/>
  <c r="GN18" i="8" l="1"/>
  <c r="GN36" i="8"/>
  <c r="GM126" i="8"/>
  <c r="H119" i="10"/>
  <c r="E119" i="10" s="1"/>
  <c r="H118" i="10" l="1"/>
  <c r="IY27" i="8"/>
  <c r="IY26" i="8"/>
  <c r="IY25" i="8"/>
  <c r="IY24" i="8"/>
  <c r="IY23" i="8"/>
  <c r="IY22" i="8"/>
  <c r="IY20" i="8"/>
  <c r="IY19" i="8"/>
  <c r="GK158" i="8"/>
  <c r="GK157" i="8"/>
  <c r="GK156" i="8"/>
  <c r="GK155" i="8"/>
  <c r="GK154" i="8"/>
  <c r="GK153" i="8"/>
  <c r="GK152" i="8"/>
  <c r="GK151" i="8"/>
  <c r="GK150" i="8"/>
  <c r="GK144" i="8"/>
  <c r="GK173" i="8" s="1"/>
  <c r="GK126" i="8"/>
  <c r="GK110" i="8"/>
  <c r="GL106" i="8" s="1"/>
  <c r="GK77" i="8"/>
  <c r="GL76" i="8" s="1"/>
  <c r="GK59" i="8"/>
  <c r="GK58" i="8"/>
  <c r="GK57" i="8"/>
  <c r="GK55" i="8"/>
  <c r="GK54" i="8"/>
  <c r="GK52" i="8"/>
  <c r="GK49" i="8"/>
  <c r="GK51" i="8" s="1"/>
  <c r="GK47" i="8"/>
  <c r="GK48" i="8"/>
  <c r="GK32" i="8"/>
  <c r="GK37" i="8" s="1"/>
  <c r="GL30" i="8" s="1"/>
  <c r="GK56" i="8" l="1"/>
  <c r="GL109" i="8"/>
  <c r="GL108" i="8"/>
  <c r="GL91" i="8"/>
  <c r="GL92" i="8"/>
  <c r="GL93" i="8"/>
  <c r="GL32" i="8"/>
  <c r="GL94" i="8"/>
  <c r="GL107" i="8"/>
  <c r="GL65" i="8"/>
  <c r="G119" i="10"/>
  <c r="GL66" i="8"/>
  <c r="GL67" i="8"/>
  <c r="GL68" i="8"/>
  <c r="GL70" i="8"/>
  <c r="GL73" i="8"/>
  <c r="GL74" i="8"/>
  <c r="GL34" i="8"/>
  <c r="GL75" i="8"/>
  <c r="GL69" i="8"/>
  <c r="GL71" i="8"/>
  <c r="GL72" i="8"/>
  <c r="GK171" i="8"/>
  <c r="GL33" i="8"/>
  <c r="GL35" i="8"/>
  <c r="GK159" i="8"/>
  <c r="GK172" i="8"/>
  <c r="GK50" i="8"/>
  <c r="GL95" i="8"/>
  <c r="GL96" i="8"/>
  <c r="GL97" i="8"/>
  <c r="GL98" i="8"/>
  <c r="GL99" i="8"/>
  <c r="GL18" i="8"/>
  <c r="GL100" i="8"/>
  <c r="GL21" i="8"/>
  <c r="GL101" i="8"/>
  <c r="GL24" i="8"/>
  <c r="GL102" i="8"/>
  <c r="GL27" i="8"/>
  <c r="GL103" i="8"/>
  <c r="GL29" i="8"/>
  <c r="GL104" i="8"/>
  <c r="GL105" i="8"/>
  <c r="GL90" i="8"/>
  <c r="D119" i="10" l="1"/>
  <c r="F119" i="10" s="1"/>
  <c r="GK61" i="8"/>
  <c r="GL44" i="8" l="1"/>
  <c r="GL43" i="8"/>
  <c r="GL45" i="8"/>
  <c r="GL46" i="8"/>
  <c r="GL59" i="8"/>
  <c r="GL47" i="8"/>
  <c r="GL51" i="8"/>
  <c r="GL52" i="8"/>
  <c r="GL57" i="8"/>
  <c r="GL58" i="8"/>
  <c r="GL49" i="8"/>
  <c r="GL48" i="8"/>
  <c r="GL50" i="8"/>
  <c r="AG214" i="9" l="1"/>
  <c r="AG206" i="9"/>
  <c r="AG209" i="9" s="1"/>
  <c r="AG121" i="9"/>
  <c r="DD173" i="1"/>
  <c r="DD161" i="1"/>
  <c r="DD166" i="1" s="1"/>
  <c r="DD126" i="1"/>
  <c r="DD142" i="1" s="1"/>
  <c r="DD144" i="1" s="1"/>
  <c r="DD107" i="1"/>
  <c r="DD99" i="1"/>
  <c r="DD88" i="1"/>
  <c r="DD92" i="1" s="1"/>
  <c r="DD80" i="1"/>
  <c r="DD67" i="1"/>
  <c r="DD56" i="1"/>
  <c r="DD48" i="1"/>
  <c r="DD37" i="1"/>
  <c r="DD39" i="1" s="1"/>
  <c r="DD18" i="1"/>
  <c r="L7" i="13"/>
  <c r="L19" i="13"/>
  <c r="DD180" i="1" l="1"/>
  <c r="DD113" i="1"/>
  <c r="DD146" i="1" s="1"/>
  <c r="DD147" i="1"/>
  <c r="DD58" i="1"/>
  <c r="DD60" i="1" s="1"/>
  <c r="GG33" i="8"/>
  <c r="IX21" i="8"/>
  <c r="DD149" i="1" l="1"/>
  <c r="DD186" i="1" s="1"/>
  <c r="DE161" i="1"/>
  <c r="DE166" i="1" s="1"/>
  <c r="DD206" i="1" l="1"/>
  <c r="DD193" i="1"/>
  <c r="L23" i="13"/>
  <c r="L14" i="13"/>
  <c r="M14" i="13" s="1"/>
  <c r="L13" i="13"/>
  <c r="L9" i="13" l="1"/>
  <c r="AE29" i="3" l="1"/>
  <c r="DE173" i="1"/>
  <c r="DE126" i="1"/>
  <c r="DE142" i="1" s="1"/>
  <c r="DE144" i="1" s="1"/>
  <c r="DE107" i="1"/>
  <c r="DE99" i="1"/>
  <c r="DE88" i="1"/>
  <c r="DE92" i="1" s="1"/>
  <c r="DE80" i="1"/>
  <c r="DE67" i="1"/>
  <c r="DE56" i="1"/>
  <c r="DE48" i="1"/>
  <c r="DE37" i="1"/>
  <c r="DE39" i="1" s="1"/>
  <c r="AE214" i="9"/>
  <c r="AE206" i="9"/>
  <c r="AE209" i="9" s="1"/>
  <c r="GI158" i="8"/>
  <c r="GI157" i="8"/>
  <c r="GI156" i="8"/>
  <c r="GI155" i="8"/>
  <c r="GI154" i="8"/>
  <c r="GI153" i="8"/>
  <c r="GI152" i="8"/>
  <c r="GI151" i="8"/>
  <c r="GI150" i="8"/>
  <c r="GI144" i="8"/>
  <c r="GI173" i="8" s="1"/>
  <c r="GI126" i="8"/>
  <c r="GI172" i="8" s="1"/>
  <c r="GI110" i="8"/>
  <c r="GJ106" i="8" s="1"/>
  <c r="GI77" i="8"/>
  <c r="GI171" i="8" s="1"/>
  <c r="GI59" i="8"/>
  <c r="GI58" i="8"/>
  <c r="GI57" i="8"/>
  <c r="GI55" i="8"/>
  <c r="GI54" i="8"/>
  <c r="GI52" i="8"/>
  <c r="GI49" i="8"/>
  <c r="GI47" i="8"/>
  <c r="GI32" i="8"/>
  <c r="BQ54" i="2"/>
  <c r="BQ53" i="2"/>
  <c r="BQ23" i="2"/>
  <c r="BQ21" i="2"/>
  <c r="BQ15" i="2"/>
  <c r="BQ14" i="2"/>
  <c r="BQ13" i="2"/>
  <c r="BQ10" i="2"/>
  <c r="H117" i="10"/>
  <c r="E117" i="10" s="1"/>
  <c r="AC143" i="3"/>
  <c r="AC141" i="3"/>
  <c r="AC133" i="3"/>
  <c r="AC127" i="3"/>
  <c r="AC68" i="3"/>
  <c r="AC38" i="3"/>
  <c r="AC35" i="3"/>
  <c r="AC29" i="3"/>
  <c r="AC13" i="3"/>
  <c r="AC6" i="3"/>
  <c r="GJ107" i="8" l="1"/>
  <c r="GJ108" i="8"/>
  <c r="GJ109" i="8"/>
  <c r="GJ102" i="8"/>
  <c r="GJ103" i="8"/>
  <c r="GK39" i="8"/>
  <c r="G118" i="10"/>
  <c r="GJ93" i="8"/>
  <c r="GJ91" i="8"/>
  <c r="GJ92" i="8"/>
  <c r="GJ94" i="8"/>
  <c r="GJ76" i="8"/>
  <c r="GJ65" i="8"/>
  <c r="GJ66" i="8"/>
  <c r="GJ67" i="8"/>
  <c r="GJ70" i="8"/>
  <c r="GJ96" i="8"/>
  <c r="GJ72" i="8"/>
  <c r="GJ98" i="8"/>
  <c r="GJ73" i="8"/>
  <c r="GJ74" i="8"/>
  <c r="GJ100" i="8"/>
  <c r="GJ68" i="8"/>
  <c r="GJ69" i="8"/>
  <c r="GJ71" i="8"/>
  <c r="GJ97" i="8"/>
  <c r="GJ99" i="8"/>
  <c r="GJ75" i="8"/>
  <c r="GJ101" i="8"/>
  <c r="DE113" i="1"/>
  <c r="DE146" i="1" s="1"/>
  <c r="L18" i="13"/>
  <c r="AC144" i="3"/>
  <c r="GI56" i="8"/>
  <c r="GI159" i="8"/>
  <c r="DE147" i="1"/>
  <c r="DE58" i="1"/>
  <c r="GI37" i="8"/>
  <c r="AC134" i="3"/>
  <c r="AC8" i="3"/>
  <c r="D118" i="10" s="1"/>
  <c r="F118" i="10" s="1"/>
  <c r="L10" i="13"/>
  <c r="L11" i="13"/>
  <c r="L12" i="13"/>
  <c r="L6" i="13"/>
  <c r="DE180" i="1"/>
  <c r="GI51" i="8"/>
  <c r="GJ95" i="8"/>
  <c r="GJ104" i="8"/>
  <c r="GI48" i="8"/>
  <c r="GJ105" i="8"/>
  <c r="GJ90" i="8"/>
  <c r="DE149" i="1" l="1"/>
  <c r="DE186" i="1" s="1"/>
  <c r="DE193" i="1" s="1"/>
  <c r="AC15" i="3"/>
  <c r="L15" i="13"/>
  <c r="GJ30" i="8"/>
  <c r="GJ35" i="8"/>
  <c r="GJ27" i="8"/>
  <c r="GJ24" i="8"/>
  <c r="GJ21" i="8"/>
  <c r="GJ18" i="8"/>
  <c r="GJ34" i="8"/>
  <c r="GJ29" i="8"/>
  <c r="GJ32" i="8"/>
  <c r="GJ33" i="8"/>
  <c r="GI50" i="8"/>
  <c r="GI61" i="8" s="1"/>
  <c r="GJ48" i="8" l="1"/>
  <c r="GJ44" i="8"/>
  <c r="GJ43" i="8"/>
  <c r="GJ45" i="8"/>
  <c r="GJ46" i="8"/>
  <c r="GJ59" i="8"/>
  <c r="GJ49" i="8"/>
  <c r="GJ52" i="8"/>
  <c r="GJ57" i="8"/>
  <c r="GJ47" i="8"/>
  <c r="GJ58" i="8"/>
  <c r="GJ51" i="8"/>
  <c r="GJ50" i="8"/>
  <c r="GE33" i="8" l="1"/>
  <c r="GE37" i="8"/>
  <c r="GF30" i="8" s="1"/>
  <c r="IX18" i="8" l="1"/>
  <c r="FP10" i="4" l="1"/>
  <c r="FP11" i="4"/>
  <c r="FP12" i="4"/>
  <c r="FP13" i="4"/>
  <c r="FP14" i="4"/>
  <c r="FP15" i="4"/>
  <c r="FP16" i="4"/>
  <c r="FP17" i="4"/>
  <c r="FP18" i="4"/>
  <c r="FP21" i="4"/>
  <c r="FP23" i="4"/>
  <c r="GM55" i="8"/>
  <c r="GN30" i="8" l="1"/>
  <c r="E21" i="4" l="1"/>
  <c r="E15" i="4"/>
  <c r="AE127" i="3" l="1"/>
  <c r="AE68" i="3"/>
  <c r="AI9" i="2"/>
  <c r="DC80" i="1"/>
  <c r="DC88" i="1"/>
  <c r="DC92" i="1" s="1"/>
  <c r="DC173" i="1"/>
  <c r="DC161" i="1"/>
  <c r="DC166" i="1" s="1"/>
  <c r="DC126" i="1"/>
  <c r="DC142" i="1" s="1"/>
  <c r="DC144" i="1" s="1"/>
  <c r="DC107" i="1"/>
  <c r="DC99" i="1"/>
  <c r="DC67" i="1"/>
  <c r="DC56" i="1"/>
  <c r="DC48" i="1"/>
  <c r="DC37" i="1"/>
  <c r="DC39" i="1" s="1"/>
  <c r="DC18" i="1"/>
  <c r="DC113" i="1" l="1"/>
  <c r="DC146" i="1" s="1"/>
  <c r="DC58" i="1"/>
  <c r="DC60" i="1" s="1"/>
  <c r="DC147" i="1"/>
  <c r="DC180" i="1"/>
  <c r="DC149" i="1" l="1"/>
  <c r="DC186" i="1" s="1"/>
  <c r="DC193" i="1" s="1"/>
  <c r="GG157" i="8"/>
  <c r="GG156" i="8"/>
  <c r="GG155" i="8"/>
  <c r="GG154" i="8"/>
  <c r="GG153" i="8"/>
  <c r="GG152" i="8"/>
  <c r="GG151" i="8"/>
  <c r="GG150" i="8"/>
  <c r="GG144" i="8"/>
  <c r="GG173" i="8" s="1"/>
  <c r="GG125" i="8"/>
  <c r="GG158" i="8" s="1"/>
  <c r="GG110" i="8"/>
  <c r="GH99" i="8" s="1"/>
  <c r="GG77" i="8"/>
  <c r="GH66" i="8" s="1"/>
  <c r="GG59" i="8"/>
  <c r="GG58" i="8"/>
  <c r="GG57" i="8"/>
  <c r="GG54" i="8"/>
  <c r="GG52" i="8"/>
  <c r="GG49" i="8"/>
  <c r="GG51" i="8" s="1"/>
  <c r="GG47" i="8"/>
  <c r="GG48" i="8"/>
  <c r="GG32" i="8"/>
  <c r="D115" i="10"/>
  <c r="AE143" i="3"/>
  <c r="AE141" i="3"/>
  <c r="AE133" i="3"/>
  <c r="AE134" i="3" s="1"/>
  <c r="AE38" i="3"/>
  <c r="AE35" i="3"/>
  <c r="AE13" i="3"/>
  <c r="AE6" i="3"/>
  <c r="GH106" i="8" l="1"/>
  <c r="GH105" i="8"/>
  <c r="GH107" i="8"/>
  <c r="GH108" i="8"/>
  <c r="AE144" i="3"/>
  <c r="GG37" i="8"/>
  <c r="GH30" i="8" s="1"/>
  <c r="GH90" i="8"/>
  <c r="GH91" i="8"/>
  <c r="GH92" i="8"/>
  <c r="GI39" i="8"/>
  <c r="G117" i="10"/>
  <c r="GH109" i="8"/>
  <c r="GH94" i="8"/>
  <c r="GH100" i="8"/>
  <c r="GH101" i="8"/>
  <c r="GH75" i="8"/>
  <c r="GH102" i="8"/>
  <c r="GH93" i="8"/>
  <c r="GH69" i="8"/>
  <c r="GH103" i="8"/>
  <c r="GH74" i="8"/>
  <c r="GH104" i="8"/>
  <c r="GH68" i="8"/>
  <c r="GH76" i="8"/>
  <c r="GH97" i="8"/>
  <c r="GH95" i="8"/>
  <c r="GH96" i="8"/>
  <c r="GH98" i="8"/>
  <c r="GH67" i="8"/>
  <c r="AE8" i="3"/>
  <c r="D117" i="10" s="1"/>
  <c r="F117" i="10" s="1"/>
  <c r="GG50" i="8"/>
  <c r="GG126" i="8"/>
  <c r="GH70" i="8"/>
  <c r="GH71" i="8"/>
  <c r="GH72" i="8"/>
  <c r="GG56" i="8"/>
  <c r="GH73" i="8"/>
  <c r="GG171" i="8"/>
  <c r="GH65" i="8"/>
  <c r="AW215" i="9"/>
  <c r="CG214" i="9"/>
  <c r="BU214" i="9"/>
  <c r="AU214" i="9"/>
  <c r="AW209" i="9"/>
  <c r="DQ206" i="9"/>
  <c r="DQ209" i="9" s="1"/>
  <c r="DO206" i="9"/>
  <c r="DO209" i="9" s="1"/>
  <c r="DM206" i="9"/>
  <c r="DM209" i="9" s="1"/>
  <c r="DK206" i="9"/>
  <c r="DK209" i="9" s="1"/>
  <c r="DI206" i="9"/>
  <c r="DI209" i="9" s="1"/>
  <c r="DG206" i="9"/>
  <c r="DG209" i="9" s="1"/>
  <c r="DE206" i="9"/>
  <c r="DE209" i="9" s="1"/>
  <c r="DC206" i="9"/>
  <c r="DC209" i="9" s="1"/>
  <c r="DA206" i="9"/>
  <c r="DA209" i="9" s="1"/>
  <c r="CY206" i="9"/>
  <c r="CY209" i="9" s="1"/>
  <c r="CW206" i="9"/>
  <c r="CW209" i="9" s="1"/>
  <c r="CU206" i="9"/>
  <c r="CU209" i="9" s="1"/>
  <c r="CS206" i="9"/>
  <c r="CS209" i="9" s="1"/>
  <c r="CQ206" i="9"/>
  <c r="CQ209" i="9" s="1"/>
  <c r="CO206" i="9"/>
  <c r="CO209" i="9" s="1"/>
  <c r="CM206" i="9"/>
  <c r="CM209" i="9" s="1"/>
  <c r="CG206" i="9"/>
  <c r="CG209" i="9" s="1"/>
  <c r="BY206" i="9"/>
  <c r="BY209" i="9" s="1"/>
  <c r="BU206" i="9"/>
  <c r="BU209" i="9" s="1"/>
  <c r="AU206" i="9"/>
  <c r="AU209" i="9" s="1"/>
  <c r="AW122" i="9"/>
  <c r="CQ121" i="9"/>
  <c r="CO121" i="9"/>
  <c r="CO122" i="9" s="1"/>
  <c r="CM121" i="9"/>
  <c r="CK121" i="9"/>
  <c r="CI121" i="9"/>
  <c r="CG121" i="9"/>
  <c r="CG122" i="9" s="1"/>
  <c r="CE121" i="9"/>
  <c r="CC121" i="9"/>
  <c r="CA121" i="9"/>
  <c r="BY121" i="9"/>
  <c r="BL116" i="9"/>
  <c r="BJ116" i="9"/>
  <c r="BH116" i="9"/>
  <c r="BF116" i="9"/>
  <c r="BD116" i="9"/>
  <c r="BB116" i="9"/>
  <c r="AZ116" i="9"/>
  <c r="AT116" i="9"/>
  <c r="AW115" i="9"/>
  <c r="AW116" i="9" s="1"/>
  <c r="BL110" i="9"/>
  <c r="BJ110" i="9"/>
  <c r="BH110" i="9"/>
  <c r="BF110" i="9"/>
  <c r="BD110" i="9"/>
  <c r="BB110" i="9"/>
  <c r="AZ110" i="9"/>
  <c r="AW110" i="9"/>
  <c r="AX110" i="9" s="1"/>
  <c r="AT110" i="9"/>
  <c r="CQ109" i="9"/>
  <c r="CQ115" i="9" s="1"/>
  <c r="CQ116" i="9" s="1"/>
  <c r="CO109" i="9"/>
  <c r="CO115" i="9" s="1"/>
  <c r="CO116" i="9" s="1"/>
  <c r="CM109" i="9"/>
  <c r="CM115" i="9" s="1"/>
  <c r="CM116" i="9" s="1"/>
  <c r="CG109" i="9"/>
  <c r="CG110" i="9" s="1"/>
  <c r="BY109" i="9"/>
  <c r="BY110" i="9" s="1"/>
  <c r="BL104" i="9"/>
  <c r="BJ104" i="9"/>
  <c r="BH104" i="9"/>
  <c r="BF104" i="9"/>
  <c r="BD104" i="9"/>
  <c r="BB104" i="9"/>
  <c r="AZ104" i="9"/>
  <c r="AX104" i="9"/>
  <c r="AV104" i="9"/>
  <c r="AT104" i="9"/>
  <c r="CK86" i="9"/>
  <c r="CI86" i="9"/>
  <c r="BL86" i="9"/>
  <c r="BJ86" i="9"/>
  <c r="BH86" i="9"/>
  <c r="BF86" i="9"/>
  <c r="BD86" i="9"/>
  <c r="BB86" i="9"/>
  <c r="AZ86" i="9"/>
  <c r="AT86" i="9"/>
  <c r="AW83" i="9"/>
  <c r="AW99" i="9" s="1"/>
  <c r="AW100" i="9" s="1"/>
  <c r="BL77" i="9"/>
  <c r="BJ77" i="9"/>
  <c r="BH77" i="9"/>
  <c r="BF77" i="9"/>
  <c r="BD77" i="9"/>
  <c r="BB77" i="9"/>
  <c r="AZ77" i="9"/>
  <c r="AT77" i="9"/>
  <c r="CO75" i="9"/>
  <c r="CO83" i="9" s="1"/>
  <c r="CM75" i="9"/>
  <c r="CM83" i="9" s="1"/>
  <c r="CM99" i="9" s="1"/>
  <c r="CM100" i="9" s="1"/>
  <c r="CG75" i="9"/>
  <c r="CG83" i="9" s="1"/>
  <c r="CO74" i="9"/>
  <c r="CM74" i="9"/>
  <c r="CG74" i="9"/>
  <c r="CO73" i="9"/>
  <c r="CM73" i="9"/>
  <c r="CG73" i="9"/>
  <c r="CK69" i="9"/>
  <c r="CI69" i="9"/>
  <c r="CE69" i="9"/>
  <c r="CC69" i="9"/>
  <c r="CA69" i="9"/>
  <c r="BL69" i="9"/>
  <c r="BJ69" i="9"/>
  <c r="BH69" i="9"/>
  <c r="BF69" i="9"/>
  <c r="BD69" i="9"/>
  <c r="BB69" i="9"/>
  <c r="AZ69" i="9"/>
  <c r="AT69" i="9"/>
  <c r="DQ66" i="9"/>
  <c r="DO66" i="9"/>
  <c r="DM66" i="9"/>
  <c r="DK66" i="9"/>
  <c r="DI66" i="9"/>
  <c r="DG66" i="9"/>
  <c r="DE66" i="9"/>
  <c r="DC66" i="9"/>
  <c r="DA66" i="9"/>
  <c r="CY66" i="9"/>
  <c r="CU66" i="9"/>
  <c r="CS66" i="9"/>
  <c r="CQ66" i="9"/>
  <c r="CO66" i="9"/>
  <c r="CM66" i="9"/>
  <c r="CG66" i="9"/>
  <c r="BY66" i="9"/>
  <c r="BU66" i="9"/>
  <c r="AW66" i="9"/>
  <c r="DQ65" i="9"/>
  <c r="DO65" i="9"/>
  <c r="DM65" i="9"/>
  <c r="DK65" i="9"/>
  <c r="DI65" i="9"/>
  <c r="DG65" i="9"/>
  <c r="DE65" i="9"/>
  <c r="DC65" i="9"/>
  <c r="DA65" i="9"/>
  <c r="CY65" i="9"/>
  <c r="CW65" i="9"/>
  <c r="CU65" i="9"/>
  <c r="CS65" i="9"/>
  <c r="CO65" i="9"/>
  <c r="CM65" i="9"/>
  <c r="CG65" i="9"/>
  <c r="BY65" i="9"/>
  <c r="BU65" i="9"/>
  <c r="AW65" i="9"/>
  <c r="BL61" i="9"/>
  <c r="BJ61" i="9"/>
  <c r="BH61" i="9"/>
  <c r="BF61" i="9"/>
  <c r="BD61" i="9"/>
  <c r="BB61" i="9"/>
  <c r="AZ61" i="9"/>
  <c r="AT61" i="9"/>
  <c r="DI60" i="9"/>
  <c r="DI61" i="9" s="1"/>
  <c r="DG60" i="9"/>
  <c r="DG61" i="9" s="1"/>
  <c r="DE60" i="9"/>
  <c r="DE61" i="9" s="1"/>
  <c r="DC60" i="9"/>
  <c r="DC61" i="9" s="1"/>
  <c r="DA60" i="9"/>
  <c r="DA61" i="9" s="1"/>
  <c r="CY60" i="9"/>
  <c r="CY61" i="9" s="1"/>
  <c r="CU60" i="9"/>
  <c r="CU61" i="9" s="1"/>
  <c r="CS60" i="9"/>
  <c r="CS61" i="9" s="1"/>
  <c r="CO60" i="9"/>
  <c r="CO61" i="9" s="1"/>
  <c r="CM60" i="9"/>
  <c r="CM61" i="9" s="1"/>
  <c r="CG60" i="9"/>
  <c r="CG61" i="9" s="1"/>
  <c r="BY60" i="9"/>
  <c r="BY61" i="9" s="1"/>
  <c r="BU60" i="9"/>
  <c r="AW60" i="9"/>
  <c r="BU59" i="9"/>
  <c r="BU46" i="9" s="1"/>
  <c r="BU48" i="9" s="1"/>
  <c r="AW59" i="9"/>
  <c r="AW67" i="9" s="1"/>
  <c r="BL55" i="9"/>
  <c r="BJ55" i="9"/>
  <c r="BH55" i="9"/>
  <c r="BF55" i="9"/>
  <c r="BD55" i="9"/>
  <c r="BB55" i="9"/>
  <c r="AZ55" i="9"/>
  <c r="AT55" i="9"/>
  <c r="AW54" i="9"/>
  <c r="BL48" i="9"/>
  <c r="BJ48" i="9"/>
  <c r="BH48" i="9"/>
  <c r="BF48" i="9"/>
  <c r="BD48" i="9"/>
  <c r="BB48" i="9"/>
  <c r="AZ48" i="9"/>
  <c r="AT48" i="9"/>
  <c r="CU46" i="9"/>
  <c r="CU48" i="9" s="1"/>
  <c r="CS46" i="9"/>
  <c r="CS48" i="9" s="1"/>
  <c r="CQ46" i="9"/>
  <c r="CQ48" i="9" s="1"/>
  <c r="CO46" i="9"/>
  <c r="CO48" i="9" s="1"/>
  <c r="CM46" i="9"/>
  <c r="CM48" i="9" s="1"/>
  <c r="CK46" i="9"/>
  <c r="CK48" i="9" s="1"/>
  <c r="CI46" i="9"/>
  <c r="CI48" i="9" s="1"/>
  <c r="CG46" i="9"/>
  <c r="CG48" i="9" s="1"/>
  <c r="CE46" i="9"/>
  <c r="CE48" i="9" s="1"/>
  <c r="CC46" i="9"/>
  <c r="CC48" i="9" s="1"/>
  <c r="CA46" i="9"/>
  <c r="CA48" i="9" s="1"/>
  <c r="BY46" i="9"/>
  <c r="BY48" i="9" s="1"/>
  <c r="BL42" i="9"/>
  <c r="BJ42" i="9"/>
  <c r="BH42" i="9"/>
  <c r="BF42" i="9"/>
  <c r="BD42" i="9"/>
  <c r="BB42" i="9"/>
  <c r="AZ42" i="9"/>
  <c r="AT42" i="9"/>
  <c r="AW42" i="9"/>
  <c r="AX42" i="9" s="1"/>
  <c r="BL37" i="9"/>
  <c r="BJ37" i="9"/>
  <c r="BH37" i="9"/>
  <c r="BF37" i="9"/>
  <c r="BD37" i="9"/>
  <c r="BB37" i="9"/>
  <c r="AZ37" i="9"/>
  <c r="AW37" i="9"/>
  <c r="AT37" i="9"/>
  <c r="CO36" i="9"/>
  <c r="CM36" i="9"/>
  <c r="CG36" i="9"/>
  <c r="CG54" i="9" s="1"/>
  <c r="CG29" i="9" s="1"/>
  <c r="CW35" i="9"/>
  <c r="CW66" i="9" s="1"/>
  <c r="CQ34" i="9"/>
  <c r="CQ60" i="9" s="1"/>
  <c r="CQ61" i="9" s="1"/>
  <c r="BL30" i="9"/>
  <c r="BJ30" i="9"/>
  <c r="BH30" i="9"/>
  <c r="BF30" i="9"/>
  <c r="BD30" i="9"/>
  <c r="BB30" i="9"/>
  <c r="AZ30" i="9"/>
  <c r="AT30" i="9"/>
  <c r="CK29" i="9"/>
  <c r="CI29" i="9"/>
  <c r="CE29" i="9"/>
  <c r="CC29" i="9"/>
  <c r="CA29" i="9"/>
  <c r="CG24" i="9"/>
  <c r="BY24" i="9"/>
  <c r="BU24" i="9"/>
  <c r="BL24" i="9"/>
  <c r="BJ24" i="9"/>
  <c r="BH24" i="9"/>
  <c r="BF24" i="9"/>
  <c r="BD24" i="9"/>
  <c r="BB24" i="9"/>
  <c r="AZ24" i="9"/>
  <c r="AT24" i="9"/>
  <c r="CQ23" i="9"/>
  <c r="CQ24" i="9" s="1"/>
  <c r="CO23" i="9"/>
  <c r="CO24" i="9" s="1"/>
  <c r="CM23" i="9"/>
  <c r="CM24" i="9" s="1"/>
  <c r="AW23" i="9"/>
  <c r="AW24" i="9" s="1"/>
  <c r="CS18" i="9"/>
  <c r="CQ18" i="9"/>
  <c r="CO18" i="9"/>
  <c r="CM18" i="9"/>
  <c r="CK18" i="9"/>
  <c r="CI18" i="9"/>
  <c r="CG18" i="9"/>
  <c r="CE18" i="9"/>
  <c r="CC18" i="9"/>
  <c r="CA18" i="9"/>
  <c r="BY18" i="9"/>
  <c r="BU18" i="9"/>
  <c r="BL18" i="9"/>
  <c r="BJ18" i="9"/>
  <c r="BH18" i="9"/>
  <c r="BF18" i="9"/>
  <c r="BD18" i="9"/>
  <c r="BB18" i="9"/>
  <c r="AZ18" i="9"/>
  <c r="AW18" i="9"/>
  <c r="AX18" i="9" s="1"/>
  <c r="AT18" i="9"/>
  <c r="BL13" i="9"/>
  <c r="BJ13" i="9"/>
  <c r="BH13" i="9"/>
  <c r="BF13" i="9"/>
  <c r="BD13" i="9"/>
  <c r="BB13" i="9"/>
  <c r="AZ13" i="9"/>
  <c r="AT13" i="9"/>
  <c r="CQ12" i="9"/>
  <c r="CO12" i="9"/>
  <c r="CM12" i="9"/>
  <c r="CG12" i="9"/>
  <c r="BY12" i="9"/>
  <c r="AW11" i="9"/>
  <c r="AW53" i="9" s="1"/>
  <c r="BL7" i="9"/>
  <c r="BJ7" i="9"/>
  <c r="BH7" i="9"/>
  <c r="BF7" i="9"/>
  <c r="BD7" i="9"/>
  <c r="BB7" i="9"/>
  <c r="AZ7" i="9"/>
  <c r="AW7" i="9"/>
  <c r="AV7" i="9" s="1"/>
  <c r="AT7" i="9"/>
  <c r="CQ6" i="9"/>
  <c r="CQ11" i="9" s="1"/>
  <c r="CQ53" i="9" s="1"/>
  <c r="CO6" i="9"/>
  <c r="CO11" i="9" s="1"/>
  <c r="CM6" i="9"/>
  <c r="CM11" i="9" s="1"/>
  <c r="CG6" i="9"/>
  <c r="CG11" i="9" s="1"/>
  <c r="BY6" i="9"/>
  <c r="CQ5" i="9"/>
  <c r="CO5" i="9"/>
  <c r="CM5" i="9"/>
  <c r="CG5" i="9"/>
  <c r="BY5" i="9"/>
  <c r="J26" i="13"/>
  <c r="J28" i="13" s="1"/>
  <c r="J15" i="13"/>
  <c r="I15" i="13"/>
  <c r="G15" i="13"/>
  <c r="F15" i="13"/>
  <c r="E15" i="13"/>
  <c r="D15" i="13"/>
  <c r="H15" i="13"/>
  <c r="I3" i="13"/>
  <c r="J3" i="13" s="1"/>
  <c r="H3" i="13"/>
  <c r="G3" i="13"/>
  <c r="F3" i="13"/>
  <c r="E3" i="13"/>
  <c r="D3" i="13"/>
  <c r="C3" i="13"/>
  <c r="IA158" i="8"/>
  <c r="GC158" i="8"/>
  <c r="FZ158" i="8"/>
  <c r="FW158" i="8"/>
  <c r="FT158" i="8"/>
  <c r="FQ158" i="8"/>
  <c r="FN158" i="8"/>
  <c r="FK158" i="8"/>
  <c r="FH158" i="8"/>
  <c r="FB158" i="8"/>
  <c r="EY158" i="8"/>
  <c r="EV158" i="8"/>
  <c r="ES158" i="8"/>
  <c r="EP158" i="8"/>
  <c r="EM158" i="8"/>
  <c r="EJ158" i="8"/>
  <c r="EG158" i="8"/>
  <c r="ED158" i="8"/>
  <c r="DO158" i="8"/>
  <c r="DL158" i="8"/>
  <c r="DI158" i="8"/>
  <c r="DF158" i="8"/>
  <c r="DC158" i="8"/>
  <c r="CZ158" i="8"/>
  <c r="CW158" i="8"/>
  <c r="CQ158" i="8"/>
  <c r="CN158" i="8"/>
  <c r="CK158" i="8"/>
  <c r="CH158" i="8"/>
  <c r="CF158" i="8"/>
  <c r="CD158" i="8"/>
  <c r="CB158" i="8"/>
  <c r="BZ158" i="8"/>
  <c r="BX158" i="8"/>
  <c r="BV158" i="8"/>
  <c r="BT158" i="8"/>
  <c r="BR158" i="8"/>
  <c r="BP158" i="8"/>
  <c r="BN158" i="8"/>
  <c r="BL158" i="8"/>
  <c r="BJ158" i="8"/>
  <c r="BH158" i="8"/>
  <c r="AJ158" i="8"/>
  <c r="N158" i="8"/>
  <c r="IA157" i="8"/>
  <c r="GC157" i="8"/>
  <c r="FZ157" i="8"/>
  <c r="FW157" i="8"/>
  <c r="FT157" i="8"/>
  <c r="FQ157" i="8"/>
  <c r="FN157" i="8"/>
  <c r="FK157" i="8"/>
  <c r="FH157" i="8"/>
  <c r="FB157" i="8"/>
  <c r="EY157" i="8"/>
  <c r="EV157" i="8"/>
  <c r="ES157" i="8"/>
  <c r="EP157" i="8"/>
  <c r="EM157" i="8"/>
  <c r="EJ157" i="8"/>
  <c r="ED157" i="8"/>
  <c r="DO157" i="8"/>
  <c r="DI157" i="8"/>
  <c r="DF157" i="8"/>
  <c r="DC157" i="8"/>
  <c r="CZ157" i="8"/>
  <c r="CW157" i="8"/>
  <c r="CT157" i="8"/>
  <c r="CQ157" i="8"/>
  <c r="CN157" i="8"/>
  <c r="CK157" i="8"/>
  <c r="CH157" i="8"/>
  <c r="CF157" i="8"/>
  <c r="CD157" i="8"/>
  <c r="CB157" i="8"/>
  <c r="BZ157" i="8"/>
  <c r="BX157" i="8"/>
  <c r="BV157" i="8"/>
  <c r="BT157" i="8"/>
  <c r="IA156" i="8"/>
  <c r="GC156" i="8"/>
  <c r="FZ156" i="8"/>
  <c r="FW156" i="8"/>
  <c r="FT156" i="8"/>
  <c r="FQ156" i="8"/>
  <c r="FN156" i="8"/>
  <c r="FK156" i="8"/>
  <c r="FH156" i="8"/>
  <c r="FB156" i="8"/>
  <c r="EY156" i="8"/>
  <c r="EV156" i="8"/>
  <c r="ES156" i="8"/>
  <c r="EP156" i="8"/>
  <c r="EM156" i="8"/>
  <c r="EJ156" i="8"/>
  <c r="ED156" i="8"/>
  <c r="DO156" i="8"/>
  <c r="DL156" i="8"/>
  <c r="DI156" i="8"/>
  <c r="DF156" i="8"/>
  <c r="DC156" i="8"/>
  <c r="CZ156" i="8"/>
  <c r="CW156" i="8"/>
  <c r="CT156" i="8"/>
  <c r="CQ156" i="8"/>
  <c r="CN156" i="8"/>
  <c r="CK156" i="8"/>
  <c r="CH156" i="8"/>
  <c r="CF156" i="8"/>
  <c r="CD156" i="8"/>
  <c r="CB156" i="8"/>
  <c r="BZ156" i="8"/>
  <c r="BX156" i="8"/>
  <c r="BV156" i="8"/>
  <c r="BT156" i="8"/>
  <c r="BR156" i="8"/>
  <c r="BP156" i="8"/>
  <c r="BN156" i="8"/>
  <c r="BL156" i="8"/>
  <c r="BJ156" i="8"/>
  <c r="BH156" i="8"/>
  <c r="AJ156" i="8"/>
  <c r="N156" i="8"/>
  <c r="GC155" i="8"/>
  <c r="FZ155" i="8"/>
  <c r="FW155" i="8"/>
  <c r="FT155" i="8"/>
  <c r="FQ155" i="8"/>
  <c r="FN155" i="8"/>
  <c r="FK155" i="8"/>
  <c r="FH155" i="8"/>
  <c r="FB155" i="8"/>
  <c r="GC154" i="8"/>
  <c r="FZ154" i="8"/>
  <c r="FW154" i="8"/>
  <c r="FT154" i="8"/>
  <c r="FQ154" i="8"/>
  <c r="FN154" i="8"/>
  <c r="FK154" i="8"/>
  <c r="FH154" i="8"/>
  <c r="FB154" i="8"/>
  <c r="IA153" i="8"/>
  <c r="GC153" i="8"/>
  <c r="FZ153" i="8"/>
  <c r="FW153" i="8"/>
  <c r="FT153" i="8"/>
  <c r="FQ153" i="8"/>
  <c r="FN153" i="8"/>
  <c r="FK153" i="8"/>
  <c r="FH153" i="8"/>
  <c r="FB153" i="8"/>
  <c r="EY153" i="8"/>
  <c r="EV153" i="8"/>
  <c r="ES153" i="8"/>
  <c r="EP153" i="8"/>
  <c r="EM153" i="8"/>
  <c r="ED153" i="8"/>
  <c r="DO153" i="8"/>
  <c r="DL153" i="8"/>
  <c r="DI153" i="8"/>
  <c r="DF153" i="8"/>
  <c r="DC153" i="8"/>
  <c r="CZ153" i="8"/>
  <c r="CW153" i="8"/>
  <c r="CT153" i="8"/>
  <c r="CQ153" i="8"/>
  <c r="CN153" i="8"/>
  <c r="CK153" i="8"/>
  <c r="CH153" i="8"/>
  <c r="CF153" i="8"/>
  <c r="CD153" i="8"/>
  <c r="CB153" i="8"/>
  <c r="BZ153" i="8"/>
  <c r="BX153" i="8"/>
  <c r="BV153" i="8"/>
  <c r="BT153" i="8"/>
  <c r="BR153" i="8"/>
  <c r="BP153" i="8"/>
  <c r="BN153" i="8"/>
  <c r="BL153" i="8"/>
  <c r="BJ153" i="8"/>
  <c r="BH153" i="8"/>
  <c r="AJ153" i="8"/>
  <c r="N153" i="8"/>
  <c r="GC152" i="8"/>
  <c r="FZ152" i="8"/>
  <c r="FW152" i="8"/>
  <c r="FT152" i="8"/>
  <c r="FQ152" i="8"/>
  <c r="FN152" i="8"/>
  <c r="FK152" i="8"/>
  <c r="FH152" i="8"/>
  <c r="FB152" i="8"/>
  <c r="BR152" i="8"/>
  <c r="BP152" i="8"/>
  <c r="BN152" i="8"/>
  <c r="BL152" i="8"/>
  <c r="BJ152" i="8"/>
  <c r="BH152" i="8"/>
  <c r="BF152" i="8"/>
  <c r="GC151" i="8"/>
  <c r="FZ151" i="8"/>
  <c r="FW151" i="8"/>
  <c r="FT151" i="8"/>
  <c r="FQ151" i="8"/>
  <c r="FN151" i="8"/>
  <c r="FK151" i="8"/>
  <c r="FH151" i="8"/>
  <c r="FB151" i="8"/>
  <c r="BR151" i="8"/>
  <c r="BP151" i="8"/>
  <c r="BN151" i="8"/>
  <c r="BL151" i="8"/>
  <c r="BJ151" i="8"/>
  <c r="IA150" i="8"/>
  <c r="GC150" i="8"/>
  <c r="FZ150" i="8"/>
  <c r="FW150" i="8"/>
  <c r="FT150" i="8"/>
  <c r="FQ150" i="8"/>
  <c r="FN150" i="8"/>
  <c r="FK150" i="8"/>
  <c r="FH150" i="8"/>
  <c r="FB150" i="8"/>
  <c r="EY150" i="8"/>
  <c r="EV150" i="8"/>
  <c r="ES150" i="8"/>
  <c r="EP150" i="8"/>
  <c r="EM150" i="8"/>
  <c r="EJ150" i="8"/>
  <c r="ED150" i="8"/>
  <c r="DO150" i="8"/>
  <c r="DL150" i="8"/>
  <c r="DI150" i="8"/>
  <c r="DF150" i="8"/>
  <c r="DC150" i="8"/>
  <c r="CZ150" i="8"/>
  <c r="CW150" i="8"/>
  <c r="CT150" i="8"/>
  <c r="CQ150" i="8"/>
  <c r="CN150" i="8"/>
  <c r="CH150" i="8"/>
  <c r="CF150" i="8"/>
  <c r="CD150" i="8"/>
  <c r="CB150" i="8"/>
  <c r="BZ150" i="8"/>
  <c r="BX150" i="8"/>
  <c r="BV150" i="8"/>
  <c r="BT150" i="8"/>
  <c r="BR150" i="8"/>
  <c r="BP150" i="8"/>
  <c r="BN150" i="8"/>
  <c r="BL150" i="8"/>
  <c r="BJ150" i="8"/>
  <c r="BH150" i="8"/>
  <c r="AJ150" i="8"/>
  <c r="N150" i="8"/>
  <c r="FB149" i="8"/>
  <c r="FB148" i="8"/>
  <c r="IA147" i="8"/>
  <c r="EP147" i="8"/>
  <c r="EJ147" i="8"/>
  <c r="ED147" i="8"/>
  <c r="DO147" i="8"/>
  <c r="DL147" i="8"/>
  <c r="DI147" i="8"/>
  <c r="DF147" i="8"/>
  <c r="DC147" i="8"/>
  <c r="CZ147" i="8"/>
  <c r="CW147" i="8"/>
  <c r="CT147" i="8"/>
  <c r="CQ147" i="8"/>
  <c r="CN147" i="8"/>
  <c r="CK147" i="8"/>
  <c r="CH147" i="8"/>
  <c r="CF147" i="8"/>
  <c r="CB147" i="8"/>
  <c r="BZ147" i="8"/>
  <c r="BX147" i="8"/>
  <c r="BV147" i="8"/>
  <c r="BT147" i="8"/>
  <c r="BR147" i="8"/>
  <c r="BP147" i="8"/>
  <c r="BN147" i="8"/>
  <c r="BL147" i="8"/>
  <c r="BJ147" i="8"/>
  <c r="BH147" i="8"/>
  <c r="IA144" i="8"/>
  <c r="GC144" i="8"/>
  <c r="GC173" i="8" s="1"/>
  <c r="FZ144" i="8"/>
  <c r="FZ173" i="8" s="1"/>
  <c r="FW144" i="8"/>
  <c r="FW173" i="8" s="1"/>
  <c r="FT144" i="8"/>
  <c r="FT173" i="8" s="1"/>
  <c r="FQ144" i="8"/>
  <c r="FQ173" i="8" s="1"/>
  <c r="FN144" i="8"/>
  <c r="FK144" i="8"/>
  <c r="FH144" i="8"/>
  <c r="FE144" i="8"/>
  <c r="FB144" i="8"/>
  <c r="EY144" i="8"/>
  <c r="EV144" i="8"/>
  <c r="ES144" i="8"/>
  <c r="EP144" i="8"/>
  <c r="EM144" i="8"/>
  <c r="EJ144" i="8"/>
  <c r="EG144" i="8"/>
  <c r="EG173" i="8" s="1"/>
  <c r="ED144" i="8"/>
  <c r="EA144" i="8"/>
  <c r="DX144" i="8"/>
  <c r="DU144" i="8"/>
  <c r="DR144" i="8"/>
  <c r="DO144" i="8"/>
  <c r="DL144" i="8"/>
  <c r="DI144" i="8"/>
  <c r="DF144" i="8"/>
  <c r="DC144" i="8"/>
  <c r="CZ144" i="8"/>
  <c r="CW144" i="8"/>
  <c r="CQ144" i="8"/>
  <c r="CN144" i="8"/>
  <c r="CH144" i="8"/>
  <c r="H81" i="10" s="1"/>
  <c r="CF144" i="8"/>
  <c r="CD144" i="8"/>
  <c r="CB144" i="8"/>
  <c r="BZ144" i="8"/>
  <c r="BX144" i="8"/>
  <c r="BV144" i="8"/>
  <c r="BT144" i="8"/>
  <c r="BR144" i="8"/>
  <c r="BP144" i="8"/>
  <c r="BN144" i="8"/>
  <c r="BL144" i="8"/>
  <c r="BJ144" i="8"/>
  <c r="BH144" i="8"/>
  <c r="AJ144" i="8"/>
  <c r="N144" i="8"/>
  <c r="CT140" i="8"/>
  <c r="CT144" i="8" s="1"/>
  <c r="BF140" i="8"/>
  <c r="BD140" i="8"/>
  <c r="BB140" i="8"/>
  <c r="AZ140" i="8"/>
  <c r="AX140" i="8"/>
  <c r="AV140" i="8"/>
  <c r="AR140" i="8"/>
  <c r="AP140" i="8"/>
  <c r="AN140" i="8"/>
  <c r="AL140" i="8"/>
  <c r="AH140" i="8"/>
  <c r="AH158" i="8" s="1"/>
  <c r="AF140" i="8"/>
  <c r="AD140" i="8"/>
  <c r="AB140" i="8"/>
  <c r="Z140" i="8"/>
  <c r="X140" i="8"/>
  <c r="V140" i="8"/>
  <c r="T140" i="8"/>
  <c r="R140" i="8"/>
  <c r="P140" i="8"/>
  <c r="BF138" i="8"/>
  <c r="BD138" i="8"/>
  <c r="BB138" i="8"/>
  <c r="AZ138" i="8"/>
  <c r="AX138" i="8"/>
  <c r="AV138" i="8"/>
  <c r="AR138" i="8"/>
  <c r="AP138" i="8"/>
  <c r="AN138" i="8"/>
  <c r="AL138" i="8"/>
  <c r="AH138" i="8"/>
  <c r="AH156" i="8" s="1"/>
  <c r="AF138" i="8"/>
  <c r="AD138" i="8"/>
  <c r="AB138" i="8"/>
  <c r="Z138" i="8"/>
  <c r="X138" i="8"/>
  <c r="V138" i="8"/>
  <c r="T138" i="8"/>
  <c r="R138" i="8"/>
  <c r="P138" i="8"/>
  <c r="BF135" i="8"/>
  <c r="BD135" i="8"/>
  <c r="BB135" i="8"/>
  <c r="AZ135" i="8"/>
  <c r="AX135" i="8"/>
  <c r="AV135" i="8"/>
  <c r="AR135" i="8"/>
  <c r="AP135" i="8"/>
  <c r="AN135" i="8"/>
  <c r="AL135" i="8"/>
  <c r="AH135" i="8"/>
  <c r="AH153" i="8" s="1"/>
  <c r="AF135" i="8"/>
  <c r="AD135" i="8"/>
  <c r="AB135" i="8"/>
  <c r="Z135" i="8"/>
  <c r="X135" i="8"/>
  <c r="V135" i="8"/>
  <c r="T135" i="8"/>
  <c r="R135" i="8"/>
  <c r="P135" i="8"/>
  <c r="CK132" i="8"/>
  <c r="CK144" i="8" s="1"/>
  <c r="BF132" i="8"/>
  <c r="BD132" i="8"/>
  <c r="BB132" i="8"/>
  <c r="AZ132" i="8"/>
  <c r="AZ144" i="8" s="1"/>
  <c r="AX132" i="8"/>
  <c r="AX144" i="8" s="1"/>
  <c r="AV132" i="8"/>
  <c r="AV144" i="8" s="1"/>
  <c r="AR132" i="8"/>
  <c r="AR144" i="8" s="1"/>
  <c r="AP132" i="8"/>
  <c r="AP144" i="8" s="1"/>
  <c r="AN132" i="8"/>
  <c r="AN144" i="8" s="1"/>
  <c r="AL132" i="8"/>
  <c r="AL144" i="8" s="1"/>
  <c r="AH132" i="8"/>
  <c r="AH150" i="8" s="1"/>
  <c r="AF132" i="8"/>
  <c r="AF144" i="8" s="1"/>
  <c r="AD132" i="8"/>
  <c r="AD144" i="8" s="1"/>
  <c r="AB132" i="8"/>
  <c r="AB144" i="8" s="1"/>
  <c r="Z132" i="8"/>
  <c r="Z144" i="8" s="1"/>
  <c r="X132" i="8"/>
  <c r="X144" i="8" s="1"/>
  <c r="V132" i="8"/>
  <c r="V144" i="8" s="1"/>
  <c r="T132" i="8"/>
  <c r="T144" i="8" s="1"/>
  <c r="R132" i="8"/>
  <c r="R144" i="8" s="1"/>
  <c r="P132" i="8"/>
  <c r="P144" i="8" s="1"/>
  <c r="BF129" i="8"/>
  <c r="BF144" i="8" s="1"/>
  <c r="BD129" i="8"/>
  <c r="BD144" i="8" s="1"/>
  <c r="BB129" i="8"/>
  <c r="BB144" i="8" s="1"/>
  <c r="IA126" i="8"/>
  <c r="GC126" i="8"/>
  <c r="FZ126" i="8"/>
  <c r="FZ172" i="8" s="1"/>
  <c r="FW126" i="8"/>
  <c r="FW172" i="8" s="1"/>
  <c r="FT126" i="8"/>
  <c r="FT172" i="8" s="1"/>
  <c r="FQ126" i="8"/>
  <c r="FN126" i="8"/>
  <c r="FN172" i="8" s="1"/>
  <c r="FK126" i="8"/>
  <c r="FK172" i="8" s="1"/>
  <c r="FH126" i="8"/>
  <c r="FH172" i="8" s="1"/>
  <c r="FE126" i="8"/>
  <c r="FE172" i="8" s="1"/>
  <c r="FB126" i="8"/>
  <c r="FB172" i="8" s="1"/>
  <c r="EY126" i="8"/>
  <c r="EV126" i="8"/>
  <c r="EV172" i="8" s="1"/>
  <c r="ES126" i="8"/>
  <c r="EP126" i="8"/>
  <c r="EM126" i="8"/>
  <c r="EM172" i="8" s="1"/>
  <c r="EG126" i="8"/>
  <c r="EG172" i="8" s="1"/>
  <c r="ED126" i="8"/>
  <c r="ED172" i="8" s="1"/>
  <c r="EA126" i="8"/>
  <c r="EA172" i="8" s="1"/>
  <c r="DX126" i="8"/>
  <c r="DO126" i="8"/>
  <c r="DI126" i="8"/>
  <c r="DF126" i="8"/>
  <c r="DC126" i="8"/>
  <c r="CZ126" i="8"/>
  <c r="CW126" i="8"/>
  <c r="CQ126" i="8"/>
  <c r="CN126" i="8"/>
  <c r="C83" i="10" s="1"/>
  <c r="CK126" i="8"/>
  <c r="C82" i="10" s="1"/>
  <c r="CH126" i="8"/>
  <c r="C81" i="10" s="1"/>
  <c r="CF126" i="8"/>
  <c r="CD126" i="8"/>
  <c r="CB126" i="8"/>
  <c r="BZ126" i="8"/>
  <c r="BX126" i="8"/>
  <c r="BV126" i="8"/>
  <c r="BT126" i="8"/>
  <c r="BR126" i="8"/>
  <c r="BP126" i="8"/>
  <c r="BN126" i="8"/>
  <c r="BL126" i="8"/>
  <c r="BJ126" i="8"/>
  <c r="BH126" i="8"/>
  <c r="AT126" i="8"/>
  <c r="AT159" i="8" s="1"/>
  <c r="AJ126" i="8"/>
  <c r="AH126" i="8"/>
  <c r="N126" i="8"/>
  <c r="DR125" i="8"/>
  <c r="DR126" i="8" s="1"/>
  <c r="CT125" i="8"/>
  <c r="CT126" i="8" s="1"/>
  <c r="BF125" i="8"/>
  <c r="BD125" i="8"/>
  <c r="BB125" i="8"/>
  <c r="AZ125" i="8"/>
  <c r="AX125" i="8"/>
  <c r="AV125" i="8"/>
  <c r="AR125" i="8"/>
  <c r="AP125" i="8"/>
  <c r="AN125" i="8"/>
  <c r="AL125" i="8"/>
  <c r="AF125" i="8"/>
  <c r="AD125" i="8"/>
  <c r="AB125" i="8"/>
  <c r="Z125" i="8"/>
  <c r="X125" i="8"/>
  <c r="V125" i="8"/>
  <c r="T125" i="8"/>
  <c r="R125" i="8"/>
  <c r="P125" i="8"/>
  <c r="DU124" i="8"/>
  <c r="DU126" i="8" s="1"/>
  <c r="DL124" i="8"/>
  <c r="DL126" i="8" s="1"/>
  <c r="BF123" i="8"/>
  <c r="BD123" i="8"/>
  <c r="BB123" i="8"/>
  <c r="AZ123" i="8"/>
  <c r="AX123" i="8"/>
  <c r="AV123" i="8"/>
  <c r="AR123" i="8"/>
  <c r="AP123" i="8"/>
  <c r="AN123" i="8"/>
  <c r="AL123" i="8"/>
  <c r="AF123" i="8"/>
  <c r="AD123" i="8"/>
  <c r="AB123" i="8"/>
  <c r="Z123" i="8"/>
  <c r="X123" i="8"/>
  <c r="V123" i="8"/>
  <c r="T123" i="8"/>
  <c r="R123" i="8"/>
  <c r="P123" i="8"/>
  <c r="EJ120" i="8"/>
  <c r="EJ153" i="8" s="1"/>
  <c r="BF120" i="8"/>
  <c r="BD120" i="8"/>
  <c r="BB120" i="8"/>
  <c r="AZ120" i="8"/>
  <c r="AX120" i="8"/>
  <c r="AV120" i="8"/>
  <c r="AR120" i="8"/>
  <c r="AP120" i="8"/>
  <c r="AN120" i="8"/>
  <c r="AL120" i="8"/>
  <c r="AF120" i="8"/>
  <c r="AD120" i="8"/>
  <c r="AB120" i="8"/>
  <c r="Z120" i="8"/>
  <c r="X120" i="8"/>
  <c r="V120" i="8"/>
  <c r="T120" i="8"/>
  <c r="R120" i="8"/>
  <c r="P120" i="8"/>
  <c r="BF117" i="8"/>
  <c r="BD117" i="8"/>
  <c r="BB117" i="8"/>
  <c r="AZ117" i="8"/>
  <c r="AZ126" i="8" s="1"/>
  <c r="AX117" i="8"/>
  <c r="AV117" i="8"/>
  <c r="AV126" i="8" s="1"/>
  <c r="AR117" i="8"/>
  <c r="AR126" i="8" s="1"/>
  <c r="AP117" i="8"/>
  <c r="AP126" i="8" s="1"/>
  <c r="AN117" i="8"/>
  <c r="AN126" i="8" s="1"/>
  <c r="AL117" i="8"/>
  <c r="AL126" i="8" s="1"/>
  <c r="AF117" i="8"/>
  <c r="AF126" i="8" s="1"/>
  <c r="AD117" i="8"/>
  <c r="AB117" i="8"/>
  <c r="AB126" i="8" s="1"/>
  <c r="Z117" i="8"/>
  <c r="Z126" i="8" s="1"/>
  <c r="X117" i="8"/>
  <c r="V117" i="8"/>
  <c r="V126" i="8" s="1"/>
  <c r="T117" i="8"/>
  <c r="T126" i="8" s="1"/>
  <c r="R117" i="8"/>
  <c r="R126" i="8" s="1"/>
  <c r="P117" i="8"/>
  <c r="BF114" i="8"/>
  <c r="BD114" i="8"/>
  <c r="BB114" i="8"/>
  <c r="GC110" i="8"/>
  <c r="GD109" i="8" s="1"/>
  <c r="FZ110" i="8"/>
  <c r="GA108" i="8" s="1"/>
  <c r="GF109" i="8"/>
  <c r="GF108" i="8"/>
  <c r="GF107" i="8"/>
  <c r="GF106" i="8"/>
  <c r="GF105" i="8"/>
  <c r="GF104" i="8"/>
  <c r="GF103" i="8"/>
  <c r="GF102" i="8"/>
  <c r="GF101" i="8"/>
  <c r="GF100" i="8"/>
  <c r="GF99" i="8"/>
  <c r="GF98" i="8"/>
  <c r="GF97" i="8"/>
  <c r="GF96" i="8"/>
  <c r="GF95" i="8"/>
  <c r="GF94" i="8"/>
  <c r="GF93" i="8"/>
  <c r="GF92" i="8"/>
  <c r="GF91" i="8"/>
  <c r="GF90" i="8"/>
  <c r="IA77" i="8"/>
  <c r="IB74" i="8" s="1"/>
  <c r="GM77" i="8"/>
  <c r="GM171" i="8" s="1"/>
  <c r="GC77" i="8"/>
  <c r="GD66" i="8" s="1"/>
  <c r="FZ77" i="8"/>
  <c r="GA76" i="8" s="1"/>
  <c r="FW77" i="8"/>
  <c r="FW171" i="8" s="1"/>
  <c r="FT77" i="8"/>
  <c r="FU76" i="8" s="1"/>
  <c r="FQ77" i="8"/>
  <c r="FQ171" i="8" s="1"/>
  <c r="FN77" i="8"/>
  <c r="FO74" i="8" s="1"/>
  <c r="FK77" i="8"/>
  <c r="FK171" i="8" s="1"/>
  <c r="FH77" i="8"/>
  <c r="FI65" i="8" s="1"/>
  <c r="FE77" i="8"/>
  <c r="FE171" i="8" s="1"/>
  <c r="FB77" i="8"/>
  <c r="FC76" i="8" s="1"/>
  <c r="EY77" i="8"/>
  <c r="EZ75" i="8" s="1"/>
  <c r="EV77" i="8"/>
  <c r="EW74" i="8" s="1"/>
  <c r="ES77" i="8"/>
  <c r="ET69" i="8" s="1"/>
  <c r="EP77" i="8"/>
  <c r="EQ76" i="8" s="1"/>
  <c r="EM77" i="8"/>
  <c r="EM171" i="8" s="1"/>
  <c r="EJ77" i="8"/>
  <c r="EK76" i="8" s="1"/>
  <c r="EG77" i="8"/>
  <c r="EH74" i="8" s="1"/>
  <c r="ED77" i="8"/>
  <c r="EE74" i="8" s="1"/>
  <c r="EA77" i="8"/>
  <c r="EB72" i="8" s="1"/>
  <c r="DX77" i="8"/>
  <c r="DY70" i="8" s="1"/>
  <c r="DR77" i="8"/>
  <c r="DS76" i="8" s="1"/>
  <c r="DO77" i="8"/>
  <c r="DP72" i="8" s="1"/>
  <c r="DL77" i="8"/>
  <c r="DM74" i="8" s="1"/>
  <c r="DF77" i="8"/>
  <c r="DG71" i="8" s="1"/>
  <c r="DC77" i="8"/>
  <c r="DD65" i="8" s="1"/>
  <c r="CZ77" i="8"/>
  <c r="DA73" i="8" s="1"/>
  <c r="CW77" i="8"/>
  <c r="CX69" i="8" s="1"/>
  <c r="CT77" i="8"/>
  <c r="CU74" i="8" s="1"/>
  <c r="CQ77" i="8"/>
  <c r="CR69" i="8" s="1"/>
  <c r="CN77" i="8"/>
  <c r="CO67" i="8" s="1"/>
  <c r="CH77" i="8"/>
  <c r="CI73" i="8" s="1"/>
  <c r="CF77" i="8"/>
  <c r="CG66" i="8" s="1"/>
  <c r="CB77" i="8"/>
  <c r="BV77" i="8"/>
  <c r="BW73" i="8" s="1"/>
  <c r="BT77" i="8"/>
  <c r="BU73" i="8" s="1"/>
  <c r="BN77" i="8"/>
  <c r="BO68" i="8" s="1"/>
  <c r="BF77" i="8"/>
  <c r="BG74" i="8" s="1"/>
  <c r="BD77" i="8"/>
  <c r="BE65" i="8" s="1"/>
  <c r="AZ77" i="8"/>
  <c r="BA74" i="8" s="1"/>
  <c r="AX77" i="8"/>
  <c r="AY72" i="8" s="1"/>
  <c r="AV77" i="8"/>
  <c r="AW72" i="8" s="1"/>
  <c r="AT77" i="8"/>
  <c r="AU74" i="8" s="1"/>
  <c r="AL77" i="8"/>
  <c r="AM72" i="8" s="1"/>
  <c r="AJ77" i="8"/>
  <c r="AK70" i="8" s="1"/>
  <c r="AF77" i="8"/>
  <c r="AG66" i="8" s="1"/>
  <c r="AD77" i="8"/>
  <c r="AE74" i="8" s="1"/>
  <c r="AB77" i="8"/>
  <c r="AC72" i="8" s="1"/>
  <c r="X77" i="8"/>
  <c r="Y72" i="8" s="1"/>
  <c r="V77" i="8"/>
  <c r="W74" i="8" s="1"/>
  <c r="T77" i="8"/>
  <c r="U68" i="8" s="1"/>
  <c r="R77" i="8"/>
  <c r="S66" i="8" s="1"/>
  <c r="P77" i="8"/>
  <c r="Q66" i="8" s="1"/>
  <c r="N77" i="8"/>
  <c r="O72" i="8" s="1"/>
  <c r="GF76" i="8"/>
  <c r="A76" i="8"/>
  <c r="GF75" i="8"/>
  <c r="A75" i="8"/>
  <c r="GF74" i="8"/>
  <c r="A74" i="8"/>
  <c r="GF73" i="8"/>
  <c r="A73" i="8"/>
  <c r="GF72" i="8"/>
  <c r="A72" i="8"/>
  <c r="GF71" i="8"/>
  <c r="A71" i="8"/>
  <c r="GF70" i="8"/>
  <c r="DU70" i="8"/>
  <c r="DU77" i="8" s="1"/>
  <c r="DV76" i="8" s="1"/>
  <c r="DI70" i="8"/>
  <c r="DI77" i="8" s="1"/>
  <c r="CD70" i="8"/>
  <c r="CD77" i="8" s="1"/>
  <c r="CE67" i="8" s="1"/>
  <c r="BX70" i="8"/>
  <c r="BX77" i="8" s="1"/>
  <c r="BY65" i="8" s="1"/>
  <c r="BB70" i="8"/>
  <c r="BB77" i="8" s="1"/>
  <c r="AP70" i="8"/>
  <c r="AP77" i="8" s="1"/>
  <c r="AQ65" i="8" s="1"/>
  <c r="AN70" i="8"/>
  <c r="AH70" i="8"/>
  <c r="A70" i="8"/>
  <c r="GF69" i="8"/>
  <c r="A69" i="8"/>
  <c r="GF68" i="8"/>
  <c r="BZ68" i="8"/>
  <c r="BZ77" i="8" s="1"/>
  <c r="CA72" i="8" s="1"/>
  <c r="BR68" i="8"/>
  <c r="BR77" i="8" s="1"/>
  <c r="BS66" i="8" s="1"/>
  <c r="BP68" i="8"/>
  <c r="BP77" i="8" s="1"/>
  <c r="BQ71" i="8" s="1"/>
  <c r="BL68" i="8"/>
  <c r="BL77" i="8" s="1"/>
  <c r="BM72" i="8" s="1"/>
  <c r="BJ68" i="8"/>
  <c r="BJ77" i="8" s="1"/>
  <c r="BK71" i="8" s="1"/>
  <c r="BH68" i="8"/>
  <c r="BH77" i="8" s="1"/>
  <c r="AR68" i="8"/>
  <c r="AR77" i="8" s="1"/>
  <c r="AS72" i="8" s="1"/>
  <c r="A68" i="8"/>
  <c r="GF67" i="8"/>
  <c r="A67" i="8"/>
  <c r="GF66" i="8"/>
  <c r="A66" i="8"/>
  <c r="GF65" i="8"/>
  <c r="CK65" i="8"/>
  <c r="CK77" i="8" s="1"/>
  <c r="CL71" i="8" s="1"/>
  <c r="Z65" i="8"/>
  <c r="Z77" i="8" s="1"/>
  <c r="AA66" i="8" s="1"/>
  <c r="A65" i="8"/>
  <c r="IA59" i="8"/>
  <c r="GF59" i="8"/>
  <c r="GC59" i="8"/>
  <c r="FZ59" i="8"/>
  <c r="FW59" i="8"/>
  <c r="FT59" i="8"/>
  <c r="FQ59" i="8"/>
  <c r="FN59" i="8"/>
  <c r="FK59" i="8"/>
  <c r="FH59" i="8"/>
  <c r="FE59" i="8"/>
  <c r="FB59" i="8"/>
  <c r="EY59" i="8"/>
  <c r="EV59" i="8"/>
  <c r="ES59" i="8"/>
  <c r="EP59" i="8"/>
  <c r="EM59" i="8"/>
  <c r="EJ59" i="8"/>
  <c r="EG59" i="8"/>
  <c r="ED59" i="8"/>
  <c r="EA59" i="8"/>
  <c r="DX59" i="8"/>
  <c r="DR59" i="8"/>
  <c r="DO59" i="8"/>
  <c r="DL59" i="8"/>
  <c r="DI59" i="8"/>
  <c r="DF59" i="8"/>
  <c r="DC59" i="8"/>
  <c r="CZ59" i="8"/>
  <c r="CW59" i="8"/>
  <c r="CT59" i="8"/>
  <c r="CQ59" i="8"/>
  <c r="CN59" i="8"/>
  <c r="CK59" i="8"/>
  <c r="CH59" i="8"/>
  <c r="CF59" i="8"/>
  <c r="CD59" i="8"/>
  <c r="CB59" i="8"/>
  <c r="BZ59" i="8"/>
  <c r="BX59" i="8"/>
  <c r="BV59" i="8"/>
  <c r="BT59" i="8"/>
  <c r="BR59" i="8"/>
  <c r="BP59" i="8"/>
  <c r="BN59" i="8"/>
  <c r="BL59" i="8"/>
  <c r="BJ59" i="8"/>
  <c r="BH59" i="8"/>
  <c r="BF59" i="8"/>
  <c r="BD59" i="8"/>
  <c r="BB59" i="8"/>
  <c r="AZ59" i="8"/>
  <c r="AX59" i="8"/>
  <c r="AV59" i="8"/>
  <c r="AT59" i="8"/>
  <c r="AR59" i="8"/>
  <c r="AP59" i="8"/>
  <c r="AN59" i="8"/>
  <c r="AL59" i="8"/>
  <c r="AJ59" i="8"/>
  <c r="AH59" i="8"/>
  <c r="AF59" i="8"/>
  <c r="AD59" i="8"/>
  <c r="AB59" i="8"/>
  <c r="Z59" i="8"/>
  <c r="X59" i="8"/>
  <c r="V59" i="8"/>
  <c r="R59" i="8"/>
  <c r="P59" i="8"/>
  <c r="N59" i="8"/>
  <c r="L59" i="8"/>
  <c r="J59" i="8"/>
  <c r="H59" i="8"/>
  <c r="F59" i="8"/>
  <c r="D59" i="8"/>
  <c r="IA58" i="8"/>
  <c r="GM58" i="8"/>
  <c r="GF58" i="8"/>
  <c r="GC58" i="8"/>
  <c r="FZ58" i="8"/>
  <c r="FW58" i="8"/>
  <c r="FT58" i="8"/>
  <c r="FQ58" i="8"/>
  <c r="FN58" i="8"/>
  <c r="FK58" i="8"/>
  <c r="FH58" i="8"/>
  <c r="FE58" i="8"/>
  <c r="FB58" i="8"/>
  <c r="EY58" i="8"/>
  <c r="EV58" i="8"/>
  <c r="ES58" i="8"/>
  <c r="EP58" i="8"/>
  <c r="EM58" i="8"/>
  <c r="EJ58" i="8"/>
  <c r="EG58" i="8"/>
  <c r="ED58" i="8"/>
  <c r="EA58" i="8"/>
  <c r="DX58" i="8"/>
  <c r="DU58" i="8"/>
  <c r="DR58" i="8"/>
  <c r="DO58" i="8"/>
  <c r="DL58" i="8"/>
  <c r="DI58" i="8"/>
  <c r="DF58" i="8"/>
  <c r="DC58" i="8"/>
  <c r="CZ58" i="8"/>
  <c r="CW58" i="8"/>
  <c r="CT58" i="8"/>
  <c r="CQ58" i="8"/>
  <c r="CN58" i="8"/>
  <c r="CK58" i="8"/>
  <c r="CH58" i="8"/>
  <c r="CF58" i="8"/>
  <c r="CD58" i="8"/>
  <c r="CB58" i="8"/>
  <c r="BZ58" i="8"/>
  <c r="BX58" i="8"/>
  <c r="BV58" i="8"/>
  <c r="BT58" i="8"/>
  <c r="BR58" i="8"/>
  <c r="BP58" i="8"/>
  <c r="BN58" i="8"/>
  <c r="BL58" i="8"/>
  <c r="BJ58" i="8"/>
  <c r="BH58" i="8"/>
  <c r="BF58" i="8"/>
  <c r="BD58" i="8"/>
  <c r="BB58" i="8"/>
  <c r="AZ58" i="8"/>
  <c r="AX58" i="8"/>
  <c r="AV58" i="8"/>
  <c r="AT58" i="8"/>
  <c r="AR58" i="8"/>
  <c r="AP58" i="8"/>
  <c r="AN58" i="8"/>
  <c r="AL58" i="8"/>
  <c r="AJ58" i="8"/>
  <c r="AH58" i="8"/>
  <c r="AF58" i="8"/>
  <c r="AD58" i="8"/>
  <c r="AB58" i="8"/>
  <c r="Z58" i="8"/>
  <c r="X58" i="8"/>
  <c r="V58" i="8"/>
  <c r="T58" i="8"/>
  <c r="R58" i="8"/>
  <c r="P58" i="8"/>
  <c r="N58" i="8"/>
  <c r="L58" i="8"/>
  <c r="J58" i="8"/>
  <c r="H58" i="8"/>
  <c r="F58" i="8"/>
  <c r="D58" i="8"/>
  <c r="GM57" i="8"/>
  <c r="GF57" i="8"/>
  <c r="GC57" i="8"/>
  <c r="FZ57" i="8"/>
  <c r="FW57" i="8"/>
  <c r="FT57" i="8"/>
  <c r="FQ57" i="8"/>
  <c r="FN57" i="8"/>
  <c r="FK57" i="8"/>
  <c r="FH57" i="8"/>
  <c r="FE57" i="8"/>
  <c r="FB57" i="8"/>
  <c r="EY57" i="8"/>
  <c r="EV57" i="8"/>
  <c r="ES57" i="8"/>
  <c r="EP57" i="8"/>
  <c r="EM57" i="8"/>
  <c r="EJ57" i="8"/>
  <c r="EG57" i="8"/>
  <c r="EA57" i="8"/>
  <c r="DX57" i="8"/>
  <c r="DR57" i="8"/>
  <c r="DO57" i="8"/>
  <c r="DL57" i="8"/>
  <c r="DI57" i="8"/>
  <c r="DF57" i="8"/>
  <c r="DC57" i="8"/>
  <c r="CZ57" i="8"/>
  <c r="CQ57" i="8"/>
  <c r="CN57" i="8"/>
  <c r="CK57" i="8"/>
  <c r="CH57" i="8"/>
  <c r="CF57" i="8"/>
  <c r="CD57" i="8"/>
  <c r="CB57" i="8"/>
  <c r="BZ57" i="8"/>
  <c r="BX57" i="8"/>
  <c r="BV57" i="8"/>
  <c r="BT57" i="8"/>
  <c r="BR57" i="8"/>
  <c r="BP57" i="8"/>
  <c r="BN57" i="8"/>
  <c r="BL57" i="8"/>
  <c r="BJ57" i="8"/>
  <c r="BH57" i="8"/>
  <c r="BF57" i="8"/>
  <c r="BD57" i="8"/>
  <c r="BB57" i="8"/>
  <c r="AZ57" i="8"/>
  <c r="AX57" i="8"/>
  <c r="AV57" i="8"/>
  <c r="AT57" i="8"/>
  <c r="AR57" i="8"/>
  <c r="AP57" i="8"/>
  <c r="AN57" i="8"/>
  <c r="AL57" i="8"/>
  <c r="AJ57" i="8"/>
  <c r="AH57" i="8"/>
  <c r="AF57" i="8"/>
  <c r="AD57" i="8"/>
  <c r="AB57" i="8"/>
  <c r="Z57" i="8"/>
  <c r="X57" i="8"/>
  <c r="V57" i="8"/>
  <c r="R57" i="8"/>
  <c r="P57" i="8"/>
  <c r="L57" i="8"/>
  <c r="J57" i="8"/>
  <c r="H57" i="8"/>
  <c r="F57" i="8"/>
  <c r="D57" i="8"/>
  <c r="DL56" i="8"/>
  <c r="IA54" i="8"/>
  <c r="GM54" i="8"/>
  <c r="GC54" i="8"/>
  <c r="FZ54" i="8"/>
  <c r="FW54" i="8"/>
  <c r="FT54" i="8"/>
  <c r="FQ54" i="8"/>
  <c r="FN54" i="8"/>
  <c r="FK54" i="8"/>
  <c r="FH54" i="8"/>
  <c r="FE54" i="8"/>
  <c r="FB54" i="8"/>
  <c r="EY54" i="8"/>
  <c r="EV54" i="8"/>
  <c r="EP54" i="8"/>
  <c r="EM54" i="8"/>
  <c r="EJ54" i="8"/>
  <c r="EG54" i="8"/>
  <c r="ED54" i="8"/>
  <c r="EA54" i="8"/>
  <c r="DX54" i="8"/>
  <c r="DU54" i="8"/>
  <c r="DR54" i="8"/>
  <c r="DO54" i="8"/>
  <c r="DC54" i="8"/>
  <c r="CZ54" i="8"/>
  <c r="CT54" i="8"/>
  <c r="IA52" i="8"/>
  <c r="GM52" i="8"/>
  <c r="GF52" i="8"/>
  <c r="GC52" i="8"/>
  <c r="FZ52" i="8"/>
  <c r="FW52" i="8"/>
  <c r="FT52" i="8"/>
  <c r="FQ52" i="8"/>
  <c r="FN52" i="8"/>
  <c r="FK52" i="8"/>
  <c r="FH52" i="8"/>
  <c r="FE52" i="8"/>
  <c r="FB52" i="8"/>
  <c r="EY52" i="8"/>
  <c r="EV52" i="8"/>
  <c r="EP52" i="8"/>
  <c r="EM52" i="8"/>
  <c r="EJ52" i="8"/>
  <c r="EG52" i="8"/>
  <c r="ED52" i="8"/>
  <c r="EA52" i="8"/>
  <c r="DX52" i="8"/>
  <c r="DU52" i="8"/>
  <c r="DR52" i="8"/>
  <c r="DO52" i="8"/>
  <c r="DC52" i="8"/>
  <c r="CZ52" i="8"/>
  <c r="CW52" i="8"/>
  <c r="CT52" i="8"/>
  <c r="CQ52" i="8"/>
  <c r="CN52" i="8"/>
  <c r="CK52" i="8"/>
  <c r="CH52" i="8"/>
  <c r="CF52" i="8"/>
  <c r="CD52" i="8"/>
  <c r="CB52" i="8"/>
  <c r="BZ52" i="8"/>
  <c r="BX52" i="8"/>
  <c r="BV52" i="8"/>
  <c r="BT52" i="8"/>
  <c r="BR52" i="8"/>
  <c r="BP52" i="8"/>
  <c r="BN52" i="8"/>
  <c r="BL52" i="8"/>
  <c r="BJ52" i="8"/>
  <c r="BH52" i="8"/>
  <c r="BF52" i="8"/>
  <c r="BD52" i="8"/>
  <c r="BB52" i="8"/>
  <c r="AZ52" i="8"/>
  <c r="AX52" i="8"/>
  <c r="AV52" i="8"/>
  <c r="AT52" i="8"/>
  <c r="AR52" i="8"/>
  <c r="AP52" i="8"/>
  <c r="AN52" i="8"/>
  <c r="AL52" i="8"/>
  <c r="AJ52" i="8"/>
  <c r="AH52" i="8"/>
  <c r="AF52" i="8"/>
  <c r="AD52" i="8"/>
  <c r="AB52" i="8"/>
  <c r="X52" i="8"/>
  <c r="V52" i="8"/>
  <c r="T52" i="8"/>
  <c r="R52" i="8"/>
  <c r="P52" i="8"/>
  <c r="N52" i="8"/>
  <c r="L52" i="8"/>
  <c r="J52" i="8"/>
  <c r="H52" i="8"/>
  <c r="F52" i="8"/>
  <c r="D52" i="8"/>
  <c r="GF51" i="8"/>
  <c r="CK51" i="8"/>
  <c r="CH51" i="8"/>
  <c r="CF51" i="8"/>
  <c r="CD51" i="8"/>
  <c r="CB51" i="8"/>
  <c r="GF50" i="8"/>
  <c r="CK50" i="8"/>
  <c r="CH50" i="8"/>
  <c r="CF50" i="8"/>
  <c r="CD50" i="8"/>
  <c r="CB50" i="8"/>
  <c r="BZ50" i="8"/>
  <c r="BX50" i="8"/>
  <c r="BV50" i="8"/>
  <c r="BT50" i="8"/>
  <c r="BR50" i="8"/>
  <c r="BP50" i="8"/>
  <c r="BN50" i="8"/>
  <c r="BL50" i="8"/>
  <c r="BJ50" i="8"/>
  <c r="BH50" i="8"/>
  <c r="BF50" i="8"/>
  <c r="BD50" i="8"/>
  <c r="BB50" i="8"/>
  <c r="AZ50" i="8"/>
  <c r="AX50" i="8"/>
  <c r="AV50" i="8"/>
  <c r="AT50" i="8"/>
  <c r="AR50" i="8"/>
  <c r="AP50" i="8"/>
  <c r="AN50" i="8"/>
  <c r="AL50" i="8"/>
  <c r="AJ50" i="8"/>
  <c r="AH50" i="8"/>
  <c r="AF50" i="8"/>
  <c r="AD50" i="8"/>
  <c r="AB50" i="8"/>
  <c r="Z50" i="8"/>
  <c r="X50" i="8"/>
  <c r="V50" i="8"/>
  <c r="T50" i="8"/>
  <c r="R50" i="8"/>
  <c r="P50" i="8"/>
  <c r="N50" i="8"/>
  <c r="L50" i="8"/>
  <c r="J50" i="8"/>
  <c r="H50" i="8"/>
  <c r="F50" i="8"/>
  <c r="D50" i="8"/>
  <c r="IA49" i="8"/>
  <c r="IA51" i="8" s="1"/>
  <c r="GM49" i="8"/>
  <c r="GM51" i="8" s="1"/>
  <c r="GF49" i="8"/>
  <c r="GC49" i="8"/>
  <c r="FZ49" i="8"/>
  <c r="FZ51" i="8" s="1"/>
  <c r="FW49" i="8"/>
  <c r="FW51" i="8" s="1"/>
  <c r="FT49" i="8"/>
  <c r="FT51" i="8" s="1"/>
  <c r="FQ49" i="8"/>
  <c r="FQ51" i="8" s="1"/>
  <c r="FN49" i="8"/>
  <c r="FK49" i="8"/>
  <c r="FK51" i="8" s="1"/>
  <c r="FH49" i="8"/>
  <c r="FE49" i="8"/>
  <c r="FE51" i="8" s="1"/>
  <c r="FB49" i="8"/>
  <c r="FB51" i="8" s="1"/>
  <c r="EY49" i="8"/>
  <c r="EY51" i="8" s="1"/>
  <c r="EV49" i="8"/>
  <c r="ES49" i="8"/>
  <c r="ES51" i="8" s="1"/>
  <c r="EP49" i="8"/>
  <c r="EM49" i="8"/>
  <c r="EJ49" i="8"/>
  <c r="EG49" i="8"/>
  <c r="ED49" i="8"/>
  <c r="EA49" i="8"/>
  <c r="EA51" i="8" s="1"/>
  <c r="DX49" i="8"/>
  <c r="DX51" i="8" s="1"/>
  <c r="DU49" i="8"/>
  <c r="DU51" i="8" s="1"/>
  <c r="DR49" i="8"/>
  <c r="DO49" i="8"/>
  <c r="DO51" i="8" s="1"/>
  <c r="DL49" i="8"/>
  <c r="DI49" i="8"/>
  <c r="DF49" i="8"/>
  <c r="DF51" i="8" s="1"/>
  <c r="DC49" i="8"/>
  <c r="CZ49" i="8"/>
  <c r="CQ49" i="8"/>
  <c r="CN49" i="8"/>
  <c r="CK49" i="8"/>
  <c r="CH49" i="8"/>
  <c r="CF49" i="8"/>
  <c r="CB49" i="8"/>
  <c r="BZ49" i="8"/>
  <c r="BX49" i="8"/>
  <c r="BV49" i="8"/>
  <c r="BT49" i="8"/>
  <c r="BR49" i="8"/>
  <c r="BP49" i="8"/>
  <c r="BN49" i="8"/>
  <c r="BL49" i="8"/>
  <c r="BJ49" i="8"/>
  <c r="BH49" i="8"/>
  <c r="BF49" i="8"/>
  <c r="BD49" i="8"/>
  <c r="AZ49" i="8"/>
  <c r="AX49" i="8"/>
  <c r="AV49" i="8"/>
  <c r="AT49" i="8"/>
  <c r="AR49" i="8"/>
  <c r="AP49" i="8"/>
  <c r="AN49" i="8"/>
  <c r="AL49" i="8"/>
  <c r="AJ49" i="8"/>
  <c r="AH49" i="8"/>
  <c r="AF49" i="8"/>
  <c r="AD49" i="8"/>
  <c r="AB49" i="8"/>
  <c r="Z49" i="8"/>
  <c r="X49" i="8"/>
  <c r="V49" i="8"/>
  <c r="T49" i="8"/>
  <c r="R49" i="8"/>
  <c r="P49" i="8"/>
  <c r="N49" i="8"/>
  <c r="L49" i="8"/>
  <c r="J49" i="8"/>
  <c r="H49" i="8"/>
  <c r="F49" i="8"/>
  <c r="D49" i="8"/>
  <c r="GF48" i="8"/>
  <c r="EV48" i="8"/>
  <c r="EV50" i="8" s="1"/>
  <c r="CK48" i="8"/>
  <c r="CH48" i="8"/>
  <c r="CF48" i="8"/>
  <c r="CD48" i="8"/>
  <c r="CB48" i="8"/>
  <c r="BZ48" i="8"/>
  <c r="BX48" i="8"/>
  <c r="BV48" i="8"/>
  <c r="BT48" i="8"/>
  <c r="BR48" i="8"/>
  <c r="BP48" i="8"/>
  <c r="BN48" i="8"/>
  <c r="BL48" i="8"/>
  <c r="BJ48" i="8"/>
  <c r="BH48" i="8"/>
  <c r="BF48" i="8"/>
  <c r="BD48" i="8"/>
  <c r="BB48" i="8"/>
  <c r="AZ48" i="8"/>
  <c r="AX48" i="8"/>
  <c r="AV48" i="8"/>
  <c r="AT48" i="8"/>
  <c r="AR48" i="8"/>
  <c r="AP48" i="8"/>
  <c r="AN48" i="8"/>
  <c r="AL48" i="8"/>
  <c r="AJ48" i="8"/>
  <c r="AH48" i="8"/>
  <c r="AF48" i="8"/>
  <c r="AD48" i="8"/>
  <c r="AB48" i="8"/>
  <c r="Z48" i="8"/>
  <c r="X48" i="8"/>
  <c r="V48" i="8"/>
  <c r="T48" i="8"/>
  <c r="R48" i="8"/>
  <c r="P48" i="8"/>
  <c r="N48" i="8"/>
  <c r="L48" i="8"/>
  <c r="J48" i="8"/>
  <c r="H48" i="8"/>
  <c r="F48" i="8"/>
  <c r="D48" i="8"/>
  <c r="IA47" i="8"/>
  <c r="GM47" i="8"/>
  <c r="GF47" i="8"/>
  <c r="GC47" i="8"/>
  <c r="FZ47" i="8"/>
  <c r="FW47" i="8"/>
  <c r="FT47" i="8"/>
  <c r="FQ47" i="8"/>
  <c r="FN47" i="8"/>
  <c r="FK47" i="8"/>
  <c r="FH47" i="8"/>
  <c r="FE47" i="8"/>
  <c r="FB47" i="8"/>
  <c r="EY47" i="8"/>
  <c r="EV47" i="8"/>
  <c r="ES47" i="8"/>
  <c r="ED47" i="8"/>
  <c r="EA47" i="8"/>
  <c r="DX47" i="8"/>
  <c r="DU47" i="8"/>
  <c r="DR47" i="8"/>
  <c r="DO47" i="8"/>
  <c r="DL47" i="8"/>
  <c r="DI47" i="8"/>
  <c r="DF47" i="8"/>
  <c r="CK47" i="8"/>
  <c r="CH47" i="8"/>
  <c r="CF47" i="8"/>
  <c r="CD47" i="8"/>
  <c r="CB47" i="8"/>
  <c r="BZ47" i="8"/>
  <c r="BX47" i="8"/>
  <c r="BV47" i="8"/>
  <c r="BT47" i="8"/>
  <c r="BR47" i="8"/>
  <c r="BP47" i="8"/>
  <c r="BN47" i="8"/>
  <c r="BL47" i="8"/>
  <c r="BJ47" i="8"/>
  <c r="BH47" i="8"/>
  <c r="BF47" i="8"/>
  <c r="BD47" i="8"/>
  <c r="BB47" i="8"/>
  <c r="AZ47" i="8"/>
  <c r="AX47" i="8"/>
  <c r="AV47" i="8"/>
  <c r="AT47" i="8"/>
  <c r="AR47" i="8"/>
  <c r="AP47" i="8"/>
  <c r="AN47" i="8"/>
  <c r="AL47" i="8"/>
  <c r="AJ47" i="8"/>
  <c r="AH47" i="8"/>
  <c r="AF47" i="8"/>
  <c r="AD47" i="8"/>
  <c r="AB47" i="8"/>
  <c r="Z47" i="8"/>
  <c r="X47" i="8"/>
  <c r="V47" i="8"/>
  <c r="T47" i="8"/>
  <c r="R47" i="8"/>
  <c r="P47" i="8"/>
  <c r="N47" i="8"/>
  <c r="L47" i="8"/>
  <c r="J47" i="8"/>
  <c r="H47" i="8"/>
  <c r="F47" i="8"/>
  <c r="D47" i="8"/>
  <c r="IA48" i="8"/>
  <c r="FW48" i="8"/>
  <c r="FQ48" i="8"/>
  <c r="FQ50" i="8" s="1"/>
  <c r="FK48" i="8"/>
  <c r="FH48" i="8"/>
  <c r="FE48" i="8"/>
  <c r="FB48" i="8"/>
  <c r="EY48" i="8"/>
  <c r="EY50" i="8" s="1"/>
  <c r="EA48" i="8"/>
  <c r="EA50" i="8" s="1"/>
  <c r="DX48" i="8"/>
  <c r="DU48" i="8"/>
  <c r="DR48" i="8"/>
  <c r="DO48" i="8"/>
  <c r="DO50" i="8" s="1"/>
  <c r="DI48" i="8"/>
  <c r="DI50" i="8" s="1"/>
  <c r="DI52" i="8" s="1"/>
  <c r="DF48" i="8"/>
  <c r="DL37" i="8"/>
  <c r="DM21" i="8" s="1"/>
  <c r="X37" i="8"/>
  <c r="IC33" i="8" s="1"/>
  <c r="V37" i="8"/>
  <c r="W35" i="8" s="1"/>
  <c r="R37" i="8"/>
  <c r="S21" i="8" s="1"/>
  <c r="P37" i="8"/>
  <c r="Q21" i="8" s="1"/>
  <c r="L37" i="8"/>
  <c r="M33" i="8" s="1"/>
  <c r="J37" i="8"/>
  <c r="K33" i="8" s="1"/>
  <c r="H37" i="8"/>
  <c r="I33" i="8" s="1"/>
  <c r="F37" i="8"/>
  <c r="F39" i="8" s="1"/>
  <c r="D37" i="8"/>
  <c r="D39" i="8" s="1"/>
  <c r="GF35" i="8"/>
  <c r="DU35" i="8"/>
  <c r="T35" i="8"/>
  <c r="T59" i="8" s="1"/>
  <c r="GF34" i="8"/>
  <c r="IA33" i="8"/>
  <c r="IA57" i="8" s="1"/>
  <c r="GF33" i="8"/>
  <c r="ED33" i="8"/>
  <c r="DU33" i="8"/>
  <c r="DU57" i="8" s="1"/>
  <c r="CW33" i="8"/>
  <c r="CW57" i="8" s="1"/>
  <c r="CT33" i="8"/>
  <c r="CT57" i="8" s="1"/>
  <c r="T33" i="8"/>
  <c r="N33" i="8"/>
  <c r="N57" i="8" s="1"/>
  <c r="IC32" i="8"/>
  <c r="GF32" i="8"/>
  <c r="GC32" i="8"/>
  <c r="GC37" i="8" s="1"/>
  <c r="GD24" i="8" s="1"/>
  <c r="FZ32" i="8"/>
  <c r="FZ37" i="8" s="1"/>
  <c r="GA34" i="8" s="1"/>
  <c r="FW32" i="8"/>
  <c r="FW37" i="8" s="1"/>
  <c r="FX34" i="8" s="1"/>
  <c r="FT32" i="8"/>
  <c r="FT37" i="8" s="1"/>
  <c r="FU18" i="8" s="1"/>
  <c r="FQ32" i="8"/>
  <c r="FQ37" i="8" s="1"/>
  <c r="FN32" i="8"/>
  <c r="FN37" i="8" s="1"/>
  <c r="FO34" i="8" s="1"/>
  <c r="FK32" i="8"/>
  <c r="FK37" i="8" s="1"/>
  <c r="FH32" i="8"/>
  <c r="FE32" i="8"/>
  <c r="FE37" i="8" s="1"/>
  <c r="FB32" i="8"/>
  <c r="FB37" i="8" s="1"/>
  <c r="EY32" i="8"/>
  <c r="EY37" i="8" s="1"/>
  <c r="EZ21" i="8" s="1"/>
  <c r="EV32" i="8"/>
  <c r="EV56" i="8" s="1"/>
  <c r="ES32" i="8"/>
  <c r="EP32" i="8"/>
  <c r="EP56" i="8" s="1"/>
  <c r="EM32" i="8"/>
  <c r="EM37" i="8" s="1"/>
  <c r="EN34" i="8" s="1"/>
  <c r="EJ32" i="8"/>
  <c r="EG32" i="8"/>
  <c r="EG37" i="8" s="1"/>
  <c r="EH34" i="8" s="1"/>
  <c r="EA32" i="8"/>
  <c r="DX32" i="8"/>
  <c r="DR32" i="8"/>
  <c r="DR37" i="8" s="1"/>
  <c r="DO32" i="8"/>
  <c r="DO37" i="8" s="1"/>
  <c r="DI32" i="8"/>
  <c r="DF32" i="8"/>
  <c r="DC32" i="8"/>
  <c r="DC56" i="8" s="1"/>
  <c r="CZ32" i="8"/>
  <c r="CQ32" i="8"/>
  <c r="CN32" i="8"/>
  <c r="CK32" i="8"/>
  <c r="CH32" i="8"/>
  <c r="CF32" i="8"/>
  <c r="CD32" i="8"/>
  <c r="CB32" i="8"/>
  <c r="CB37" i="8" s="1"/>
  <c r="CC24" i="8" s="1"/>
  <c r="BZ32" i="8"/>
  <c r="BZ37" i="8" s="1"/>
  <c r="BZ39" i="8" s="1"/>
  <c r="BX32" i="8"/>
  <c r="BV32" i="8"/>
  <c r="BT32" i="8"/>
  <c r="BT37" i="8" s="1"/>
  <c r="BU29" i="8" s="1"/>
  <c r="BR32" i="8"/>
  <c r="BP32" i="8"/>
  <c r="BN32" i="8"/>
  <c r="IJ32" i="8" s="1"/>
  <c r="BL32" i="8"/>
  <c r="BJ32" i="8"/>
  <c r="BH32" i="8"/>
  <c r="II32" i="8" s="1"/>
  <c r="BF32" i="8"/>
  <c r="BF37" i="8" s="1"/>
  <c r="BD32" i="8"/>
  <c r="BB32" i="8"/>
  <c r="AZ32" i="8"/>
  <c r="AZ37" i="8" s="1"/>
  <c r="BA35" i="8" s="1"/>
  <c r="AX32" i="8"/>
  <c r="AX37" i="8" s="1"/>
  <c r="AV32" i="8"/>
  <c r="AV37" i="8" s="1"/>
  <c r="AW34" i="8" s="1"/>
  <c r="AR32" i="8"/>
  <c r="AR37" i="8" s="1"/>
  <c r="AS35" i="8" s="1"/>
  <c r="AP32" i="8"/>
  <c r="IF32" i="8" s="1"/>
  <c r="AN32" i="8"/>
  <c r="AL32" i="8"/>
  <c r="AL37" i="8" s="1"/>
  <c r="AJ32" i="8"/>
  <c r="IE32" i="8" s="1"/>
  <c r="AH32" i="8"/>
  <c r="AF32" i="8"/>
  <c r="AF37" i="8" s="1"/>
  <c r="AG34" i="8" s="1"/>
  <c r="AD32" i="8"/>
  <c r="AD37" i="8" s="1"/>
  <c r="AE35" i="8" s="1"/>
  <c r="AB32" i="8"/>
  <c r="AB37" i="8" s="1"/>
  <c r="AC21" i="8" s="1"/>
  <c r="Z32" i="8"/>
  <c r="IS29" i="8"/>
  <c r="IR29" i="8"/>
  <c r="IN29" i="8"/>
  <c r="IM29" i="8"/>
  <c r="IL29" i="8"/>
  <c r="GF29" i="8"/>
  <c r="DI29" i="8"/>
  <c r="CW29" i="8"/>
  <c r="CW54" i="8" s="1"/>
  <c r="CQ29" i="8"/>
  <c r="CQ54" i="8" s="1"/>
  <c r="IX27" i="8"/>
  <c r="IW27" i="8"/>
  <c r="IS27" i="8"/>
  <c r="IR27" i="8"/>
  <c r="IQ27" i="8"/>
  <c r="IP27" i="8"/>
  <c r="IO27" i="8"/>
  <c r="IN27" i="8"/>
  <c r="IM27" i="8"/>
  <c r="IL27" i="8"/>
  <c r="IJ27" i="8"/>
  <c r="II27" i="8"/>
  <c r="IH27" i="8"/>
  <c r="IG27" i="8"/>
  <c r="IF27" i="8"/>
  <c r="IE27" i="8"/>
  <c r="ID27" i="8"/>
  <c r="IC27" i="8"/>
  <c r="GF27" i="8"/>
  <c r="Z27" i="8"/>
  <c r="Z52" i="8" s="1"/>
  <c r="IX26" i="8"/>
  <c r="IW26" i="8"/>
  <c r="IR26" i="8"/>
  <c r="IQ26" i="8"/>
  <c r="IP26" i="8"/>
  <c r="IO26" i="8"/>
  <c r="IX25" i="8"/>
  <c r="IW25" i="8"/>
  <c r="IR25" i="8"/>
  <c r="IQ25" i="8"/>
  <c r="IP25" i="8"/>
  <c r="IO25" i="8"/>
  <c r="IX24" i="8"/>
  <c r="IW24" i="8"/>
  <c r="IS24" i="8"/>
  <c r="IR24" i="8"/>
  <c r="IQ24" i="8"/>
  <c r="IN24" i="8"/>
  <c r="IJ24" i="8"/>
  <c r="II24" i="8"/>
  <c r="IG24" i="8"/>
  <c r="IF24" i="8"/>
  <c r="IE24" i="8"/>
  <c r="ID24" i="8"/>
  <c r="IC24" i="8"/>
  <c r="GF24" i="8"/>
  <c r="CW24" i="8"/>
  <c r="CW49" i="8" s="1"/>
  <c r="CT24" i="8"/>
  <c r="CT49" i="8" s="1"/>
  <c r="CD24" i="8"/>
  <c r="CD49" i="8" s="1"/>
  <c r="BX24" i="8"/>
  <c r="BX45" i="8" s="1"/>
  <c r="BB24" i="8"/>
  <c r="BB49" i="8" s="1"/>
  <c r="IX23" i="8"/>
  <c r="IW23" i="8"/>
  <c r="IR23" i="8"/>
  <c r="IQ23" i="8"/>
  <c r="IP23" i="8"/>
  <c r="IO23" i="8"/>
  <c r="IJ23" i="8"/>
  <c r="II23" i="8"/>
  <c r="IX22" i="8"/>
  <c r="IW22" i="8"/>
  <c r="IR22" i="8"/>
  <c r="IQ22" i="8"/>
  <c r="IP22" i="8"/>
  <c r="IO22" i="8"/>
  <c r="IJ22" i="8"/>
  <c r="IW21" i="8"/>
  <c r="IS21" i="8"/>
  <c r="IR21" i="8"/>
  <c r="IQ21" i="8"/>
  <c r="IP21" i="8"/>
  <c r="IN21" i="8"/>
  <c r="IM21" i="8"/>
  <c r="IL21" i="8"/>
  <c r="IJ21" i="8"/>
  <c r="IH21" i="8"/>
  <c r="IG21" i="8"/>
  <c r="IE21" i="8"/>
  <c r="ID21" i="8"/>
  <c r="IC21" i="8"/>
  <c r="GF21" i="8"/>
  <c r="CQ21" i="8"/>
  <c r="CQ46" i="8" s="1"/>
  <c r="CN21" i="8"/>
  <c r="CN46" i="8" s="1"/>
  <c r="BR21" i="8"/>
  <c r="BR46" i="8" s="1"/>
  <c r="BP21" i="8"/>
  <c r="BP46" i="8" s="1"/>
  <c r="BL21" i="8"/>
  <c r="BL46" i="8" s="1"/>
  <c r="BJ21" i="8"/>
  <c r="BJ46" i="8" s="1"/>
  <c r="BH21" i="8"/>
  <c r="BH46" i="8" s="1"/>
  <c r="AT21" i="8"/>
  <c r="AT46" i="8" s="1"/>
  <c r="AP21" i="8"/>
  <c r="AP46" i="8" s="1"/>
  <c r="AH21" i="8"/>
  <c r="AH46" i="8" s="1"/>
  <c r="IX20" i="8"/>
  <c r="IW20" i="8"/>
  <c r="IQ20" i="8"/>
  <c r="IX19" i="8"/>
  <c r="IW19" i="8"/>
  <c r="IQ19" i="8"/>
  <c r="IS18" i="8"/>
  <c r="IR18" i="8"/>
  <c r="IQ18" i="8"/>
  <c r="IN18" i="8"/>
  <c r="IM18" i="8"/>
  <c r="IL18" i="8"/>
  <c r="IJ18" i="8"/>
  <c r="II18" i="8"/>
  <c r="IH18" i="8"/>
  <c r="GF18" i="8"/>
  <c r="CW18" i="8"/>
  <c r="CW43" i="8" s="1"/>
  <c r="CT18" i="8"/>
  <c r="CT43" i="8" s="1"/>
  <c r="CQ18" i="8"/>
  <c r="CQ43" i="8" s="1"/>
  <c r="BD18" i="8"/>
  <c r="BD43" i="8" s="1"/>
  <c r="H116" i="10"/>
  <c r="E116" i="10" s="1"/>
  <c r="H115" i="10"/>
  <c r="E115" i="10" s="1"/>
  <c r="G115" i="10"/>
  <c r="H114" i="10"/>
  <c r="E114" i="10" s="1"/>
  <c r="G114" i="10"/>
  <c r="D114" i="10"/>
  <c r="F114" i="10" s="1"/>
  <c r="H113" i="10"/>
  <c r="E113" i="10" s="1"/>
  <c r="G113" i="10"/>
  <c r="D113" i="10"/>
  <c r="F113" i="10" s="1"/>
  <c r="H112" i="10"/>
  <c r="E112" i="10" s="1"/>
  <c r="G112" i="10"/>
  <c r="D112" i="10"/>
  <c r="F112" i="10" s="1"/>
  <c r="H111" i="10"/>
  <c r="E111" i="10" s="1"/>
  <c r="G111" i="10"/>
  <c r="D111" i="10"/>
  <c r="F111" i="10" s="1"/>
  <c r="H110" i="10"/>
  <c r="E110" i="10" s="1"/>
  <c r="G110" i="10"/>
  <c r="D110" i="10"/>
  <c r="F110" i="10" s="1"/>
  <c r="H109" i="10"/>
  <c r="E109" i="10" s="1"/>
  <c r="G109" i="10"/>
  <c r="D109" i="10"/>
  <c r="F109" i="10" s="1"/>
  <c r="H108" i="10"/>
  <c r="E108" i="10" s="1"/>
  <c r="G108" i="10"/>
  <c r="D108" i="10"/>
  <c r="F108" i="10" s="1"/>
  <c r="H107" i="10"/>
  <c r="E107" i="10" s="1"/>
  <c r="G107" i="10"/>
  <c r="D107" i="10"/>
  <c r="F107" i="10" s="1"/>
  <c r="H106" i="10"/>
  <c r="E106" i="10" s="1"/>
  <c r="G106" i="10"/>
  <c r="D106" i="10"/>
  <c r="F106" i="10" s="1"/>
  <c r="H105" i="10"/>
  <c r="E105" i="10" s="1"/>
  <c r="G105" i="10"/>
  <c r="D105" i="10"/>
  <c r="F105" i="10" s="1"/>
  <c r="H104" i="10"/>
  <c r="E104" i="10" s="1"/>
  <c r="G104" i="10"/>
  <c r="D104" i="10"/>
  <c r="F104" i="10" s="1"/>
  <c r="H103" i="10"/>
  <c r="E103" i="10" s="1"/>
  <c r="G103" i="10"/>
  <c r="F103" i="10"/>
  <c r="H102" i="10"/>
  <c r="E102" i="10" s="1"/>
  <c r="G102" i="10"/>
  <c r="D102" i="10"/>
  <c r="F102" i="10" s="1"/>
  <c r="H101" i="10"/>
  <c r="E101" i="10" s="1"/>
  <c r="G101" i="10"/>
  <c r="D101" i="10"/>
  <c r="F101" i="10" s="1"/>
  <c r="H100" i="10"/>
  <c r="E100" i="10" s="1"/>
  <c r="G100" i="10"/>
  <c r="D100" i="10"/>
  <c r="F100" i="10" s="1"/>
  <c r="H99" i="10"/>
  <c r="E99" i="10" s="1"/>
  <c r="G99" i="10"/>
  <c r="D99" i="10"/>
  <c r="F99" i="10" s="1"/>
  <c r="J98" i="10"/>
  <c r="E98" i="10"/>
  <c r="H97" i="10"/>
  <c r="E97" i="10" s="1"/>
  <c r="G97" i="10"/>
  <c r="D97" i="10"/>
  <c r="F97" i="10" s="1"/>
  <c r="H96" i="10"/>
  <c r="E96" i="10" s="1"/>
  <c r="H95" i="10"/>
  <c r="E95" i="10" s="1"/>
  <c r="G95" i="10"/>
  <c r="D95" i="10"/>
  <c r="F95" i="10" s="1"/>
  <c r="H94" i="10"/>
  <c r="E94" i="10" s="1"/>
  <c r="G94" i="10"/>
  <c r="D94" i="10"/>
  <c r="F94" i="10" s="1"/>
  <c r="L93" i="10"/>
  <c r="H93" i="10"/>
  <c r="E93" i="10" s="1"/>
  <c r="D93" i="10"/>
  <c r="F93" i="10" s="1"/>
  <c r="L92" i="10"/>
  <c r="H92" i="10"/>
  <c r="E92" i="10" s="1"/>
  <c r="D92" i="10"/>
  <c r="F92" i="10" s="1"/>
  <c r="L91" i="10"/>
  <c r="H91" i="10"/>
  <c r="E91" i="10" s="1"/>
  <c r="D91" i="10"/>
  <c r="F91" i="10" s="1"/>
  <c r="L90" i="10"/>
  <c r="H90" i="10"/>
  <c r="E90" i="10" s="1"/>
  <c r="D90" i="10"/>
  <c r="F90" i="10" s="1"/>
  <c r="L89" i="10"/>
  <c r="H89" i="10"/>
  <c r="E89" i="10" s="1"/>
  <c r="G89" i="10"/>
  <c r="D89" i="10"/>
  <c r="F89" i="10" s="1"/>
  <c r="L88" i="10"/>
  <c r="H88" i="10"/>
  <c r="E88" i="10" s="1"/>
  <c r="G88" i="10"/>
  <c r="D88" i="10"/>
  <c r="F88" i="10" s="1"/>
  <c r="L87" i="10"/>
  <c r="H87" i="10"/>
  <c r="E87" i="10" s="1"/>
  <c r="L86" i="10"/>
  <c r="H86" i="10"/>
  <c r="E86" i="10" s="1"/>
  <c r="L85" i="10"/>
  <c r="H85" i="10"/>
  <c r="E85" i="10" s="1"/>
  <c r="L84" i="10"/>
  <c r="H84" i="10"/>
  <c r="E84" i="10" s="1"/>
  <c r="L83" i="10"/>
  <c r="H83" i="10"/>
  <c r="L82" i="10"/>
  <c r="H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I50" i="4"/>
  <c r="I38" i="4"/>
  <c r="I36" i="4"/>
  <c r="I35" i="4"/>
  <c r="FC26" i="4"/>
  <c r="FB26" i="4"/>
  <c r="FA26" i="4"/>
  <c r="EZ26" i="4"/>
  <c r="EY26" i="4"/>
  <c r="EX26" i="4"/>
  <c r="EW26" i="4"/>
  <c r="EV26" i="4"/>
  <c r="EU26" i="4"/>
  <c r="ET26" i="4"/>
  <c r="ES26" i="4"/>
  <c r="ER26" i="4"/>
  <c r="EQ26" i="4"/>
  <c r="EP26" i="4"/>
  <c r="EO26" i="4"/>
  <c r="EM26" i="4"/>
  <c r="EL26" i="4"/>
  <c r="EK26" i="4"/>
  <c r="EJ26" i="4"/>
  <c r="EI26" i="4"/>
  <c r="EH26" i="4"/>
  <c r="EG26" i="4"/>
  <c r="EF26" i="4"/>
  <c r="EE26" i="4"/>
  <c r="EC26" i="4"/>
  <c r="EA26" i="4"/>
  <c r="DZ26" i="4"/>
  <c r="DY26" i="4"/>
  <c r="DW26" i="4"/>
  <c r="DV26" i="4"/>
  <c r="DU26" i="4"/>
  <c r="DT26" i="4"/>
  <c r="DS26" i="4"/>
  <c r="DR26" i="4"/>
  <c r="DQ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F26" i="4"/>
  <c r="AE26" i="4"/>
  <c r="AC26" i="4"/>
  <c r="AB26" i="4"/>
  <c r="Z26" i="4"/>
  <c r="Y26" i="4"/>
  <c r="X26" i="4"/>
  <c r="W26" i="4"/>
  <c r="V26" i="4"/>
  <c r="U26" i="4"/>
  <c r="T26" i="4"/>
  <c r="S26" i="4"/>
  <c r="R26" i="4"/>
  <c r="Q26" i="4"/>
  <c r="EN25" i="4"/>
  <c r="EN26" i="4" s="1"/>
  <c r="EB25" i="4"/>
  <c r="EB26" i="4" s="1"/>
  <c r="DP25" i="4"/>
  <c r="J25" i="4"/>
  <c r="E25" i="4"/>
  <c r="I25" i="4" s="1"/>
  <c r="K50" i="4" s="1"/>
  <c r="J23" i="4"/>
  <c r="E23" i="4"/>
  <c r="I23" i="4" s="1"/>
  <c r="I21" i="4"/>
  <c r="K46" i="4" s="1"/>
  <c r="E18" i="4"/>
  <c r="I18" i="4" s="1"/>
  <c r="K43" i="4" s="1"/>
  <c r="E17" i="4"/>
  <c r="I17" i="4" s="1"/>
  <c r="K42" i="4" s="1"/>
  <c r="E16" i="4"/>
  <c r="I16" i="4" s="1"/>
  <c r="K41" i="4" s="1"/>
  <c r="I15" i="4"/>
  <c r="K40" i="4" s="1"/>
  <c r="I13" i="4"/>
  <c r="I12" i="4"/>
  <c r="K37" i="4" s="1"/>
  <c r="I11" i="4"/>
  <c r="K36" i="4" s="1"/>
  <c r="I10" i="4"/>
  <c r="K35" i="4" s="1"/>
  <c r="AA26" i="4"/>
  <c r="CM147" i="3"/>
  <c r="BU147" i="3"/>
  <c r="DM144" i="3"/>
  <c r="DQ74" i="9" s="1"/>
  <c r="DK144" i="3"/>
  <c r="DO74" i="9" s="1"/>
  <c r="DI144" i="3"/>
  <c r="DM74" i="9" s="1"/>
  <c r="DG144" i="3"/>
  <c r="DK74" i="9" s="1"/>
  <c r="DE144" i="3"/>
  <c r="DI74" i="9" s="1"/>
  <c r="DC144" i="3"/>
  <c r="DG74" i="9" s="1"/>
  <c r="DA144" i="3"/>
  <c r="DE74" i="9" s="1"/>
  <c r="CY144" i="3"/>
  <c r="DC74" i="9" s="1"/>
  <c r="CW144" i="3"/>
  <c r="DA74" i="9" s="1"/>
  <c r="CU143" i="3"/>
  <c r="CU144" i="3" s="1"/>
  <c r="CY74" i="9" s="1"/>
  <c r="BU143" i="3"/>
  <c r="BQ143" i="3"/>
  <c r="AG143" i="3"/>
  <c r="CS141" i="3"/>
  <c r="CS144" i="3" s="1"/>
  <c r="CW74" i="9" s="1"/>
  <c r="CQ141" i="3"/>
  <c r="CO141" i="3"/>
  <c r="CO144" i="3" s="1"/>
  <c r="CM141" i="3"/>
  <c r="BU141" i="3"/>
  <c r="BQ141" i="3"/>
  <c r="AG141" i="3"/>
  <c r="DK136" i="3"/>
  <c r="DG136" i="3"/>
  <c r="CY136" i="3"/>
  <c r="CW136" i="3"/>
  <c r="CU136" i="3"/>
  <c r="CS136" i="3"/>
  <c r="CQ136" i="3"/>
  <c r="CO136" i="3"/>
  <c r="BQ136" i="3"/>
  <c r="CU133" i="3"/>
  <c r="CY73" i="9" s="1"/>
  <c r="BU133" i="3"/>
  <c r="BQ133" i="3"/>
  <c r="BU73" i="9" s="1"/>
  <c r="AG133" i="3"/>
  <c r="CU127" i="3"/>
  <c r="BU127" i="3"/>
  <c r="BQ127" i="3"/>
  <c r="AG127" i="3"/>
  <c r="DK105" i="3"/>
  <c r="DI105" i="3"/>
  <c r="DG105" i="3"/>
  <c r="DE105" i="3"/>
  <c r="DC105" i="3"/>
  <c r="DA105" i="3"/>
  <c r="CY105" i="3"/>
  <c r="CW105" i="3"/>
  <c r="CS105" i="3"/>
  <c r="CS127" i="3" s="1"/>
  <c r="CS23" i="2" s="1"/>
  <c r="CQ105" i="3"/>
  <c r="CQ143" i="3" s="1"/>
  <c r="CO105" i="3"/>
  <c r="CM105" i="3"/>
  <c r="CM143" i="3" s="1"/>
  <c r="DM101" i="3"/>
  <c r="DM127" i="3" s="1"/>
  <c r="DK101" i="3"/>
  <c r="DI101" i="3"/>
  <c r="DG101" i="3"/>
  <c r="DE101" i="3"/>
  <c r="DC101" i="3"/>
  <c r="DA101" i="3"/>
  <c r="CY101" i="3"/>
  <c r="CW101" i="3"/>
  <c r="CO101" i="3"/>
  <c r="CM101" i="3"/>
  <c r="CU68" i="3"/>
  <c r="CU21" i="2" s="1"/>
  <c r="BQ68" i="3"/>
  <c r="AG68" i="3"/>
  <c r="DC58" i="3"/>
  <c r="CQ53" i="3"/>
  <c r="DM51" i="3"/>
  <c r="DM68" i="3" s="1"/>
  <c r="DM21" i="2" s="1"/>
  <c r="DM41" i="2" s="1"/>
  <c r="DK51" i="3"/>
  <c r="DK68" i="3" s="1"/>
  <c r="DK21" i="2" s="1"/>
  <c r="DK41" i="2" s="1"/>
  <c r="DI51" i="3"/>
  <c r="DI68" i="3" s="1"/>
  <c r="DI21" i="2" s="1"/>
  <c r="DI41" i="2" s="1"/>
  <c r="DG51" i="3"/>
  <c r="DG68" i="3" s="1"/>
  <c r="DG21" i="2" s="1"/>
  <c r="DG41" i="2" s="1"/>
  <c r="DE51" i="3"/>
  <c r="DE68" i="3" s="1"/>
  <c r="DE21" i="2" s="1"/>
  <c r="DE41" i="2" s="1"/>
  <c r="DC51" i="3"/>
  <c r="DA51" i="3"/>
  <c r="DA68" i="3" s="1"/>
  <c r="DA21" i="2" s="1"/>
  <c r="DA41" i="2" s="1"/>
  <c r="CY51" i="3"/>
  <c r="CY68" i="3" s="1"/>
  <c r="CY21" i="2" s="1"/>
  <c r="CY41" i="2" s="1"/>
  <c r="CW51" i="3"/>
  <c r="CW68" i="3" s="1"/>
  <c r="CW21" i="2" s="1"/>
  <c r="CS51" i="3"/>
  <c r="CS68" i="3" s="1"/>
  <c r="CS21" i="2" s="1"/>
  <c r="CQ51" i="3"/>
  <c r="CO51" i="3"/>
  <c r="CO68" i="3" s="1"/>
  <c r="CO21" i="2" s="1"/>
  <c r="CM51" i="3"/>
  <c r="CM68" i="3" s="1"/>
  <c r="BU51" i="3"/>
  <c r="BU68" i="3" s="1"/>
  <c r="DG42" i="3"/>
  <c r="DG9" i="2" s="1"/>
  <c r="DG38" i="2" s="1"/>
  <c r="DE42" i="3"/>
  <c r="DE9" i="2" s="1"/>
  <c r="DE38" i="2" s="1"/>
  <c r="CW40" i="3"/>
  <c r="DM39" i="3"/>
  <c r="DK39" i="3"/>
  <c r="DI39" i="3"/>
  <c r="DG39" i="3"/>
  <c r="DE39" i="3"/>
  <c r="DC39" i="3"/>
  <c r="DA39" i="3"/>
  <c r="CY39" i="3"/>
  <c r="CU39" i="3"/>
  <c r="CU40" i="3" s="1"/>
  <c r="CS39" i="3"/>
  <c r="CQ39" i="3"/>
  <c r="CO39" i="3"/>
  <c r="CM39" i="3"/>
  <c r="CM38" i="3" s="1"/>
  <c r="BU39" i="3"/>
  <c r="BU38" i="3" s="1"/>
  <c r="BQ39" i="3"/>
  <c r="BQ38" i="3" s="1"/>
  <c r="BQ48" i="2" s="1"/>
  <c r="BO39" i="3"/>
  <c r="BG39" i="3"/>
  <c r="BE39" i="3"/>
  <c r="AG38" i="3"/>
  <c r="DM35" i="3"/>
  <c r="DM14" i="2" s="1"/>
  <c r="DM47" i="2" s="1"/>
  <c r="DK35" i="3"/>
  <c r="DK14" i="2" s="1"/>
  <c r="DI35" i="3"/>
  <c r="DI14" i="2" s="1"/>
  <c r="DG35" i="3"/>
  <c r="DG14" i="2" s="1"/>
  <c r="DE35" i="3"/>
  <c r="DE14" i="2" s="1"/>
  <c r="DC35" i="3"/>
  <c r="DC14" i="2" s="1"/>
  <c r="DA35" i="3"/>
  <c r="DA14" i="2" s="1"/>
  <c r="CY35" i="3"/>
  <c r="CY14" i="2" s="1"/>
  <c r="CW35" i="3"/>
  <c r="CW14" i="2" s="1"/>
  <c r="CU35" i="3"/>
  <c r="CU14" i="2" s="1"/>
  <c r="CS35" i="3"/>
  <c r="CS14" i="2" s="1"/>
  <c r="CQ35" i="3"/>
  <c r="CQ14" i="2" s="1"/>
  <c r="CO35" i="3"/>
  <c r="CO14" i="2" s="1"/>
  <c r="CM35" i="3"/>
  <c r="BU35" i="3"/>
  <c r="BQ35" i="3"/>
  <c r="BQ47" i="2" s="1"/>
  <c r="AG35" i="3"/>
  <c r="DM29" i="3"/>
  <c r="DM13" i="2" s="1"/>
  <c r="DK29" i="3"/>
  <c r="DK13" i="2" s="1"/>
  <c r="DI29" i="3"/>
  <c r="DI13" i="2" s="1"/>
  <c r="DG29" i="3"/>
  <c r="DG13" i="2" s="1"/>
  <c r="DE29" i="3"/>
  <c r="DE13" i="2" s="1"/>
  <c r="DA29" i="3"/>
  <c r="DA13" i="2" s="1"/>
  <c r="CY29" i="3"/>
  <c r="CY13" i="2" s="1"/>
  <c r="CQ29" i="3"/>
  <c r="CQ13" i="2" s="1"/>
  <c r="CM29" i="3"/>
  <c r="BQ29" i="3"/>
  <c r="AG29" i="3"/>
  <c r="DC21" i="3"/>
  <c r="DC29" i="3" s="1"/>
  <c r="DC13" i="2" s="1"/>
  <c r="CW21" i="3"/>
  <c r="CW29" i="3" s="1"/>
  <c r="CW13" i="2" s="1"/>
  <c r="CU21" i="3"/>
  <c r="CU29" i="3" s="1"/>
  <c r="CU13" i="2" s="1"/>
  <c r="CS21" i="3"/>
  <c r="CS29" i="3" s="1"/>
  <c r="CS13" i="2" s="1"/>
  <c r="CO21" i="3"/>
  <c r="CO29" i="3" s="1"/>
  <c r="CO13" i="2" s="1"/>
  <c r="DM13" i="3"/>
  <c r="DK13" i="3"/>
  <c r="DI13" i="3"/>
  <c r="DG13" i="3"/>
  <c r="DE13" i="3"/>
  <c r="DC13" i="3"/>
  <c r="DA13" i="3"/>
  <c r="CY13" i="3"/>
  <c r="CW13" i="3"/>
  <c r="CQ13" i="3"/>
  <c r="CO13" i="3"/>
  <c r="CM13" i="3"/>
  <c r="BU13" i="3"/>
  <c r="BQ13" i="3"/>
  <c r="AG13" i="3"/>
  <c r="CU12" i="3"/>
  <c r="CS12" i="3" s="1"/>
  <c r="CU11" i="3"/>
  <c r="CS11" i="3" s="1"/>
  <c r="DM6" i="3"/>
  <c r="DK6" i="3"/>
  <c r="DO36" i="9" s="1"/>
  <c r="DI6" i="3"/>
  <c r="DI8" i="3" s="1"/>
  <c r="DG6" i="3"/>
  <c r="DG8" i="3" s="1"/>
  <c r="DE6" i="3"/>
  <c r="DI36" i="9" s="1"/>
  <c r="DC6" i="3"/>
  <c r="DG36" i="9" s="1"/>
  <c r="DA6" i="3"/>
  <c r="DE36" i="9" s="1"/>
  <c r="CY6" i="3"/>
  <c r="DC36" i="9" s="1"/>
  <c r="CW6" i="3"/>
  <c r="G82" i="10" s="1"/>
  <c r="CW55" i="2" s="1"/>
  <c r="CU6" i="3"/>
  <c r="CY36" i="9" s="1"/>
  <c r="CS6" i="3"/>
  <c r="CW36" i="9" s="1"/>
  <c r="CQ6" i="3"/>
  <c r="G85" i="10" s="1"/>
  <c r="CQ55" i="2" s="1"/>
  <c r="CO6" i="3"/>
  <c r="CM6" i="3"/>
  <c r="BU6" i="3"/>
  <c r="G96" i="10" s="1"/>
  <c r="BQ6" i="3"/>
  <c r="AG6" i="3"/>
  <c r="AG8" i="3" s="1"/>
  <c r="D116" i="10" s="1"/>
  <c r="F116" i="10" s="1"/>
  <c r="DM55" i="2"/>
  <c r="DK55" i="2"/>
  <c r="DI55" i="2"/>
  <c r="DG55" i="2"/>
  <c r="DE55" i="2"/>
  <c r="DC55" i="2"/>
  <c r="DA55" i="2"/>
  <c r="CY55" i="2"/>
  <c r="DM42" i="2"/>
  <c r="DK42" i="2"/>
  <c r="DI42" i="2"/>
  <c r="DG42" i="2"/>
  <c r="DE42" i="2"/>
  <c r="DC42" i="2"/>
  <c r="DA42" i="2"/>
  <c r="DM37" i="2"/>
  <c r="DK37" i="2"/>
  <c r="DI37" i="2"/>
  <c r="DG37" i="2"/>
  <c r="DE37" i="2"/>
  <c r="DC37" i="2"/>
  <c r="DA37" i="2"/>
  <c r="CY37" i="2"/>
  <c r="DM30" i="2"/>
  <c r="DM25" i="2" s="1"/>
  <c r="DQ6" i="9" s="1"/>
  <c r="DQ11" i="9" s="1"/>
  <c r="DK30" i="2"/>
  <c r="DK25" i="2" s="1"/>
  <c r="DK147" i="3" s="1"/>
  <c r="DI30" i="2"/>
  <c r="DI25" i="2" s="1"/>
  <c r="DM6" i="9" s="1"/>
  <c r="DM11" i="9" s="1"/>
  <c r="DG30" i="2"/>
  <c r="DG25" i="2" s="1"/>
  <c r="DK6" i="9" s="1"/>
  <c r="DK11" i="9" s="1"/>
  <c r="DE30" i="2"/>
  <c r="DE25" i="2" s="1"/>
  <c r="DC30" i="2"/>
  <c r="DA30" i="2"/>
  <c r="DA25" i="2" s="1"/>
  <c r="DE109" i="9" s="1"/>
  <c r="CY30" i="2"/>
  <c r="CY25" i="2" s="1"/>
  <c r="CW30" i="2"/>
  <c r="CW25" i="2" s="1"/>
  <c r="CS30" i="2"/>
  <c r="CS25" i="2" s="1"/>
  <c r="CQ30" i="2"/>
  <c r="CO30" i="2"/>
  <c r="DC26" i="2"/>
  <c r="CU25" i="2"/>
  <c r="CY109" i="9" s="1"/>
  <c r="DM22" i="2"/>
  <c r="DK22" i="2"/>
  <c r="DI22" i="2"/>
  <c r="DG22" i="2"/>
  <c r="DE22" i="2"/>
  <c r="DC22" i="2"/>
  <c r="DA22" i="2"/>
  <c r="CY22" i="2"/>
  <c r="CW22" i="2"/>
  <c r="CU22" i="2"/>
  <c r="CM20" i="2"/>
  <c r="CO17" i="2"/>
  <c r="DM15" i="2"/>
  <c r="DM48" i="2" s="1"/>
  <c r="DK15" i="2"/>
  <c r="DI15" i="2"/>
  <c r="DG15" i="2"/>
  <c r="DE15" i="2"/>
  <c r="DC15" i="2"/>
  <c r="DA15" i="2"/>
  <c r="CY15" i="2"/>
  <c r="CW15" i="2"/>
  <c r="CU15" i="2"/>
  <c r="CS15" i="2"/>
  <c r="CQ15" i="2"/>
  <c r="CO15" i="2"/>
  <c r="DM9" i="2"/>
  <c r="DM38" i="2" s="1"/>
  <c r="DK9" i="2"/>
  <c r="DK38" i="2" s="1"/>
  <c r="DI9" i="2"/>
  <c r="DC9" i="2"/>
  <c r="DC38" i="2" s="1"/>
  <c r="DA9" i="2"/>
  <c r="DA38" i="2" s="1"/>
  <c r="CY9" i="2"/>
  <c r="CY38" i="2" s="1"/>
  <c r="CW9" i="2"/>
  <c r="CU9" i="2"/>
  <c r="CS9" i="2"/>
  <c r="CQ9" i="2"/>
  <c r="CO9" i="2"/>
  <c r="DE206" i="1"/>
  <c r="N198" i="1"/>
  <c r="M198" i="1"/>
  <c r="L198" i="1"/>
  <c r="K198" i="1"/>
  <c r="I198" i="1"/>
  <c r="H198" i="1"/>
  <c r="G198" i="1"/>
  <c r="CF191" i="1"/>
  <c r="CE191" i="1"/>
  <c r="CD191" i="1"/>
  <c r="CC191" i="1"/>
  <c r="CB191" i="1"/>
  <c r="CA191" i="1"/>
  <c r="BZ191" i="1"/>
  <c r="BY191" i="1"/>
  <c r="BX191" i="1"/>
  <c r="BW191" i="1"/>
  <c r="BV191" i="1"/>
  <c r="BT191" i="1"/>
  <c r="BS191" i="1"/>
  <c r="BR191" i="1"/>
  <c r="BP191" i="1"/>
  <c r="BO191" i="1"/>
  <c r="BN191" i="1"/>
  <c r="BM191" i="1"/>
  <c r="BL191" i="1"/>
  <c r="BK191" i="1"/>
  <c r="BJ191" i="1"/>
  <c r="BI191" i="1"/>
  <c r="BI192" i="1" s="1"/>
  <c r="AE191" i="1"/>
  <c r="AD191" i="1"/>
  <c r="AC191" i="1"/>
  <c r="AB191" i="1"/>
  <c r="Z191" i="1"/>
  <c r="Y191" i="1"/>
  <c r="X191" i="1"/>
  <c r="X192" i="1" s="1"/>
  <c r="W191" i="1"/>
  <c r="V191" i="1"/>
  <c r="U191" i="1"/>
  <c r="T191" i="1"/>
  <c r="R191" i="1"/>
  <c r="Q191" i="1"/>
  <c r="P191" i="1"/>
  <c r="O191" i="1"/>
  <c r="N191" i="1"/>
  <c r="H191" i="1"/>
  <c r="G191" i="1"/>
  <c r="E191" i="1"/>
  <c r="CG190" i="1"/>
  <c r="CG191" i="1" s="1"/>
  <c r="BQ190" i="1"/>
  <c r="BQ191" i="1" s="1"/>
  <c r="AA190" i="1"/>
  <c r="AA191" i="1" s="1"/>
  <c r="K190" i="1"/>
  <c r="CU185" i="1"/>
  <c r="CU184" i="1"/>
  <c r="CH184" i="1"/>
  <c r="BU184" i="1"/>
  <c r="S184" i="1"/>
  <c r="CU183" i="1"/>
  <c r="CH183" i="1"/>
  <c r="BU183" i="1"/>
  <c r="K183" i="1"/>
  <c r="J183" i="1"/>
  <c r="I183" i="1"/>
  <c r="F183" i="1"/>
  <c r="U180" i="1"/>
  <c r="V178" i="1"/>
  <c r="V180" i="1" s="1"/>
  <c r="S178" i="1"/>
  <c r="S180" i="1" s="1"/>
  <c r="R178" i="1"/>
  <c r="R180" i="1" s="1"/>
  <c r="Q178" i="1"/>
  <c r="Q180" i="1" s="1"/>
  <c r="P178" i="1"/>
  <c r="P180" i="1" s="1"/>
  <c r="O178" i="1"/>
  <c r="O180" i="1" s="1"/>
  <c r="N178" i="1"/>
  <c r="N180" i="1" s="1"/>
  <c r="N197" i="1" s="1"/>
  <c r="M178" i="1"/>
  <c r="M180" i="1" s="1"/>
  <c r="M197" i="1" s="1"/>
  <c r="L178" i="1"/>
  <c r="L180" i="1" s="1"/>
  <c r="L197" i="1" s="1"/>
  <c r="K178" i="1"/>
  <c r="K180" i="1" s="1"/>
  <c r="K197" i="1" s="1"/>
  <c r="J178" i="1"/>
  <c r="J180" i="1" s="1"/>
  <c r="J197" i="1" s="1"/>
  <c r="I178" i="1"/>
  <c r="I180" i="1" s="1"/>
  <c r="I197" i="1" s="1"/>
  <c r="H178" i="1"/>
  <c r="H180" i="1" s="1"/>
  <c r="H197" i="1" s="1"/>
  <c r="G178" i="1"/>
  <c r="G180" i="1" s="1"/>
  <c r="G197" i="1" s="1"/>
  <c r="F178" i="1"/>
  <c r="F180" i="1" s="1"/>
  <c r="E178" i="1"/>
  <c r="E180" i="1" s="1"/>
  <c r="D178" i="1"/>
  <c r="D180" i="1" s="1"/>
  <c r="C178" i="1"/>
  <c r="C180" i="1" s="1"/>
  <c r="B178" i="1"/>
  <c r="B180" i="1" s="1"/>
  <c r="DB173" i="1"/>
  <c r="DA173" i="1"/>
  <c r="CZ173" i="1"/>
  <c r="CY173" i="1"/>
  <c r="CX173" i="1"/>
  <c r="CW173" i="1"/>
  <c r="CV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CU170" i="1"/>
  <c r="CU169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CU165" i="1"/>
  <c r="CH165" i="1"/>
  <c r="BU165" i="1"/>
  <c r="CU164" i="1"/>
  <c r="CH164" i="1"/>
  <c r="BU164" i="1"/>
  <c r="CU163" i="1"/>
  <c r="CU162" i="1"/>
  <c r="CH162" i="1"/>
  <c r="BU162" i="1"/>
  <c r="DB161" i="1"/>
  <c r="DB166" i="1" s="1"/>
  <c r="DA161" i="1"/>
  <c r="DA166" i="1" s="1"/>
  <c r="CZ161" i="1"/>
  <c r="CZ166" i="1" s="1"/>
  <c r="CY161" i="1"/>
  <c r="CY166" i="1" s="1"/>
  <c r="CX161" i="1"/>
  <c r="CX166" i="1" s="1"/>
  <c r="CW161" i="1"/>
  <c r="CW166" i="1" s="1"/>
  <c r="CV161" i="1"/>
  <c r="CT161" i="1"/>
  <c r="CS161" i="1"/>
  <c r="CR161" i="1"/>
  <c r="CQ161" i="1"/>
  <c r="CP161" i="1"/>
  <c r="CO161" i="1"/>
  <c r="CO166" i="1" s="1"/>
  <c r="CN161" i="1"/>
  <c r="CM161" i="1"/>
  <c r="CL161" i="1"/>
  <c r="CK161" i="1"/>
  <c r="CJ161" i="1"/>
  <c r="CI161" i="1"/>
  <c r="CU160" i="1"/>
  <c r="CH160" i="1"/>
  <c r="BU160" i="1"/>
  <c r="CU159" i="1"/>
  <c r="CH159" i="1"/>
  <c r="BU159" i="1"/>
  <c r="CU158" i="1"/>
  <c r="CH158" i="1"/>
  <c r="BU158" i="1"/>
  <c r="P158" i="1"/>
  <c r="CU155" i="1"/>
  <c r="CH155" i="1"/>
  <c r="BU155" i="1"/>
  <c r="J155" i="1"/>
  <c r="J198" i="1" s="1"/>
  <c r="F155" i="1"/>
  <c r="E155" i="1"/>
  <c r="D155" i="1"/>
  <c r="C155" i="1"/>
  <c r="B155" i="1"/>
  <c r="DH154" i="1"/>
  <c r="CU154" i="1"/>
  <c r="CH154" i="1"/>
  <c r="BU154" i="1"/>
  <c r="DH153" i="1"/>
  <c r="CU153" i="1"/>
  <c r="CH153" i="1"/>
  <c r="BU153" i="1"/>
  <c r="DH152" i="1"/>
  <c r="CU152" i="1"/>
  <c r="CH152" i="1"/>
  <c r="BU152" i="1"/>
  <c r="DH151" i="1"/>
  <c r="CU151" i="1"/>
  <c r="CH151" i="1"/>
  <c r="BU151" i="1"/>
  <c r="CU139" i="1"/>
  <c r="CH139" i="1"/>
  <c r="BU139" i="1"/>
  <c r="CU135" i="1"/>
  <c r="CH135" i="1"/>
  <c r="CU133" i="1"/>
  <c r="CH133" i="1"/>
  <c r="CU131" i="1"/>
  <c r="CH131" i="1"/>
  <c r="BU131" i="1"/>
  <c r="CL129" i="1"/>
  <c r="CU129" i="1" s="1"/>
  <c r="CH129" i="1"/>
  <c r="BU129" i="1"/>
  <c r="DB126" i="1"/>
  <c r="DB142" i="1" s="1"/>
  <c r="DB144" i="1" s="1"/>
  <c r="DA126" i="1"/>
  <c r="DA142" i="1" s="1"/>
  <c r="DA144" i="1" s="1"/>
  <c r="CZ126" i="1"/>
  <c r="CZ142" i="1" s="1"/>
  <c r="CZ144" i="1" s="1"/>
  <c r="CY126" i="1"/>
  <c r="CY142" i="1" s="1"/>
  <c r="CY144" i="1" s="1"/>
  <c r="CX126" i="1"/>
  <c r="CX142" i="1" s="1"/>
  <c r="CX144" i="1" s="1"/>
  <c r="CW126" i="1"/>
  <c r="CW142" i="1" s="1"/>
  <c r="CW144" i="1" s="1"/>
  <c r="CV126" i="1"/>
  <c r="CV142" i="1" s="1"/>
  <c r="CT126" i="1"/>
  <c r="CT142" i="1" s="1"/>
  <c r="CT144" i="1" s="1"/>
  <c r="CS126" i="1"/>
  <c r="CS142" i="1" s="1"/>
  <c r="CS144" i="1" s="1"/>
  <c r="CR126" i="1"/>
  <c r="CR142" i="1" s="1"/>
  <c r="CR144" i="1" s="1"/>
  <c r="CQ126" i="1"/>
  <c r="CQ142" i="1" s="1"/>
  <c r="CQ144" i="1" s="1"/>
  <c r="CP126" i="1"/>
  <c r="CP142" i="1" s="1"/>
  <c r="CP144" i="1" s="1"/>
  <c r="CO126" i="1"/>
  <c r="CO142" i="1" s="1"/>
  <c r="CO144" i="1" s="1"/>
  <c r="CN126" i="1"/>
  <c r="CN142" i="1" s="1"/>
  <c r="CN144" i="1" s="1"/>
  <c r="CK126" i="1"/>
  <c r="CK142" i="1" s="1"/>
  <c r="CK144" i="1" s="1"/>
  <c r="CJ126" i="1"/>
  <c r="CJ142" i="1" s="1"/>
  <c r="CJ144" i="1" s="1"/>
  <c r="CI126" i="1"/>
  <c r="CI142" i="1" s="1"/>
  <c r="CI144" i="1" s="1"/>
  <c r="CG126" i="1"/>
  <c r="CG142" i="1" s="1"/>
  <c r="CG144" i="1" s="1"/>
  <c r="CF126" i="1"/>
  <c r="CF142" i="1" s="1"/>
  <c r="CF144" i="1" s="1"/>
  <c r="CE126" i="1"/>
  <c r="CE142" i="1" s="1"/>
  <c r="CE144" i="1" s="1"/>
  <c r="CD126" i="1"/>
  <c r="CD142" i="1" s="1"/>
  <c r="CD144" i="1" s="1"/>
  <c r="CC126" i="1"/>
  <c r="CC142" i="1" s="1"/>
  <c r="CC144" i="1" s="1"/>
  <c r="CB126" i="1"/>
  <c r="CB142" i="1" s="1"/>
  <c r="CB144" i="1" s="1"/>
  <c r="CA126" i="1"/>
  <c r="CA142" i="1" s="1"/>
  <c r="CA144" i="1" s="1"/>
  <c r="BZ126" i="1"/>
  <c r="BZ142" i="1" s="1"/>
  <c r="BZ144" i="1" s="1"/>
  <c r="BY126" i="1"/>
  <c r="BY142" i="1" s="1"/>
  <c r="BY144" i="1" s="1"/>
  <c r="BX126" i="1"/>
  <c r="BX142" i="1" s="1"/>
  <c r="BX144" i="1" s="1"/>
  <c r="BW126" i="1"/>
  <c r="BW142" i="1" s="1"/>
  <c r="BW144" i="1" s="1"/>
  <c r="BV126" i="1"/>
  <c r="BV142" i="1" s="1"/>
  <c r="BV144" i="1" s="1"/>
  <c r="BU126" i="1"/>
  <c r="BT126" i="1"/>
  <c r="BT142" i="1" s="1"/>
  <c r="BT144" i="1" s="1"/>
  <c r="BS126" i="1"/>
  <c r="BS142" i="1" s="1"/>
  <c r="BS144" i="1" s="1"/>
  <c r="BR126" i="1"/>
  <c r="BR142" i="1" s="1"/>
  <c r="BR144" i="1" s="1"/>
  <c r="BQ126" i="1"/>
  <c r="BQ142" i="1" s="1"/>
  <c r="BQ144" i="1" s="1"/>
  <c r="BP126" i="1"/>
  <c r="BP142" i="1" s="1"/>
  <c r="BP144" i="1" s="1"/>
  <c r="BO126" i="1"/>
  <c r="BO142" i="1" s="1"/>
  <c r="BO144" i="1" s="1"/>
  <c r="BN126" i="1"/>
  <c r="BN142" i="1" s="1"/>
  <c r="BN144" i="1" s="1"/>
  <c r="BM126" i="1"/>
  <c r="BM142" i="1" s="1"/>
  <c r="BM144" i="1" s="1"/>
  <c r="BL126" i="1"/>
  <c r="BL142" i="1" s="1"/>
  <c r="BL144" i="1" s="1"/>
  <c r="BK126" i="1"/>
  <c r="BK142" i="1" s="1"/>
  <c r="BK144" i="1" s="1"/>
  <c r="BJ126" i="1"/>
  <c r="BJ142" i="1" s="1"/>
  <c r="BJ144" i="1" s="1"/>
  <c r="BI126" i="1"/>
  <c r="BI142" i="1" s="1"/>
  <c r="BI144" i="1" s="1"/>
  <c r="BH126" i="1"/>
  <c r="BH142" i="1" s="1"/>
  <c r="BH144" i="1" s="1"/>
  <c r="BG126" i="1"/>
  <c r="BG142" i="1" s="1"/>
  <c r="BG144" i="1" s="1"/>
  <c r="BF126" i="1"/>
  <c r="BF142" i="1" s="1"/>
  <c r="BF144" i="1" s="1"/>
  <c r="BE126" i="1"/>
  <c r="BE142" i="1" s="1"/>
  <c r="BE144" i="1" s="1"/>
  <c r="BD126" i="1"/>
  <c r="BD142" i="1" s="1"/>
  <c r="BD144" i="1" s="1"/>
  <c r="BC126" i="1"/>
  <c r="BC142" i="1" s="1"/>
  <c r="BC144" i="1" s="1"/>
  <c r="BB126" i="1"/>
  <c r="BB142" i="1" s="1"/>
  <c r="BB144" i="1" s="1"/>
  <c r="BA126" i="1"/>
  <c r="BA142" i="1" s="1"/>
  <c r="BA144" i="1" s="1"/>
  <c r="AZ126" i="1"/>
  <c r="AZ142" i="1" s="1"/>
  <c r="AZ144" i="1" s="1"/>
  <c r="AY126" i="1"/>
  <c r="AY142" i="1" s="1"/>
  <c r="AY144" i="1" s="1"/>
  <c r="AX126" i="1"/>
  <c r="AX142" i="1" s="1"/>
  <c r="AX144" i="1" s="1"/>
  <c r="AW126" i="1"/>
  <c r="AW142" i="1" s="1"/>
  <c r="AW144" i="1" s="1"/>
  <c r="AV126" i="1"/>
  <c r="AV142" i="1" s="1"/>
  <c r="AV144" i="1" s="1"/>
  <c r="AU126" i="1"/>
  <c r="AU142" i="1" s="1"/>
  <c r="AU144" i="1" s="1"/>
  <c r="AT126" i="1"/>
  <c r="AT142" i="1" s="1"/>
  <c r="AT144" i="1" s="1"/>
  <c r="AS126" i="1"/>
  <c r="AS142" i="1" s="1"/>
  <c r="AS144" i="1" s="1"/>
  <c r="AR126" i="1"/>
  <c r="AR142" i="1" s="1"/>
  <c r="AR144" i="1" s="1"/>
  <c r="AQ126" i="1"/>
  <c r="AQ142" i="1" s="1"/>
  <c r="AQ144" i="1" s="1"/>
  <c r="AP126" i="1"/>
  <c r="AP142" i="1" s="1"/>
  <c r="AP144" i="1" s="1"/>
  <c r="AO126" i="1"/>
  <c r="AO142" i="1" s="1"/>
  <c r="AO144" i="1" s="1"/>
  <c r="AN126" i="1"/>
  <c r="AN142" i="1" s="1"/>
  <c r="AN144" i="1" s="1"/>
  <c r="AM126" i="1"/>
  <c r="AM142" i="1" s="1"/>
  <c r="AM144" i="1" s="1"/>
  <c r="AL126" i="1"/>
  <c r="AL142" i="1" s="1"/>
  <c r="AL144" i="1" s="1"/>
  <c r="AK126" i="1"/>
  <c r="AK142" i="1" s="1"/>
  <c r="AK144" i="1" s="1"/>
  <c r="AJ126" i="1"/>
  <c r="AJ142" i="1" s="1"/>
  <c r="AJ144" i="1" s="1"/>
  <c r="AI126" i="1"/>
  <c r="AI142" i="1" s="1"/>
  <c r="AI144" i="1" s="1"/>
  <c r="AH126" i="1"/>
  <c r="AH142" i="1" s="1"/>
  <c r="AH144" i="1" s="1"/>
  <c r="AG126" i="1"/>
  <c r="AG142" i="1" s="1"/>
  <c r="AG144" i="1" s="1"/>
  <c r="AF126" i="1"/>
  <c r="AF142" i="1" s="1"/>
  <c r="AF144" i="1" s="1"/>
  <c r="AE126" i="1"/>
  <c r="AE142" i="1" s="1"/>
  <c r="AD126" i="1"/>
  <c r="AD142" i="1" s="1"/>
  <c r="AC126" i="1"/>
  <c r="AC142" i="1" s="1"/>
  <c r="AB126" i="1"/>
  <c r="AB142" i="1" s="1"/>
  <c r="AA126" i="1"/>
  <c r="AA142" i="1" s="1"/>
  <c r="Z126" i="1"/>
  <c r="Z142" i="1" s="1"/>
  <c r="Y126" i="1"/>
  <c r="Y142" i="1" s="1"/>
  <c r="X126" i="1"/>
  <c r="X142" i="1" s="1"/>
  <c r="W126" i="1"/>
  <c r="W142" i="1" s="1"/>
  <c r="V126" i="1"/>
  <c r="V142" i="1" s="1"/>
  <c r="U126" i="1"/>
  <c r="U142" i="1" s="1"/>
  <c r="T126" i="1"/>
  <c r="T142" i="1" s="1"/>
  <c r="CU125" i="1"/>
  <c r="CH125" i="1"/>
  <c r="DH126" i="1"/>
  <c r="CM124" i="1"/>
  <c r="CM126" i="1" s="1"/>
  <c r="CM142" i="1" s="1"/>
  <c r="CM144" i="1" s="1"/>
  <c r="CL124" i="1"/>
  <c r="CH124" i="1"/>
  <c r="CU119" i="1"/>
  <c r="CH119" i="1"/>
  <c r="CV111" i="1"/>
  <c r="DH111" i="1" s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AE111" i="1"/>
  <c r="AD111" i="1"/>
  <c r="AC111" i="1"/>
  <c r="AB111" i="1"/>
  <c r="AA111" i="1"/>
  <c r="Z111" i="1"/>
  <c r="X111" i="1"/>
  <c r="W111" i="1"/>
  <c r="S111" i="1"/>
  <c r="R111" i="1"/>
  <c r="Q111" i="1"/>
  <c r="P111" i="1"/>
  <c r="O111" i="1"/>
  <c r="N111" i="1"/>
  <c r="M111" i="1"/>
  <c r="L111" i="1"/>
  <c r="K111" i="1"/>
  <c r="I111" i="1"/>
  <c r="H111" i="1"/>
  <c r="G111" i="1"/>
  <c r="F111" i="1"/>
  <c r="E111" i="1"/>
  <c r="D111" i="1"/>
  <c r="C111" i="1"/>
  <c r="B111" i="1"/>
  <c r="CU110" i="1"/>
  <c r="CH110" i="1"/>
  <c r="BU110" i="1"/>
  <c r="J110" i="1"/>
  <c r="J111" i="1" s="1"/>
  <c r="DB107" i="1"/>
  <c r="DA107" i="1"/>
  <c r="CZ107" i="1"/>
  <c r="CY107" i="1"/>
  <c r="CX107" i="1"/>
  <c r="CW107" i="1"/>
  <c r="CV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AE107" i="1"/>
  <c r="AD107" i="1"/>
  <c r="AC107" i="1"/>
  <c r="AB107" i="1"/>
  <c r="AA107" i="1"/>
  <c r="Z107" i="1"/>
  <c r="Y107" i="1"/>
  <c r="X107" i="1"/>
  <c r="W107" i="1"/>
  <c r="V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CU106" i="1"/>
  <c r="CH106" i="1"/>
  <c r="BU106" i="1"/>
  <c r="CU105" i="1"/>
  <c r="CH105" i="1"/>
  <c r="BU105" i="1"/>
  <c r="CU104" i="1"/>
  <c r="CH104" i="1"/>
  <c r="BU104" i="1"/>
  <c r="CU103" i="1"/>
  <c r="CH103" i="1"/>
  <c r="BU103" i="1"/>
  <c r="CU102" i="1"/>
  <c r="CH102" i="1"/>
  <c r="BU102" i="1"/>
  <c r="DB99" i="1"/>
  <c r="DA99" i="1"/>
  <c r="CZ99" i="1"/>
  <c r="CY99" i="1"/>
  <c r="CW99" i="1"/>
  <c r="CV99" i="1"/>
  <c r="CT99" i="1"/>
  <c r="CS99" i="1"/>
  <c r="CR99" i="1"/>
  <c r="CQ99" i="1"/>
  <c r="CO99" i="1"/>
  <c r="CN99" i="1"/>
  <c r="CM99" i="1"/>
  <c r="CL99" i="1"/>
  <c r="CK99" i="1"/>
  <c r="CJ99" i="1"/>
  <c r="CI99" i="1"/>
  <c r="CG99" i="1"/>
  <c r="CF99" i="1"/>
  <c r="CE99" i="1"/>
  <c r="CD99" i="1"/>
  <c r="CC99" i="1"/>
  <c r="CB99" i="1"/>
  <c r="BZ99" i="1"/>
  <c r="BY99" i="1"/>
  <c r="BX99" i="1"/>
  <c r="BS99" i="1"/>
  <c r="BR99" i="1"/>
  <c r="BQ99" i="1"/>
  <c r="AE99" i="1"/>
  <c r="AD99" i="1"/>
  <c r="AC99" i="1"/>
  <c r="AB99" i="1"/>
  <c r="AA99" i="1"/>
  <c r="Z99" i="1"/>
  <c r="Y99" i="1"/>
  <c r="X99" i="1"/>
  <c r="W99" i="1"/>
  <c r="V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CX98" i="1"/>
  <c r="DH98" i="1" s="1"/>
  <c r="CU98" i="1"/>
  <c r="BW98" i="1"/>
  <c r="BW99" i="1" s="1"/>
  <c r="BV98" i="1"/>
  <c r="BT98" i="1"/>
  <c r="BT99" i="1" s="1"/>
  <c r="BP98" i="1"/>
  <c r="BP99" i="1" s="1"/>
  <c r="BO98" i="1"/>
  <c r="BO99" i="1" s="1"/>
  <c r="BN98" i="1"/>
  <c r="BN99" i="1" s="1"/>
  <c r="BM98" i="1"/>
  <c r="BM99" i="1" s="1"/>
  <c r="BL98" i="1"/>
  <c r="BL99" i="1" s="1"/>
  <c r="BK98" i="1"/>
  <c r="BK99" i="1" s="1"/>
  <c r="BJ98" i="1"/>
  <c r="BJ99" i="1" s="1"/>
  <c r="BI98" i="1"/>
  <c r="CU97" i="1"/>
  <c r="CH97" i="1"/>
  <c r="BU97" i="1"/>
  <c r="CX96" i="1"/>
  <c r="DH96" i="1" s="1"/>
  <c r="CP96" i="1"/>
  <c r="CP99" i="1" s="1"/>
  <c r="CA96" i="1"/>
  <c r="CA99" i="1" s="1"/>
  <c r="BU96" i="1"/>
  <c r="CU95" i="1"/>
  <c r="CH95" i="1"/>
  <c r="BU95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CU90" i="1"/>
  <c r="CH90" i="1"/>
  <c r="BU90" i="1"/>
  <c r="DB88" i="1"/>
  <c r="DB92" i="1" s="1"/>
  <c r="DA88" i="1"/>
  <c r="DA92" i="1" s="1"/>
  <c r="CZ88" i="1"/>
  <c r="CZ92" i="1" s="1"/>
  <c r="CY88" i="1"/>
  <c r="CY92" i="1" s="1"/>
  <c r="CX88" i="1"/>
  <c r="CX92" i="1" s="1"/>
  <c r="CW88" i="1"/>
  <c r="CW92" i="1" s="1"/>
  <c r="CV88" i="1"/>
  <c r="CV92" i="1" s="1"/>
  <c r="CT88" i="1"/>
  <c r="CT92" i="1" s="1"/>
  <c r="CS88" i="1"/>
  <c r="CS92" i="1" s="1"/>
  <c r="CR88" i="1"/>
  <c r="CR92" i="1" s="1"/>
  <c r="CQ88" i="1"/>
  <c r="CQ92" i="1" s="1"/>
  <c r="CP88" i="1"/>
  <c r="CP92" i="1" s="1"/>
  <c r="CO88" i="1"/>
  <c r="CO92" i="1" s="1"/>
  <c r="CN88" i="1"/>
  <c r="CN92" i="1" s="1"/>
  <c r="CM88" i="1"/>
  <c r="CM92" i="1" s="1"/>
  <c r="CL88" i="1"/>
  <c r="CL92" i="1" s="1"/>
  <c r="CK88" i="1"/>
  <c r="CK92" i="1" s="1"/>
  <c r="CJ88" i="1"/>
  <c r="CJ92" i="1" s="1"/>
  <c r="CI88" i="1"/>
  <c r="CI92" i="1" s="1"/>
  <c r="CG88" i="1"/>
  <c r="CG92" i="1" s="1"/>
  <c r="CF88" i="1"/>
  <c r="CF92" i="1" s="1"/>
  <c r="CE88" i="1"/>
  <c r="CE92" i="1" s="1"/>
  <c r="CD88" i="1"/>
  <c r="CD92" i="1" s="1"/>
  <c r="CC88" i="1"/>
  <c r="CC92" i="1" s="1"/>
  <c r="CB88" i="1"/>
  <c r="CB92" i="1" s="1"/>
  <c r="CA88" i="1"/>
  <c r="CA92" i="1" s="1"/>
  <c r="BZ88" i="1"/>
  <c r="BZ92" i="1" s="1"/>
  <c r="BY88" i="1"/>
  <c r="BY92" i="1" s="1"/>
  <c r="BX88" i="1"/>
  <c r="BX92" i="1" s="1"/>
  <c r="BW88" i="1"/>
  <c r="BW92" i="1" s="1"/>
  <c r="BV88" i="1"/>
  <c r="BV92" i="1" s="1"/>
  <c r="BT88" i="1"/>
  <c r="BT92" i="1" s="1"/>
  <c r="BS88" i="1"/>
  <c r="BS92" i="1" s="1"/>
  <c r="BR88" i="1"/>
  <c r="BR92" i="1" s="1"/>
  <c r="BQ88" i="1"/>
  <c r="BQ92" i="1" s="1"/>
  <c r="BP88" i="1"/>
  <c r="BP92" i="1" s="1"/>
  <c r="BO88" i="1"/>
  <c r="BO92" i="1" s="1"/>
  <c r="BN88" i="1"/>
  <c r="BN92" i="1" s="1"/>
  <c r="BM88" i="1"/>
  <c r="BM92" i="1" s="1"/>
  <c r="BL88" i="1"/>
  <c r="BL92" i="1" s="1"/>
  <c r="BK88" i="1"/>
  <c r="BK92" i="1" s="1"/>
  <c r="BJ88" i="1"/>
  <c r="BJ92" i="1" s="1"/>
  <c r="BI88" i="1"/>
  <c r="BI92" i="1" s="1"/>
  <c r="BH88" i="1"/>
  <c r="BH92" i="1" s="1"/>
  <c r="BG88" i="1"/>
  <c r="BG92" i="1" s="1"/>
  <c r="BF88" i="1"/>
  <c r="BF92" i="1" s="1"/>
  <c r="BE88" i="1"/>
  <c r="BE92" i="1" s="1"/>
  <c r="BD88" i="1"/>
  <c r="BD92" i="1" s="1"/>
  <c r="BC88" i="1"/>
  <c r="BC92" i="1" s="1"/>
  <c r="BB88" i="1"/>
  <c r="BB92" i="1" s="1"/>
  <c r="BA88" i="1"/>
  <c r="BA92" i="1" s="1"/>
  <c r="AZ88" i="1"/>
  <c r="AZ92" i="1" s="1"/>
  <c r="AY88" i="1"/>
  <c r="AY92" i="1" s="1"/>
  <c r="AX88" i="1"/>
  <c r="AX92" i="1" s="1"/>
  <c r="AW88" i="1"/>
  <c r="AW92" i="1" s="1"/>
  <c r="AV88" i="1"/>
  <c r="AV92" i="1" s="1"/>
  <c r="AU88" i="1"/>
  <c r="AU92" i="1" s="1"/>
  <c r="AT88" i="1"/>
  <c r="AT92" i="1" s="1"/>
  <c r="AS88" i="1"/>
  <c r="AS92" i="1" s="1"/>
  <c r="AR88" i="1"/>
  <c r="AR92" i="1" s="1"/>
  <c r="AQ88" i="1"/>
  <c r="AQ92" i="1" s="1"/>
  <c r="AP88" i="1"/>
  <c r="AP92" i="1" s="1"/>
  <c r="AO88" i="1"/>
  <c r="AO92" i="1" s="1"/>
  <c r="AN88" i="1"/>
  <c r="AN92" i="1" s="1"/>
  <c r="AM88" i="1"/>
  <c r="AM92" i="1" s="1"/>
  <c r="AL88" i="1"/>
  <c r="AL92" i="1" s="1"/>
  <c r="AK88" i="1"/>
  <c r="AK92" i="1" s="1"/>
  <c r="AJ88" i="1"/>
  <c r="AJ92" i="1" s="1"/>
  <c r="AI88" i="1"/>
  <c r="AI92" i="1" s="1"/>
  <c r="AH88" i="1"/>
  <c r="AH92" i="1" s="1"/>
  <c r="AG88" i="1"/>
  <c r="AG92" i="1" s="1"/>
  <c r="AE88" i="1"/>
  <c r="AE92" i="1" s="1"/>
  <c r="AD88" i="1"/>
  <c r="AD92" i="1" s="1"/>
  <c r="AC88" i="1"/>
  <c r="AC92" i="1" s="1"/>
  <c r="AB88" i="1"/>
  <c r="AB92" i="1" s="1"/>
  <c r="AA88" i="1"/>
  <c r="AA92" i="1" s="1"/>
  <c r="Z88" i="1"/>
  <c r="Z92" i="1" s="1"/>
  <c r="Y88" i="1"/>
  <c r="Y92" i="1" s="1"/>
  <c r="X88" i="1"/>
  <c r="X92" i="1" s="1"/>
  <c r="W88" i="1"/>
  <c r="W92" i="1" s="1"/>
  <c r="U88" i="1"/>
  <c r="U92" i="1" s="1"/>
  <c r="T88" i="1"/>
  <c r="T92" i="1" s="1"/>
  <c r="CU87" i="1"/>
  <c r="CH87" i="1"/>
  <c r="BU87" i="1"/>
  <c r="CU86" i="1"/>
  <c r="CH86" i="1"/>
  <c r="BU86" i="1"/>
  <c r="V86" i="1"/>
  <c r="V88" i="1" s="1"/>
  <c r="V92" i="1" s="1"/>
  <c r="CU85" i="1"/>
  <c r="CH85" i="1"/>
  <c r="BU85" i="1"/>
  <c r="CU82" i="1"/>
  <c r="DB80" i="1"/>
  <c r="DA80" i="1"/>
  <c r="CZ80" i="1"/>
  <c r="CY80" i="1"/>
  <c r="CX80" i="1"/>
  <c r="CW80" i="1"/>
  <c r="CT80" i="1"/>
  <c r="CS80" i="1"/>
  <c r="CR80" i="1"/>
  <c r="CQ80" i="1"/>
  <c r="CP80" i="1"/>
  <c r="CO80" i="1"/>
  <c r="CN80" i="1"/>
  <c r="CL80" i="1"/>
  <c r="CK80" i="1"/>
  <c r="CJ80" i="1"/>
  <c r="CI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AE80" i="1"/>
  <c r="AD80" i="1"/>
  <c r="AC80" i="1"/>
  <c r="AB80" i="1"/>
  <c r="AA80" i="1"/>
  <c r="Z80" i="1"/>
  <c r="Y80" i="1"/>
  <c r="X80" i="1"/>
  <c r="W80" i="1"/>
  <c r="V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CU79" i="1"/>
  <c r="CV78" i="1"/>
  <c r="DH78" i="1" s="1"/>
  <c r="CU78" i="1"/>
  <c r="CH78" i="1"/>
  <c r="BU78" i="1"/>
  <c r="CU77" i="1"/>
  <c r="CH77" i="1"/>
  <c r="BU77" i="1"/>
  <c r="CU76" i="1"/>
  <c r="CH76" i="1"/>
  <c r="BU76" i="1"/>
  <c r="CU75" i="1"/>
  <c r="CH75" i="1"/>
  <c r="BU75" i="1"/>
  <c r="CM74" i="1"/>
  <c r="CM80" i="1" s="1"/>
  <c r="CH74" i="1"/>
  <c r="BU74" i="1"/>
  <c r="DB67" i="1"/>
  <c r="DA67" i="1"/>
  <c r="CZ67" i="1"/>
  <c r="CY67" i="1"/>
  <c r="CX67" i="1"/>
  <c r="CW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CU66" i="1"/>
  <c r="CH66" i="1"/>
  <c r="BU66" i="1"/>
  <c r="CU65" i="1"/>
  <c r="CH65" i="1"/>
  <c r="BU65" i="1"/>
  <c r="CU64" i="1"/>
  <c r="CH64" i="1"/>
  <c r="BU64" i="1"/>
  <c r="CU63" i="1"/>
  <c r="CH63" i="1"/>
  <c r="BU63" i="1"/>
  <c r="DB56" i="1"/>
  <c r="DA56" i="1"/>
  <c r="CZ56" i="1"/>
  <c r="CY56" i="1"/>
  <c r="CX56" i="1"/>
  <c r="CW56" i="1"/>
  <c r="CV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H58" i="1" s="1"/>
  <c r="BG56" i="1"/>
  <c r="BG58" i="1" s="1"/>
  <c r="BF56" i="1"/>
  <c r="BF58" i="1" s="1"/>
  <c r="BE56" i="1"/>
  <c r="BE58" i="1" s="1"/>
  <c r="BD56" i="1"/>
  <c r="BD58" i="1" s="1"/>
  <c r="BC56" i="1"/>
  <c r="BC58" i="1" s="1"/>
  <c r="BB56" i="1"/>
  <c r="BB58" i="1" s="1"/>
  <c r="BA56" i="1"/>
  <c r="BA58" i="1" s="1"/>
  <c r="AZ56" i="1"/>
  <c r="AZ58" i="1" s="1"/>
  <c r="AY56" i="1"/>
  <c r="AY58" i="1" s="1"/>
  <c r="AX56" i="1"/>
  <c r="AX58" i="1" s="1"/>
  <c r="AW56" i="1"/>
  <c r="AW58" i="1" s="1"/>
  <c r="AV56" i="1"/>
  <c r="AV58" i="1" s="1"/>
  <c r="AU56" i="1"/>
  <c r="AU58" i="1" s="1"/>
  <c r="AT56" i="1"/>
  <c r="AT58" i="1" s="1"/>
  <c r="AS56" i="1"/>
  <c r="AR56" i="1"/>
  <c r="AR58" i="1" s="1"/>
  <c r="AQ56" i="1"/>
  <c r="AQ58" i="1" s="1"/>
  <c r="AP56" i="1"/>
  <c r="AP58" i="1" s="1"/>
  <c r="AO56" i="1"/>
  <c r="AO58" i="1" s="1"/>
  <c r="AN56" i="1"/>
  <c r="AN58" i="1" s="1"/>
  <c r="AM56" i="1"/>
  <c r="AM58" i="1" s="1"/>
  <c r="AL56" i="1"/>
  <c r="AL58" i="1" s="1"/>
  <c r="AK56" i="1"/>
  <c r="AK58" i="1" s="1"/>
  <c r="AJ56" i="1"/>
  <c r="AJ58" i="1" s="1"/>
  <c r="AI56" i="1"/>
  <c r="AI58" i="1" s="1"/>
  <c r="AH56" i="1"/>
  <c r="AH58" i="1" s="1"/>
  <c r="AG56" i="1"/>
  <c r="AG58" i="1" s="1"/>
  <c r="AF56" i="1"/>
  <c r="AF58" i="1" s="1"/>
  <c r="AE56" i="1"/>
  <c r="AE147" i="1" s="1"/>
  <c r="AD56" i="1"/>
  <c r="AD147" i="1" s="1"/>
  <c r="AC56" i="1"/>
  <c r="AC147" i="1" s="1"/>
  <c r="AB56" i="1"/>
  <c r="AB147" i="1" s="1"/>
  <c r="AA56" i="1"/>
  <c r="AA147" i="1" s="1"/>
  <c r="Z56" i="1"/>
  <c r="Z147" i="1" s="1"/>
  <c r="Y56" i="1"/>
  <c r="Y147" i="1" s="1"/>
  <c r="X56" i="1"/>
  <c r="X147" i="1" s="1"/>
  <c r="W56" i="1"/>
  <c r="W147" i="1" s="1"/>
  <c r="V56" i="1"/>
  <c r="V147" i="1" s="1"/>
  <c r="U56" i="1"/>
  <c r="U147" i="1" s="1"/>
  <c r="T56" i="1"/>
  <c r="T147" i="1" s="1"/>
  <c r="CU55" i="1"/>
  <c r="CH55" i="1"/>
  <c r="CU53" i="1"/>
  <c r="CH53" i="1"/>
  <c r="DB48" i="1"/>
  <c r="DA48" i="1"/>
  <c r="CZ48" i="1"/>
  <c r="CY48" i="1"/>
  <c r="CX48" i="1"/>
  <c r="CW48" i="1"/>
  <c r="CV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AE48" i="1"/>
  <c r="AD48" i="1"/>
  <c r="AC48" i="1"/>
  <c r="AB48" i="1"/>
  <c r="AA48" i="1"/>
  <c r="Z48" i="1"/>
  <c r="Y48" i="1"/>
  <c r="X48" i="1"/>
  <c r="W48" i="1"/>
  <c r="V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CU47" i="1"/>
  <c r="CH47" i="1"/>
  <c r="BU47" i="1"/>
  <c r="CU46" i="1"/>
  <c r="CH46" i="1"/>
  <c r="BU46" i="1"/>
  <c r="CU43" i="1"/>
  <c r="CH43" i="1"/>
  <c r="BU43" i="1"/>
  <c r="DB37" i="1"/>
  <c r="DB39" i="1" s="1"/>
  <c r="DA37" i="1"/>
  <c r="CZ37" i="1"/>
  <c r="CY37" i="1"/>
  <c r="CX37" i="1"/>
  <c r="CX39" i="1" s="1"/>
  <c r="CW37" i="1"/>
  <c r="CW39" i="1" s="1"/>
  <c r="CV37" i="1"/>
  <c r="CT37" i="1"/>
  <c r="CT39" i="1" s="1"/>
  <c r="CS37" i="1"/>
  <c r="CR37" i="1"/>
  <c r="CR39" i="1" s="1"/>
  <c r="CQ37" i="1"/>
  <c r="CP37" i="1"/>
  <c r="CP39" i="1" s="1"/>
  <c r="CO37" i="1"/>
  <c r="CO39" i="1" s="1"/>
  <c r="CN37" i="1"/>
  <c r="CN39" i="1" s="1"/>
  <c r="CM37" i="1"/>
  <c r="CM39" i="1" s="1"/>
  <c r="CL37" i="1"/>
  <c r="CL39" i="1" s="1"/>
  <c r="CK37" i="1"/>
  <c r="CJ37" i="1"/>
  <c r="CI37" i="1"/>
  <c r="CG37" i="1"/>
  <c r="CG39" i="1" s="1"/>
  <c r="CF37" i="1"/>
  <c r="CF39" i="1" s="1"/>
  <c r="CE37" i="1"/>
  <c r="CE39" i="1" s="1"/>
  <c r="CD37" i="1"/>
  <c r="CD39" i="1" s="1"/>
  <c r="CC37" i="1"/>
  <c r="CB37" i="1"/>
  <c r="CA37" i="1"/>
  <c r="BZ37" i="1"/>
  <c r="BZ39" i="1" s="1"/>
  <c r="BY37" i="1"/>
  <c r="BY39" i="1" s="1"/>
  <c r="BX37" i="1"/>
  <c r="BW37" i="1"/>
  <c r="BW39" i="1" s="1"/>
  <c r="BV37" i="1"/>
  <c r="BT37" i="1"/>
  <c r="BT39" i="1" s="1"/>
  <c r="BS37" i="1"/>
  <c r="BS39" i="1" s="1"/>
  <c r="BR37" i="1"/>
  <c r="BR39" i="1" s="1"/>
  <c r="BQ37" i="1"/>
  <c r="BQ39" i="1" s="1"/>
  <c r="BP37" i="1"/>
  <c r="BP39" i="1" s="1"/>
  <c r="BO37" i="1"/>
  <c r="BO39" i="1" s="1"/>
  <c r="BN37" i="1"/>
  <c r="BN39" i="1" s="1"/>
  <c r="BM37" i="1"/>
  <c r="BM39" i="1" s="1"/>
  <c r="BL37" i="1"/>
  <c r="BK37" i="1"/>
  <c r="BK39" i="1" s="1"/>
  <c r="BJ37" i="1"/>
  <c r="BJ39" i="1" s="1"/>
  <c r="BI37" i="1"/>
  <c r="BI39" i="1" s="1"/>
  <c r="AE37" i="1"/>
  <c r="AE39" i="1" s="1"/>
  <c r="AD37" i="1"/>
  <c r="AD39" i="1" s="1"/>
  <c r="AC37" i="1"/>
  <c r="AC39" i="1" s="1"/>
  <c r="AB37" i="1"/>
  <c r="AB39" i="1" s="1"/>
  <c r="AA37" i="1"/>
  <c r="AA39" i="1" s="1"/>
  <c r="Z37" i="1"/>
  <c r="Z39" i="1" s="1"/>
  <c r="Y37" i="1"/>
  <c r="Y39" i="1" s="1"/>
  <c r="X37" i="1"/>
  <c r="W37" i="1"/>
  <c r="W39" i="1" s="1"/>
  <c r="V37" i="1"/>
  <c r="V39" i="1" s="1"/>
  <c r="U37" i="1"/>
  <c r="U39" i="1" s="1"/>
  <c r="T37" i="1"/>
  <c r="T39" i="1" s="1"/>
  <c r="S37" i="1"/>
  <c r="S39" i="1" s="1"/>
  <c r="R37" i="1"/>
  <c r="R39" i="1" s="1"/>
  <c r="Q37" i="1"/>
  <c r="Q39" i="1" s="1"/>
  <c r="P37" i="1"/>
  <c r="P39" i="1" s="1"/>
  <c r="O37" i="1"/>
  <c r="N37" i="1"/>
  <c r="M37" i="1"/>
  <c r="L37" i="1"/>
  <c r="K37" i="1"/>
  <c r="K39" i="1" s="1"/>
  <c r="J37" i="1"/>
  <c r="I37" i="1"/>
  <c r="H37" i="1"/>
  <c r="H39" i="1" s="1"/>
  <c r="G37" i="1"/>
  <c r="G39" i="1" s="1"/>
  <c r="F37" i="1"/>
  <c r="E37" i="1"/>
  <c r="D37" i="1"/>
  <c r="C37" i="1"/>
  <c r="B37" i="1"/>
  <c r="DH36" i="1"/>
  <c r="CU36" i="1"/>
  <c r="CH36" i="1"/>
  <c r="BU36" i="1"/>
  <c r="CU35" i="1"/>
  <c r="CH35" i="1"/>
  <c r="BU35" i="1"/>
  <c r="CH34" i="1"/>
  <c r="CU34" i="1" s="1"/>
  <c r="BU34" i="1"/>
  <c r="DH33" i="1"/>
  <c r="CU33" i="1"/>
  <c r="CH33" i="1"/>
  <c r="BU33" i="1"/>
  <c r="CU27" i="1"/>
  <c r="BX27" i="1"/>
  <c r="CH27" i="1" s="1"/>
  <c r="BU27" i="1"/>
  <c r="X27" i="1"/>
  <c r="O27" i="1"/>
  <c r="N27" i="1"/>
  <c r="M27" i="1"/>
  <c r="L27" i="1"/>
  <c r="J27" i="1"/>
  <c r="I27" i="1"/>
  <c r="D27" i="1"/>
  <c r="C27" i="1"/>
  <c r="DH26" i="1"/>
  <c r="CU26" i="1"/>
  <c r="CH26" i="1"/>
  <c r="BU26" i="1"/>
  <c r="DH25" i="1"/>
  <c r="CU25" i="1"/>
  <c r="CH25" i="1"/>
  <c r="BU25" i="1"/>
  <c r="K25" i="1"/>
  <c r="F25" i="1"/>
  <c r="F27" i="1" s="1"/>
  <c r="E25" i="1"/>
  <c r="E27" i="1" s="1"/>
  <c r="B25" i="1"/>
  <c r="B27" i="1" s="1"/>
  <c r="DH24" i="1"/>
  <c r="CU24" i="1"/>
  <c r="CH24" i="1"/>
  <c r="BU24" i="1"/>
  <c r="DH23" i="1"/>
  <c r="CU23" i="1"/>
  <c r="CH23" i="1"/>
  <c r="BU23" i="1"/>
  <c r="CG18" i="1"/>
  <c r="CF18" i="1"/>
  <c r="CE18" i="1"/>
  <c r="CD18" i="1"/>
  <c r="CC18" i="1"/>
  <c r="CB18" i="1"/>
  <c r="G92" i="10" s="1"/>
  <c r="CA18" i="1"/>
  <c r="G91" i="10" s="1"/>
  <c r="BZ18" i="1"/>
  <c r="BY18" i="1"/>
  <c r="BX18" i="1"/>
  <c r="BW18" i="1"/>
  <c r="BV18" i="1"/>
  <c r="BT18" i="1"/>
  <c r="BS18" i="1"/>
  <c r="BR18" i="1"/>
  <c r="BQ18" i="1"/>
  <c r="BP18" i="1"/>
  <c r="BO18" i="1"/>
  <c r="BM18" i="1"/>
  <c r="BL18" i="1"/>
  <c r="BK18" i="1"/>
  <c r="BJ18" i="1"/>
  <c r="BI18" i="1"/>
  <c r="AE18" i="1"/>
  <c r="AD18" i="1"/>
  <c r="AC18" i="1"/>
  <c r="AB18" i="1"/>
  <c r="AA18" i="1"/>
  <c r="Z18" i="1"/>
  <c r="Y18" i="1"/>
  <c r="X18" i="1"/>
  <c r="W18" i="1"/>
  <c r="V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CU16" i="1"/>
  <c r="CH16" i="1"/>
  <c r="CU14" i="1"/>
  <c r="CH14" i="1"/>
  <c r="CU13" i="1"/>
  <c r="DE18" i="1"/>
  <c r="DB18" i="1"/>
  <c r="DA18" i="1"/>
  <c r="CZ18" i="1"/>
  <c r="CY18" i="1"/>
  <c r="CX18" i="1"/>
  <c r="CW18" i="1"/>
  <c r="CV12" i="1"/>
  <c r="DH12" i="1" s="1"/>
  <c r="CT12" i="1"/>
  <c r="CT18" i="1" s="1"/>
  <c r="CS12" i="1"/>
  <c r="CS18" i="1" s="1"/>
  <c r="CR12" i="1"/>
  <c r="CR18" i="1" s="1"/>
  <c r="CQ12" i="1"/>
  <c r="CQ18" i="1" s="1"/>
  <c r="CP12" i="1"/>
  <c r="CP18" i="1" s="1"/>
  <c r="CO12" i="1"/>
  <c r="CO18" i="1" s="1"/>
  <c r="CN12" i="1"/>
  <c r="CN18" i="1" s="1"/>
  <c r="CM12" i="1"/>
  <c r="CM18" i="1" s="1"/>
  <c r="CL12" i="1"/>
  <c r="CL18" i="1" s="1"/>
  <c r="CK12" i="1"/>
  <c r="CK18" i="1" s="1"/>
  <c r="CJ12" i="1"/>
  <c r="CJ18" i="1" s="1"/>
  <c r="CI12" i="1"/>
  <c r="CI18" i="1" s="1"/>
  <c r="CG12" i="1"/>
  <c r="CF12" i="1"/>
  <c r="CE12" i="1"/>
  <c r="CD12" i="1"/>
  <c r="CC12" i="1"/>
  <c r="CB12" i="1"/>
  <c r="CA12" i="1"/>
  <c r="BZ12" i="1"/>
  <c r="CU10" i="1"/>
  <c r="CH10" i="1"/>
  <c r="BN10" i="1"/>
  <c r="BN18" i="1" s="1"/>
  <c r="K48" i="4" l="1"/>
  <c r="K13" i="4"/>
  <c r="K15" i="4"/>
  <c r="K16" i="4"/>
  <c r="FQ16" i="4" s="1"/>
  <c r="K17" i="4"/>
  <c r="FQ17" i="4" s="1"/>
  <c r="K18" i="4"/>
  <c r="K10" i="4"/>
  <c r="K11" i="4"/>
  <c r="K12" i="4"/>
  <c r="K17" i="9"/>
  <c r="K21" i="4"/>
  <c r="FQ21" i="4" s="1"/>
  <c r="CO54" i="2"/>
  <c r="HO171" i="8"/>
  <c r="K23" i="4"/>
  <c r="I14" i="4"/>
  <c r="K39" i="4" s="1"/>
  <c r="AK186" i="1"/>
  <c r="AK206" i="1" s="1"/>
  <c r="BA186" i="1"/>
  <c r="BA206" i="1" s="1"/>
  <c r="Y213" i="9"/>
  <c r="Y215" i="9" s="1"/>
  <c r="CU54" i="2"/>
  <c r="DI111" i="1"/>
  <c r="CM133" i="3"/>
  <c r="CQ73" i="9" s="1"/>
  <c r="DC25" i="2"/>
  <c r="DG109" i="9" s="1"/>
  <c r="DH48" i="1"/>
  <c r="J39" i="1"/>
  <c r="J58" i="1" s="1"/>
  <c r="J60" i="1" s="1"/>
  <c r="W178" i="1"/>
  <c r="W180" i="1" s="1"/>
  <c r="AA213" i="9"/>
  <c r="AA215" i="9" s="1"/>
  <c r="DI133" i="3"/>
  <c r="DI146" i="3" s="1"/>
  <c r="DM75" i="9" s="1"/>
  <c r="DM83" i="9" s="1"/>
  <c r="BQ8" i="3"/>
  <c r="BQ15" i="3" s="1"/>
  <c r="BQ7" i="2" s="1"/>
  <c r="BU121" i="9" s="1"/>
  <c r="GQ171" i="8"/>
  <c r="AD156" i="8"/>
  <c r="V158" i="8"/>
  <c r="AX150" i="8"/>
  <c r="DG133" i="3"/>
  <c r="DK73" i="9" s="1"/>
  <c r="DH92" i="1"/>
  <c r="DH107" i="1"/>
  <c r="DH142" i="1"/>
  <c r="CV166" i="1"/>
  <c r="CV180" i="1" s="1"/>
  <c r="DH161" i="1"/>
  <c r="CV39" i="1"/>
  <c r="CV58" i="1" s="1"/>
  <c r="DH37" i="1"/>
  <c r="I39" i="1"/>
  <c r="I58" i="1" s="1"/>
  <c r="I60" i="1" s="1"/>
  <c r="AZ159" i="8"/>
  <c r="FO68" i="8"/>
  <c r="EW72" i="8"/>
  <c r="FL66" i="8"/>
  <c r="FO67" i="8"/>
  <c r="CV18" i="1"/>
  <c r="DH18" i="1" s="1"/>
  <c r="AN159" i="8"/>
  <c r="CG178" i="1"/>
  <c r="CG180" i="1" s="1"/>
  <c r="I113" i="1"/>
  <c r="AA58" i="1"/>
  <c r="AA60" i="1" s="1"/>
  <c r="BT58" i="1"/>
  <c r="BT60" i="1" s="1"/>
  <c r="AD150" i="8"/>
  <c r="BV56" i="8"/>
  <c r="BV61" i="8" s="1"/>
  <c r="FL65" i="8"/>
  <c r="P150" i="8"/>
  <c r="FO65" i="8"/>
  <c r="BH159" i="8"/>
  <c r="AG213" i="9"/>
  <c r="AG215" i="9" s="1"/>
  <c r="BZ159" i="8"/>
  <c r="BF147" i="8"/>
  <c r="BA27" i="8"/>
  <c r="W66" i="8"/>
  <c r="BA21" i="8"/>
  <c r="Z159" i="8"/>
  <c r="CA27" i="8"/>
  <c r="AP56" i="8"/>
  <c r="AP61" i="8" s="1"/>
  <c r="CW159" i="8"/>
  <c r="GM173" i="8"/>
  <c r="GM159" i="8"/>
  <c r="BN159" i="8"/>
  <c r="BB156" i="8"/>
  <c r="DE60" i="1"/>
  <c r="DA40" i="2"/>
  <c r="CW54" i="2"/>
  <c r="DI40" i="2"/>
  <c r="DM40" i="2"/>
  <c r="CW8" i="3"/>
  <c r="CW15" i="3" s="1"/>
  <c r="CW10" i="2" s="1"/>
  <c r="D82" i="10" s="1"/>
  <c r="F82" i="10" s="1"/>
  <c r="CM127" i="3"/>
  <c r="CO127" i="3"/>
  <c r="CO23" i="2" s="1"/>
  <c r="CO19" i="2" s="1"/>
  <c r="CS5" i="9" s="1"/>
  <c r="GA100" i="8"/>
  <c r="CX65" i="8"/>
  <c r="BG71" i="8"/>
  <c r="EN18" i="8"/>
  <c r="I34" i="8"/>
  <c r="DS69" i="8"/>
  <c r="FL69" i="8"/>
  <c r="FF72" i="8"/>
  <c r="AX153" i="8"/>
  <c r="AN156" i="8"/>
  <c r="FR67" i="8"/>
  <c r="ES159" i="8"/>
  <c r="BB153" i="8"/>
  <c r="R153" i="8"/>
  <c r="CG13" i="9"/>
  <c r="AV37" i="9"/>
  <c r="AW30" i="9"/>
  <c r="AV30" i="9" s="1"/>
  <c r="AX37" i="9"/>
  <c r="CO7" i="9"/>
  <c r="CW60" i="9"/>
  <c r="CW61" i="9" s="1"/>
  <c r="AV110" i="9"/>
  <c r="S58" i="1"/>
  <c r="S60" i="1" s="1"/>
  <c r="AI186" i="1"/>
  <c r="AI206" i="1" s="1"/>
  <c r="AY186" i="1"/>
  <c r="AY206" i="1" s="1"/>
  <c r="BO178" i="1"/>
  <c r="BO180" i="1" s="1"/>
  <c r="BU10" i="1"/>
  <c r="BU18" i="1" s="1"/>
  <c r="BQ178" i="1"/>
  <c r="BQ180" i="1" s="1"/>
  <c r="DH173" i="1"/>
  <c r="F39" i="1"/>
  <c r="F58" i="1" s="1"/>
  <c r="F60" i="1" s="1"/>
  <c r="CU74" i="1"/>
  <c r="AF86" i="1"/>
  <c r="AF88" i="1" s="1"/>
  <c r="AF92" i="1" s="1"/>
  <c r="AF113" i="1" s="1"/>
  <c r="AB58" i="1"/>
  <c r="AB60" i="1" s="1"/>
  <c r="CM58" i="1"/>
  <c r="CM60" i="1" s="1"/>
  <c r="B113" i="1"/>
  <c r="BU98" i="1"/>
  <c r="CC178" i="1"/>
  <c r="CC180" i="1" s="1"/>
  <c r="AG186" i="1"/>
  <c r="AG206" i="1" s="1"/>
  <c r="AW186" i="1"/>
  <c r="AW206" i="1" s="1"/>
  <c r="BM178" i="1"/>
  <c r="BM180" i="1" s="1"/>
  <c r="BZ58" i="1"/>
  <c r="BZ60" i="1" s="1"/>
  <c r="BQ58" i="1"/>
  <c r="BQ60" i="1" s="1"/>
  <c r="CT58" i="1"/>
  <c r="CT60" i="1" s="1"/>
  <c r="BK58" i="1"/>
  <c r="BK60" i="1" s="1"/>
  <c r="CB178" i="1"/>
  <c r="CB180" i="1" s="1"/>
  <c r="CW58" i="1"/>
  <c r="CW60" i="1" s="1"/>
  <c r="BU48" i="1"/>
  <c r="AV186" i="1"/>
  <c r="BL178" i="1"/>
  <c r="BL180" i="1" s="1"/>
  <c r="BO58" i="1"/>
  <c r="BO60" i="1" s="1"/>
  <c r="CE178" i="1"/>
  <c r="CE180" i="1" s="1"/>
  <c r="CU88" i="1"/>
  <c r="CU92" i="1" s="1"/>
  <c r="DA180" i="1"/>
  <c r="CH98" i="1"/>
  <c r="CL58" i="1"/>
  <c r="CL60" i="1" s="1"/>
  <c r="BW58" i="1"/>
  <c r="BW60" i="1" s="1"/>
  <c r="CN58" i="1"/>
  <c r="CN60" i="1" s="1"/>
  <c r="CU124" i="1"/>
  <c r="CU126" i="1" s="1"/>
  <c r="CU142" i="1" s="1"/>
  <c r="CU161" i="1"/>
  <c r="CU166" i="1" s="1"/>
  <c r="X178" i="1"/>
  <c r="X180" i="1" s="1"/>
  <c r="AN186" i="1"/>
  <c r="BD186" i="1"/>
  <c r="BD206" i="1" s="1"/>
  <c r="BT178" i="1"/>
  <c r="BT180" i="1" s="1"/>
  <c r="BJ192" i="1"/>
  <c r="BK192" i="1" s="1"/>
  <c r="BL192" i="1" s="1"/>
  <c r="BM192" i="1" s="1"/>
  <c r="BN192" i="1" s="1"/>
  <c r="BO192" i="1" s="1"/>
  <c r="BP192" i="1" s="1"/>
  <c r="BQ192" i="1" s="1"/>
  <c r="BR192" i="1" s="1"/>
  <c r="BS192" i="1" s="1"/>
  <c r="BT192" i="1" s="1"/>
  <c r="BV192" i="1" s="1"/>
  <c r="BW192" i="1" s="1"/>
  <c r="BX192" i="1" s="1"/>
  <c r="BY192" i="1" s="1"/>
  <c r="BZ192" i="1" s="1"/>
  <c r="CA192" i="1" s="1"/>
  <c r="CB192" i="1" s="1"/>
  <c r="CC192" i="1" s="1"/>
  <c r="CD192" i="1" s="1"/>
  <c r="CE192" i="1" s="1"/>
  <c r="CF192" i="1" s="1"/>
  <c r="CG192" i="1" s="1"/>
  <c r="CM147" i="1"/>
  <c r="EN21" i="8"/>
  <c r="EH29" i="8"/>
  <c r="EN27" i="8"/>
  <c r="K35" i="8"/>
  <c r="FP25" i="4"/>
  <c r="ED26" i="4"/>
  <c r="DP26" i="4"/>
  <c r="AT31" i="4"/>
  <c r="DA127" i="3"/>
  <c r="DA131" i="3" s="1"/>
  <c r="CW47" i="2"/>
  <c r="DE127" i="3"/>
  <c r="DE131" i="3" s="1"/>
  <c r="DE133" i="3"/>
  <c r="DI73" i="9" s="1"/>
  <c r="DK127" i="3"/>
  <c r="DK23" i="2" s="1"/>
  <c r="DK19" i="2" s="1"/>
  <c r="DO5" i="9" s="1"/>
  <c r="DK133" i="3"/>
  <c r="DK146" i="3" s="1"/>
  <c r="DO75" i="9" s="1"/>
  <c r="DO83" i="9" s="1"/>
  <c r="BQ144" i="3"/>
  <c r="BQ146" i="3" s="1"/>
  <c r="BU75" i="9" s="1"/>
  <c r="BU83" i="9" s="1"/>
  <c r="DA48" i="2"/>
  <c r="DM133" i="3"/>
  <c r="DM146" i="3" s="1"/>
  <c r="DQ75" i="9" s="1"/>
  <c r="DQ83" i="9" s="1"/>
  <c r="DQ99" i="9" s="1"/>
  <c r="DQ100" i="9" s="1"/>
  <c r="DC48" i="2"/>
  <c r="AG134" i="3"/>
  <c r="DE48" i="2"/>
  <c r="AW61" i="9"/>
  <c r="AV61" i="9" s="1"/>
  <c r="AW46" i="9"/>
  <c r="AW48" i="9" s="1"/>
  <c r="AX48" i="9" s="1"/>
  <c r="CS54" i="2"/>
  <c r="CU134" i="3"/>
  <c r="CD58" i="1"/>
  <c r="CD60" i="1" s="1"/>
  <c r="BS58" i="1"/>
  <c r="BS60" i="1" s="1"/>
  <c r="Q58" i="1"/>
  <c r="Q60" i="1" s="1"/>
  <c r="P113" i="1"/>
  <c r="AE213" i="9"/>
  <c r="AE215" i="9" s="1"/>
  <c r="CY180" i="1"/>
  <c r="DB180" i="1"/>
  <c r="AL186" i="1"/>
  <c r="BB186" i="1"/>
  <c r="AG120" i="9" s="1"/>
  <c r="AG122" i="9" s="1"/>
  <c r="BR178" i="1"/>
  <c r="BR180" i="1" s="1"/>
  <c r="CO178" i="1"/>
  <c r="CO180" i="1" s="1"/>
  <c r="Y178" i="1"/>
  <c r="Y180" i="1" s="1"/>
  <c r="AO186" i="1"/>
  <c r="AO206" i="1" s="1"/>
  <c r="BE186" i="1"/>
  <c r="BE206" i="1" s="1"/>
  <c r="BW178" i="1"/>
  <c r="BW180" i="1" s="1"/>
  <c r="AA178" i="1"/>
  <c r="AA180" i="1" s="1"/>
  <c r="AQ186" i="1"/>
  <c r="AQ206" i="1" s="1"/>
  <c r="BG186" i="1"/>
  <c r="BG206" i="1" s="1"/>
  <c r="AC178" i="1"/>
  <c r="AC180" i="1" s="1"/>
  <c r="AS186" i="1"/>
  <c r="AS206" i="1" s="1"/>
  <c r="BI178" i="1"/>
  <c r="BI180" i="1" s="1"/>
  <c r="BZ178" i="1"/>
  <c r="BZ180" i="1" s="1"/>
  <c r="AD178" i="1"/>
  <c r="AD180" i="1" s="1"/>
  <c r="AT186" i="1"/>
  <c r="BJ178" i="1"/>
  <c r="BJ180" i="1" s="1"/>
  <c r="CA178" i="1"/>
  <c r="CA180" i="1" s="1"/>
  <c r="C113" i="1"/>
  <c r="CM113" i="1"/>
  <c r="CM146" i="1" s="1"/>
  <c r="O113" i="1"/>
  <c r="Q113" i="1"/>
  <c r="R113" i="1"/>
  <c r="G113" i="1"/>
  <c r="H113" i="1"/>
  <c r="BP58" i="1"/>
  <c r="BP60" i="1" s="1"/>
  <c r="AD58" i="1"/>
  <c r="AD60" i="1" s="1"/>
  <c r="AE58" i="1"/>
  <c r="AE60" i="1" s="1"/>
  <c r="CP58" i="1"/>
  <c r="CP60" i="1" s="1"/>
  <c r="CK147" i="1"/>
  <c r="CF58" i="1"/>
  <c r="CF60" i="1" s="1"/>
  <c r="CX58" i="1"/>
  <c r="CX60" i="1" s="1"/>
  <c r="E39" i="1"/>
  <c r="E58" i="1" s="1"/>
  <c r="E60" i="1" s="1"/>
  <c r="AV24" i="9"/>
  <c r="AX24" i="9"/>
  <c r="CO110" i="9"/>
  <c r="AW84" i="9"/>
  <c r="AX7" i="9"/>
  <c r="AW13" i="9"/>
  <c r="GN67" i="8"/>
  <c r="AD56" i="8"/>
  <c r="AD61" i="8" s="1"/>
  <c r="GA33" i="8"/>
  <c r="DA65" i="8"/>
  <c r="GA29" i="8"/>
  <c r="EK65" i="8"/>
  <c r="GN73" i="8"/>
  <c r="CC18" i="8"/>
  <c r="CA34" i="8"/>
  <c r="BD156" i="8"/>
  <c r="GA18" i="8"/>
  <c r="R56" i="8"/>
  <c r="R61" i="8" s="1"/>
  <c r="AB153" i="8"/>
  <c r="AV158" i="8"/>
  <c r="GH24" i="8"/>
  <c r="FF71" i="8"/>
  <c r="EZ67" i="8"/>
  <c r="CC33" i="8"/>
  <c r="GA96" i="8"/>
  <c r="CA29" i="8"/>
  <c r="T158" i="8"/>
  <c r="DK47" i="2"/>
  <c r="BU8" i="3"/>
  <c r="D96" i="10" s="1"/>
  <c r="F96" i="10" s="1"/>
  <c r="BQ49" i="2"/>
  <c r="CO133" i="3"/>
  <c r="CS73" i="9" s="1"/>
  <c r="CS48" i="2"/>
  <c r="DC54" i="2"/>
  <c r="DE8" i="3"/>
  <c r="DE15" i="3" s="1"/>
  <c r="DE10" i="2" s="1"/>
  <c r="DE7" i="2" s="1"/>
  <c r="DI23" i="9" s="1"/>
  <c r="DI24" i="9" s="1"/>
  <c r="CQ47" i="2"/>
  <c r="CY133" i="3"/>
  <c r="DC73" i="9" s="1"/>
  <c r="CQ133" i="3"/>
  <c r="CU73" i="9" s="1"/>
  <c r="CO54" i="9"/>
  <c r="CO29" i="9" s="1"/>
  <c r="CO30" i="9" s="1"/>
  <c r="BU67" i="9"/>
  <c r="DC8" i="3"/>
  <c r="DC15" i="3" s="1"/>
  <c r="DC10" i="2" s="1"/>
  <c r="DC7" i="2" s="1"/>
  <c r="CW127" i="3"/>
  <c r="CW23" i="2" s="1"/>
  <c r="CW19" i="2" s="1"/>
  <c r="DE54" i="2"/>
  <c r="DK8" i="3"/>
  <c r="DK15" i="3" s="1"/>
  <c r="DK10" i="2" s="1"/>
  <c r="DK7" i="2" s="1"/>
  <c r="CS47" i="2"/>
  <c r="DA133" i="3"/>
  <c r="DA146" i="3" s="1"/>
  <c r="DE75" i="9" s="1"/>
  <c r="DE83" i="9" s="1"/>
  <c r="DG127" i="3"/>
  <c r="DG131" i="3" s="1"/>
  <c r="BU144" i="3"/>
  <c r="BY74" i="9" s="1"/>
  <c r="DK54" i="2"/>
  <c r="CS13" i="3"/>
  <c r="DI127" i="3"/>
  <c r="DI23" i="2" s="1"/>
  <c r="DI19" i="2" s="1"/>
  <c r="DI52" i="2" s="1"/>
  <c r="CY48" i="2"/>
  <c r="CU13" i="3"/>
  <c r="DC68" i="3"/>
  <c r="DC21" i="2" s="1"/>
  <c r="DC41" i="2" s="1"/>
  <c r="DC40" i="2" s="1"/>
  <c r="CQ144" i="3"/>
  <c r="CU74" i="9" s="1"/>
  <c r="AG144" i="3"/>
  <c r="CQ68" i="3"/>
  <c r="CQ21" i="2" s="1"/>
  <c r="CM37" i="9"/>
  <c r="CM41" i="9" s="1"/>
  <c r="CM42" i="9" s="1"/>
  <c r="DI48" i="2"/>
  <c r="CU23" i="2"/>
  <c r="CU19" i="2" s="1"/>
  <c r="CU52" i="2" s="1"/>
  <c r="DG15" i="3"/>
  <c r="DG10" i="2" s="1"/>
  <c r="DG7" i="2" s="1"/>
  <c r="CM144" i="3"/>
  <c r="CQ74" i="9" s="1"/>
  <c r="DI15" i="3"/>
  <c r="DI10" i="2" s="1"/>
  <c r="DI7" i="2" s="1"/>
  <c r="CQ127" i="3"/>
  <c r="CQ23" i="2" s="1"/>
  <c r="CW109" i="9"/>
  <c r="CW115" i="9" s="1"/>
  <c r="CW116" i="9" s="1"/>
  <c r="CS147" i="3"/>
  <c r="CU47" i="2"/>
  <c r="DA47" i="2"/>
  <c r="DC47" i="2"/>
  <c r="DO6" i="9"/>
  <c r="DO11" i="9" s="1"/>
  <c r="DO53" i="9" s="1"/>
  <c r="DG47" i="2"/>
  <c r="CU147" i="3"/>
  <c r="DK40" i="2"/>
  <c r="BY115" i="9"/>
  <c r="BY116" i="9" s="1"/>
  <c r="CG115" i="9"/>
  <c r="CG116" i="9" s="1"/>
  <c r="CG7" i="9"/>
  <c r="DG40" i="2"/>
  <c r="CM7" i="9"/>
  <c r="BR56" i="8"/>
  <c r="BR61" i="8" s="1"/>
  <c r="CD56" i="8"/>
  <c r="CD61" i="8" s="1"/>
  <c r="V56" i="8"/>
  <c r="V61" i="8" s="1"/>
  <c r="BJ56" i="8"/>
  <c r="BJ61" i="8" s="1"/>
  <c r="BB56" i="8"/>
  <c r="BB61" i="8" s="1"/>
  <c r="BW74" i="8"/>
  <c r="GA93" i="8"/>
  <c r="GA106" i="8"/>
  <c r="T153" i="8"/>
  <c r="AL158" i="8"/>
  <c r="IA159" i="8"/>
  <c r="CW32" i="8"/>
  <c r="BN56" i="8"/>
  <c r="BN61" i="8" s="1"/>
  <c r="GA97" i="8"/>
  <c r="GD106" i="8"/>
  <c r="BD147" i="8"/>
  <c r="BX159" i="8"/>
  <c r="DF159" i="8"/>
  <c r="BA69" i="8"/>
  <c r="GA90" i="8"/>
  <c r="GA94" i="8"/>
  <c r="GD90" i="8"/>
  <c r="GD94" i="8"/>
  <c r="GA98" i="8"/>
  <c r="DX159" i="8"/>
  <c r="FO29" i="8"/>
  <c r="Q32" i="8"/>
  <c r="U66" i="8"/>
  <c r="FO24" i="8"/>
  <c r="Z56" i="8"/>
  <c r="Z61" i="8" s="1"/>
  <c r="AX56" i="8"/>
  <c r="AX61" i="8" s="1"/>
  <c r="CH56" i="8"/>
  <c r="CH61" i="8" s="1"/>
  <c r="FU24" i="8"/>
  <c r="E33" i="8"/>
  <c r="W65" i="8"/>
  <c r="BE66" i="8"/>
  <c r="BG68" i="8"/>
  <c r="DP70" i="8"/>
  <c r="DP76" i="8"/>
  <c r="DP69" i="8"/>
  <c r="GA24" i="8"/>
  <c r="G33" i="8"/>
  <c r="G34" i="8"/>
  <c r="BG66" i="8"/>
  <c r="DS70" i="8"/>
  <c r="GN72" i="8"/>
  <c r="AR156" i="8"/>
  <c r="BJ159" i="8"/>
  <c r="GN76" i="8"/>
  <c r="GA91" i="8"/>
  <c r="GA95" i="8"/>
  <c r="GA99" i="8"/>
  <c r="GA104" i="8"/>
  <c r="AV156" i="8"/>
  <c r="BL159" i="8"/>
  <c r="FF73" i="8"/>
  <c r="AN153" i="8"/>
  <c r="T156" i="8"/>
  <c r="EJ126" i="8"/>
  <c r="EJ159" i="8" s="1"/>
  <c r="AD153" i="8"/>
  <c r="Y70" i="8"/>
  <c r="GN70" i="8"/>
  <c r="BF150" i="8"/>
  <c r="BF158" i="8"/>
  <c r="GH29" i="8"/>
  <c r="GH21" i="8"/>
  <c r="GH32" i="8"/>
  <c r="GH27" i="8"/>
  <c r="AE178" i="1"/>
  <c r="AE180" i="1" s="1"/>
  <c r="AR186" i="1"/>
  <c r="BU166" i="1"/>
  <c r="CN166" i="1"/>
  <c r="CN178" i="1" s="1"/>
  <c r="CN180" i="1" s="1"/>
  <c r="Y113" i="1"/>
  <c r="BZ113" i="1"/>
  <c r="BZ146" i="1" s="1"/>
  <c r="CO113" i="1"/>
  <c r="CO146" i="1" s="1"/>
  <c r="CP113" i="1"/>
  <c r="CP146" i="1" s="1"/>
  <c r="BJ113" i="1"/>
  <c r="CW113" i="1"/>
  <c r="CW146" i="1" s="1"/>
  <c r="Z113" i="1"/>
  <c r="BY113" i="1"/>
  <c r="BY146" i="1" s="1"/>
  <c r="BR58" i="1"/>
  <c r="BR60" i="1" s="1"/>
  <c r="CE58" i="1"/>
  <c r="CE60" i="1" s="1"/>
  <c r="CF147" i="1"/>
  <c r="T58" i="1"/>
  <c r="T60" i="1" s="1"/>
  <c r="U58" i="1"/>
  <c r="U60" i="1" s="1"/>
  <c r="U149" i="1" s="1"/>
  <c r="U186" i="1" s="1"/>
  <c r="U206" i="1" s="1"/>
  <c r="V58" i="1"/>
  <c r="V60" i="1" s="1"/>
  <c r="W58" i="1"/>
  <c r="W60" i="1" s="1"/>
  <c r="AZ147" i="1"/>
  <c r="BY147" i="1"/>
  <c r="Y58" i="1"/>
  <c r="Y60" i="1" s="1"/>
  <c r="BB147" i="1"/>
  <c r="CO58" i="1"/>
  <c r="CO60" i="1" s="1"/>
  <c r="DB58" i="1"/>
  <c r="DB60" i="1" s="1"/>
  <c r="K58" i="1"/>
  <c r="K60" i="1" s="1"/>
  <c r="M39" i="1"/>
  <c r="M58" i="1" s="1"/>
  <c r="M60" i="1" s="1"/>
  <c r="N39" i="1"/>
  <c r="N58" i="1" s="1"/>
  <c r="N60" i="1" s="1"/>
  <c r="O39" i="1"/>
  <c r="O58" i="1" s="1"/>
  <c r="O60" i="1" s="1"/>
  <c r="X39" i="1"/>
  <c r="X58" i="1" s="1"/>
  <c r="X60" i="1" s="1"/>
  <c r="B39" i="1"/>
  <c r="B58" i="1" s="1"/>
  <c r="B60" i="1" s="1"/>
  <c r="G58" i="1"/>
  <c r="G60" i="1" s="1"/>
  <c r="BU37" i="1"/>
  <c r="CH18" i="1"/>
  <c r="FF74" i="8"/>
  <c r="BU67" i="8"/>
  <c r="FF68" i="8"/>
  <c r="BA72" i="8"/>
  <c r="EB67" i="8"/>
  <c r="FL68" i="8"/>
  <c r="BU70" i="8"/>
  <c r="BU72" i="8"/>
  <c r="CX75" i="8"/>
  <c r="DP75" i="8"/>
  <c r="FF69" i="8"/>
  <c r="BA71" i="8"/>
  <c r="DD74" i="8"/>
  <c r="DP74" i="8"/>
  <c r="BO66" i="8"/>
  <c r="FL67" i="8"/>
  <c r="FR69" i="8"/>
  <c r="FL72" i="8"/>
  <c r="FN56" i="8"/>
  <c r="DM65" i="8"/>
  <c r="CI66" i="8"/>
  <c r="BU68" i="8"/>
  <c r="FL70" i="8"/>
  <c r="CN56" i="8"/>
  <c r="CN61" i="8" s="1"/>
  <c r="EE65" i="8"/>
  <c r="DM66" i="8"/>
  <c r="EB66" i="8"/>
  <c r="FU67" i="8"/>
  <c r="EN68" i="8"/>
  <c r="W70" i="8"/>
  <c r="EN65" i="8"/>
  <c r="EE66" i="8"/>
  <c r="FX67" i="8"/>
  <c r="DM73" i="8"/>
  <c r="DM76" i="8"/>
  <c r="FU66" i="8"/>
  <c r="GA65" i="8"/>
  <c r="FX66" i="8"/>
  <c r="IB67" i="8"/>
  <c r="GD68" i="8"/>
  <c r="BU71" i="8"/>
  <c r="GD65" i="8"/>
  <c r="BA70" i="8"/>
  <c r="AC68" i="8"/>
  <c r="BO67" i="8"/>
  <c r="FZ56" i="8"/>
  <c r="BW67" i="8"/>
  <c r="BU65" i="8"/>
  <c r="BA66" i="8"/>
  <c r="DY67" i="8"/>
  <c r="EE69" i="8"/>
  <c r="DM72" i="8"/>
  <c r="FU74" i="8"/>
  <c r="U65" i="8"/>
  <c r="FR65" i="8"/>
  <c r="BA68" i="8"/>
  <c r="U70" i="8"/>
  <c r="DM70" i="8"/>
  <c r="FL71" i="8"/>
  <c r="CX73" i="8"/>
  <c r="DD75" i="8"/>
  <c r="DM75" i="8"/>
  <c r="EJ56" i="8"/>
  <c r="EJ61" i="8" s="1"/>
  <c r="BA65" i="8"/>
  <c r="FF66" i="8"/>
  <c r="FF67" i="8"/>
  <c r="DG69" i="8"/>
  <c r="AC70" i="8"/>
  <c r="Q72" i="8"/>
  <c r="FL73" i="8"/>
  <c r="EH75" i="8"/>
  <c r="FC66" i="8"/>
  <c r="FC67" i="8"/>
  <c r="BO65" i="8"/>
  <c r="FI66" i="8"/>
  <c r="FI67" i="8"/>
  <c r="DM69" i="8"/>
  <c r="FF70" i="8"/>
  <c r="U72" i="8"/>
  <c r="FL75" i="8"/>
  <c r="FI70" i="8"/>
  <c r="AE72" i="8"/>
  <c r="DR56" i="8"/>
  <c r="AY66" i="8"/>
  <c r="DY69" i="8"/>
  <c r="EH72" i="8"/>
  <c r="DG74" i="8"/>
  <c r="FI69" i="8"/>
  <c r="FT56" i="8"/>
  <c r="DA70" i="8"/>
  <c r="FF65" i="8"/>
  <c r="DA66" i="8"/>
  <c r="BY67" i="8"/>
  <c r="FR68" i="8"/>
  <c r="FU69" i="8"/>
  <c r="DD70" i="8"/>
  <c r="CI71" i="8"/>
  <c r="DG66" i="8"/>
  <c r="DA67" i="8"/>
  <c r="FU68" i="8"/>
  <c r="DG70" i="8"/>
  <c r="EH71" i="8"/>
  <c r="GA66" i="8"/>
  <c r="EE67" i="8"/>
  <c r="BE69" i="8"/>
  <c r="GA69" i="8"/>
  <c r="BW70" i="8"/>
  <c r="GN74" i="8"/>
  <c r="EH76" i="8"/>
  <c r="GN65" i="8"/>
  <c r="EH67" i="8"/>
  <c r="CG68" i="8"/>
  <c r="BO69" i="8"/>
  <c r="GD69" i="8"/>
  <c r="FR70" i="8"/>
  <c r="FX71" i="8"/>
  <c r="Q74" i="8"/>
  <c r="FL76" i="8"/>
  <c r="DP65" i="8"/>
  <c r="DP66" i="8"/>
  <c r="GN66" i="8"/>
  <c r="EK67" i="8"/>
  <c r="Q68" i="8"/>
  <c r="DM68" i="8"/>
  <c r="BU69" i="8"/>
  <c r="FU70" i="8"/>
  <c r="FR72" i="8"/>
  <c r="U74" i="8"/>
  <c r="BU75" i="8"/>
  <c r="FR76" i="8"/>
  <c r="GG61" i="8"/>
  <c r="O65" i="8"/>
  <c r="DY65" i="8"/>
  <c r="O66" i="8"/>
  <c r="DS66" i="8"/>
  <c r="S68" i="8"/>
  <c r="EE68" i="8"/>
  <c r="CG69" i="8"/>
  <c r="GN69" i="8"/>
  <c r="CG70" i="8"/>
  <c r="GD70" i="8"/>
  <c r="GN71" i="8"/>
  <c r="GA72" i="8"/>
  <c r="CG75" i="8"/>
  <c r="FX76" i="8"/>
  <c r="S65" i="8"/>
  <c r="EB65" i="8"/>
  <c r="DY66" i="8"/>
  <c r="BE67" i="8"/>
  <c r="EK68" i="8"/>
  <c r="BU74" i="8"/>
  <c r="CU75" i="8"/>
  <c r="BK67" i="8"/>
  <c r="CG74" i="8"/>
  <c r="EK66" i="8"/>
  <c r="CG73" i="8"/>
  <c r="AS65" i="8"/>
  <c r="AK72" i="8"/>
  <c r="EB75" i="8"/>
  <c r="CG67" i="8"/>
  <c r="EK69" i="8"/>
  <c r="CG71" i="8"/>
  <c r="EK74" i="8"/>
  <c r="FH56" i="8"/>
  <c r="CG72" i="8"/>
  <c r="BW65" i="8"/>
  <c r="FU65" i="8"/>
  <c r="BY66" i="8"/>
  <c r="FO66" i="8"/>
  <c r="DM67" i="8"/>
  <c r="GA67" i="8"/>
  <c r="AW70" i="8"/>
  <c r="DM71" i="8"/>
  <c r="DG72" i="8"/>
  <c r="FR73" i="8"/>
  <c r="FL74" i="8"/>
  <c r="CG65" i="8"/>
  <c r="FX65" i="8"/>
  <c r="FR66" i="8"/>
  <c r="DV67" i="8"/>
  <c r="GD67" i="8"/>
  <c r="GN68" i="8"/>
  <c r="EK70" i="8"/>
  <c r="DS71" i="8"/>
  <c r="GA73" i="8"/>
  <c r="FR74" i="8"/>
  <c r="AC24" i="8"/>
  <c r="GD32" i="8"/>
  <c r="DS65" i="8"/>
  <c r="BK66" i="8"/>
  <c r="DP67" i="8"/>
  <c r="AU68" i="8"/>
  <c r="BG70" i="8"/>
  <c r="AS71" i="8"/>
  <c r="DP73" i="8"/>
  <c r="AW74" i="8"/>
  <c r="FO75" i="8"/>
  <c r="BF156" i="8"/>
  <c r="BA24" i="8"/>
  <c r="EN33" i="8"/>
  <c r="BG65" i="8"/>
  <c r="EH66" i="8"/>
  <c r="IB66" i="8"/>
  <c r="DS67" i="8"/>
  <c r="AW68" i="8"/>
  <c r="DP68" i="8"/>
  <c r="AW69" i="8"/>
  <c r="O70" i="8"/>
  <c r="BM70" i="8"/>
  <c r="AW71" i="8"/>
  <c r="EZ72" i="8"/>
  <c r="EH73" i="8"/>
  <c r="BG75" i="8"/>
  <c r="FR75" i="8"/>
  <c r="BP159" i="8"/>
  <c r="DC159" i="8"/>
  <c r="Q24" i="8"/>
  <c r="IB69" i="8"/>
  <c r="BU18" i="8"/>
  <c r="FO33" i="8"/>
  <c r="F56" i="8"/>
  <c r="F61" i="8" s="1"/>
  <c r="BK65" i="8"/>
  <c r="DS68" i="8"/>
  <c r="EH69" i="8"/>
  <c r="Q70" i="8"/>
  <c r="EH70" i="8"/>
  <c r="FC72" i="8"/>
  <c r="EZ73" i="8"/>
  <c r="GD98" i="8"/>
  <c r="DU159" i="8"/>
  <c r="BR159" i="8"/>
  <c r="FW56" i="8"/>
  <c r="BM65" i="8"/>
  <c r="CA66" i="8"/>
  <c r="EN66" i="8"/>
  <c r="AL153" i="8"/>
  <c r="Z156" i="8"/>
  <c r="P158" i="8"/>
  <c r="BB158" i="8"/>
  <c r="DI159" i="8"/>
  <c r="IA32" i="8"/>
  <c r="IA37" i="8" s="1"/>
  <c r="IB34" i="8" s="1"/>
  <c r="DX56" i="8"/>
  <c r="J56" i="8"/>
  <c r="J61" i="8" s="1"/>
  <c r="AT56" i="8"/>
  <c r="AT61" i="8" s="1"/>
  <c r="BZ56" i="8"/>
  <c r="BZ61" i="8" s="1"/>
  <c r="Q65" i="8"/>
  <c r="EH65" i="8"/>
  <c r="CE66" i="8"/>
  <c r="EZ66" i="8"/>
  <c r="BG67" i="8"/>
  <c r="EH68" i="8"/>
  <c r="BG69" i="8"/>
  <c r="EN69" i="8"/>
  <c r="EZ70" i="8"/>
  <c r="CI75" i="8"/>
  <c r="BB147" i="8"/>
  <c r="AV159" i="8"/>
  <c r="AB156" i="8"/>
  <c r="R158" i="8"/>
  <c r="BD158" i="8"/>
  <c r="BK69" i="8"/>
  <c r="Q27" i="8"/>
  <c r="AE70" i="8"/>
  <c r="CI70" i="8"/>
  <c r="EN76" i="8"/>
  <c r="FO18" i="8"/>
  <c r="BU21" i="8"/>
  <c r="EN24" i="8"/>
  <c r="AC27" i="8"/>
  <c r="EN29" i="8"/>
  <c r="Q34" i="8"/>
  <c r="CI65" i="8"/>
  <c r="Y66" i="8"/>
  <c r="DD66" i="8"/>
  <c r="EN67" i="8"/>
  <c r="O68" i="8"/>
  <c r="CE69" i="8"/>
  <c r="FO69" i="8"/>
  <c r="AG70" i="8"/>
  <c r="CO70" i="8"/>
  <c r="FO70" i="8"/>
  <c r="DP71" i="8"/>
  <c r="BG72" i="8"/>
  <c r="DG75" i="8"/>
  <c r="FF76" i="8"/>
  <c r="Q33" i="8"/>
  <c r="AL56" i="8"/>
  <c r="AL61" i="8" s="1"/>
  <c r="AE65" i="8"/>
  <c r="AE66" i="8"/>
  <c r="IB72" i="8"/>
  <c r="IB73" i="8"/>
  <c r="AG65" i="8"/>
  <c r="CO65" i="8"/>
  <c r="CI69" i="8"/>
  <c r="AK65" i="8"/>
  <c r="AK66" i="8"/>
  <c r="CI67" i="8"/>
  <c r="CO69" i="8"/>
  <c r="AQ70" i="8"/>
  <c r="EN71" i="8"/>
  <c r="CE68" i="8"/>
  <c r="BF153" i="8"/>
  <c r="AC33" i="8"/>
  <c r="FO27" i="8"/>
  <c r="AX156" i="8"/>
  <c r="GA21" i="8"/>
  <c r="GA27" i="8"/>
  <c r="AW65" i="8"/>
  <c r="DG65" i="8"/>
  <c r="DV66" i="8"/>
  <c r="DD67" i="8"/>
  <c r="AE68" i="8"/>
  <c r="AY70" i="8"/>
  <c r="DD73" i="8"/>
  <c r="Y74" i="8"/>
  <c r="EN75" i="8"/>
  <c r="GA92" i="8"/>
  <c r="GA102" i="8"/>
  <c r="V153" i="8"/>
  <c r="AZ156" i="8"/>
  <c r="AN158" i="8"/>
  <c r="GH33" i="8"/>
  <c r="GH35" i="8"/>
  <c r="GH18" i="8"/>
  <c r="GH34" i="8"/>
  <c r="FO21" i="8"/>
  <c r="IJ33" i="8"/>
  <c r="GD21" i="8"/>
  <c r="FO35" i="8"/>
  <c r="AY65" i="8"/>
  <c r="DG67" i="8"/>
  <c r="AK68" i="8"/>
  <c r="CI68" i="8"/>
  <c r="IB70" i="8"/>
  <c r="FR71" i="8"/>
  <c r="DS72" i="8"/>
  <c r="DG73" i="8"/>
  <c r="FF75" i="8"/>
  <c r="GD92" i="8"/>
  <c r="GD102" i="8"/>
  <c r="X153" i="8"/>
  <c r="P156" i="8"/>
  <c r="AP158" i="8"/>
  <c r="EY159" i="8"/>
  <c r="DG68" i="8"/>
  <c r="IB68" i="8"/>
  <c r="AK74" i="8"/>
  <c r="AF159" i="8"/>
  <c r="Z153" i="8"/>
  <c r="R156" i="8"/>
  <c r="AR158" i="8"/>
  <c r="J26" i="4"/>
  <c r="AE15" i="3"/>
  <c r="CH166" i="1"/>
  <c r="D39" i="1"/>
  <c r="D58" i="1" s="1"/>
  <c r="D60" i="1" s="1"/>
  <c r="AC58" i="1"/>
  <c r="AC60" i="1" s="1"/>
  <c r="BN58" i="1"/>
  <c r="BN60" i="1" s="1"/>
  <c r="BX39" i="1"/>
  <c r="BX58" i="1" s="1"/>
  <c r="BX60" i="1" s="1"/>
  <c r="CX99" i="1"/>
  <c r="DH99" i="1" s="1"/>
  <c r="CH126" i="1"/>
  <c r="CH142" i="1" s="1"/>
  <c r="CH144" i="1" s="1"/>
  <c r="AM186" i="1"/>
  <c r="AM206" i="1" s="1"/>
  <c r="AU186" i="1"/>
  <c r="AU206" i="1" s="1"/>
  <c r="BC186" i="1"/>
  <c r="BC206" i="1" s="1"/>
  <c r="BK178" i="1"/>
  <c r="BK180" i="1" s="1"/>
  <c r="BS178" i="1"/>
  <c r="BS180" i="1" s="1"/>
  <c r="AE113" i="1"/>
  <c r="CW180" i="1"/>
  <c r="BM58" i="1"/>
  <c r="BM60" i="1" s="1"/>
  <c r="P58" i="1"/>
  <c r="P60" i="1" s="1"/>
  <c r="CU96" i="1"/>
  <c r="BJ58" i="1"/>
  <c r="BJ60" i="1" s="1"/>
  <c r="CU48" i="1"/>
  <c r="CH56" i="1"/>
  <c r="AS147" i="1"/>
  <c r="BI58" i="1"/>
  <c r="BI60" i="1" s="1"/>
  <c r="BY58" i="1"/>
  <c r="BY60" i="1" s="1"/>
  <c r="CG58" i="1"/>
  <c r="CG60" i="1" s="1"/>
  <c r="K113" i="1"/>
  <c r="S113" i="1"/>
  <c r="BM113" i="1"/>
  <c r="CD113" i="1"/>
  <c r="CD146" i="1" s="1"/>
  <c r="CV80" i="1"/>
  <c r="DH80" i="1" s="1"/>
  <c r="CG113" i="1"/>
  <c r="CG146" i="1" s="1"/>
  <c r="CU99" i="1"/>
  <c r="W113" i="1"/>
  <c r="CU111" i="1"/>
  <c r="BV178" i="1"/>
  <c r="BV180" i="1" s="1"/>
  <c r="CD178" i="1"/>
  <c r="CD180" i="1" s="1"/>
  <c r="CU173" i="1"/>
  <c r="BR113" i="1"/>
  <c r="CX180" i="1"/>
  <c r="CH48" i="1"/>
  <c r="CH67" i="1"/>
  <c r="D113" i="1"/>
  <c r="L113" i="1"/>
  <c r="T113" i="1"/>
  <c r="BN113" i="1"/>
  <c r="CE113" i="1"/>
  <c r="CE146" i="1" s="1"/>
  <c r="CN113" i="1"/>
  <c r="CN146" i="1" s="1"/>
  <c r="X113" i="1"/>
  <c r="CS147" i="1"/>
  <c r="DB147" i="1"/>
  <c r="Z178" i="1"/>
  <c r="Z180" i="1" s="1"/>
  <c r="AH186" i="1"/>
  <c r="AH206" i="1" s="1"/>
  <c r="AP186" i="1"/>
  <c r="AX186" i="1"/>
  <c r="BF186" i="1"/>
  <c r="BF206" i="1" s="1"/>
  <c r="BN178" i="1"/>
  <c r="BN180" i="1" s="1"/>
  <c r="CH12" i="1"/>
  <c r="CU37" i="1"/>
  <c r="CR58" i="1"/>
  <c r="CR60" i="1" s="1"/>
  <c r="BX113" i="1"/>
  <c r="BX146" i="1" s="1"/>
  <c r="CF113" i="1"/>
  <c r="CF146" i="1" s="1"/>
  <c r="CU107" i="1"/>
  <c r="AG147" i="1"/>
  <c r="AO147" i="1"/>
  <c r="AW147" i="1"/>
  <c r="BE147" i="1"/>
  <c r="BM147" i="1"/>
  <c r="BU142" i="1"/>
  <c r="BU144" i="1" s="1"/>
  <c r="BU147" i="1" s="1"/>
  <c r="CC147" i="1"/>
  <c r="CL126" i="1"/>
  <c r="CL142" i="1" s="1"/>
  <c r="CL144" i="1" s="1"/>
  <c r="CL147" i="1" s="1"/>
  <c r="CT147" i="1"/>
  <c r="BX178" i="1"/>
  <c r="BX180" i="1" s="1"/>
  <c r="CF178" i="1"/>
  <c r="CF180" i="1" s="1"/>
  <c r="S183" i="1"/>
  <c r="BQ113" i="1"/>
  <c r="C39" i="1"/>
  <c r="C58" i="1" s="1"/>
  <c r="C60" i="1" s="1"/>
  <c r="CH37" i="1"/>
  <c r="H58" i="1"/>
  <c r="H60" i="1" s="1"/>
  <c r="DH67" i="1"/>
  <c r="DH88" i="1"/>
  <c r="CU56" i="1"/>
  <c r="L39" i="1"/>
  <c r="L58" i="1" s="1"/>
  <c r="L60" i="1" s="1"/>
  <c r="R58" i="1"/>
  <c r="R60" i="1" s="1"/>
  <c r="Z58" i="1"/>
  <c r="Z60" i="1" s="1"/>
  <c r="F113" i="1"/>
  <c r="N113" i="1"/>
  <c r="CH88" i="1"/>
  <c r="CH92" i="1" s="1"/>
  <c r="CH96" i="1"/>
  <c r="AH147" i="1"/>
  <c r="AX147" i="1"/>
  <c r="BF147" i="1"/>
  <c r="BN147" i="1"/>
  <c r="CD147" i="1"/>
  <c r="T178" i="1"/>
  <c r="T180" i="1" s="1"/>
  <c r="AB178" i="1"/>
  <c r="AB180" i="1" s="1"/>
  <c r="AJ186" i="1"/>
  <c r="AZ186" i="1"/>
  <c r="BH186" i="1"/>
  <c r="BH206" i="1" s="1"/>
  <c r="BP178" i="1"/>
  <c r="BP180" i="1" s="1"/>
  <c r="BY178" i="1"/>
  <c r="BY180" i="1" s="1"/>
  <c r="CU18" i="1"/>
  <c r="AP147" i="1"/>
  <c r="BW113" i="1"/>
  <c r="CU12" i="1"/>
  <c r="AJ147" i="1"/>
  <c r="BX147" i="1"/>
  <c r="G93" i="10"/>
  <c r="BV39" i="1"/>
  <c r="J113" i="1"/>
  <c r="BL113" i="1"/>
  <c r="BT113" i="1"/>
  <c r="CC113" i="1"/>
  <c r="CC146" i="1" s="1"/>
  <c r="CL113" i="1"/>
  <c r="CL146" i="1" s="1"/>
  <c r="CT113" i="1"/>
  <c r="CT146" i="1" s="1"/>
  <c r="DB113" i="1"/>
  <c r="DB146" i="1" s="1"/>
  <c r="BV99" i="1"/>
  <c r="CH99" i="1" s="1"/>
  <c r="AD113" i="1"/>
  <c r="AF147" i="1"/>
  <c r="AN147" i="1"/>
  <c r="AV147" i="1"/>
  <c r="BD147" i="1"/>
  <c r="BL147" i="1"/>
  <c r="BT147" i="1"/>
  <c r="CB147" i="1"/>
  <c r="DA147" i="1"/>
  <c r="BA147" i="1"/>
  <c r="CG147" i="1"/>
  <c r="CU80" i="1"/>
  <c r="BV147" i="1"/>
  <c r="BU111" i="1"/>
  <c r="BI147" i="1"/>
  <c r="E113" i="1"/>
  <c r="M113" i="1"/>
  <c r="BO113" i="1"/>
  <c r="CH107" i="1"/>
  <c r="AI147" i="1"/>
  <c r="AQ147" i="1"/>
  <c r="AY147" i="1"/>
  <c r="BG147" i="1"/>
  <c r="BO147" i="1"/>
  <c r="BW147" i="1"/>
  <c r="CE147" i="1"/>
  <c r="CN147" i="1"/>
  <c r="CV144" i="1"/>
  <c r="DH144" i="1" s="1"/>
  <c r="BJ147" i="1"/>
  <c r="CP147" i="1"/>
  <c r="BP147" i="1"/>
  <c r="BQ147" i="1"/>
  <c r="AR147" i="1"/>
  <c r="AK147" i="1"/>
  <c r="G90" i="10"/>
  <c r="CA39" i="1"/>
  <c r="CA58" i="1" s="1"/>
  <c r="CA60" i="1" s="1"/>
  <c r="CI39" i="1"/>
  <c r="CQ39" i="1"/>
  <c r="CQ58" i="1" s="1"/>
  <c r="CQ60" i="1" s="1"/>
  <c r="CY39" i="1"/>
  <c r="BU80" i="1"/>
  <c r="CI113" i="1"/>
  <c r="CI146" i="1" s="1"/>
  <c r="CQ113" i="1"/>
  <c r="CQ146" i="1" s="1"/>
  <c r="CY113" i="1"/>
  <c r="CY146" i="1" s="1"/>
  <c r="V113" i="1"/>
  <c r="AA113" i="1"/>
  <c r="AL147" i="1"/>
  <c r="BR147" i="1"/>
  <c r="CX147" i="1"/>
  <c r="CO147" i="1"/>
  <c r="AS58" i="1"/>
  <c r="BU88" i="1"/>
  <c r="BU92" i="1" s="1"/>
  <c r="AU213" i="9"/>
  <c r="AU215" i="9" s="1"/>
  <c r="CW147" i="1"/>
  <c r="BL39" i="1"/>
  <c r="BL58" i="1" s="1"/>
  <c r="BL60" i="1" s="1"/>
  <c r="CB39" i="1"/>
  <c r="CB58" i="1" s="1"/>
  <c r="CB60" i="1" s="1"/>
  <c r="CJ39" i="1"/>
  <c r="CJ58" i="1" s="1"/>
  <c r="CJ60" i="1" s="1"/>
  <c r="CZ39" i="1"/>
  <c r="CZ58" i="1" s="1"/>
  <c r="CZ60" i="1" s="1"/>
  <c r="BU67" i="1"/>
  <c r="CU67" i="1"/>
  <c r="CA113" i="1"/>
  <c r="CA146" i="1" s="1"/>
  <c r="CJ113" i="1"/>
  <c r="CJ146" i="1" s="1"/>
  <c r="CR113" i="1"/>
  <c r="CR146" i="1" s="1"/>
  <c r="CZ113" i="1"/>
  <c r="AB113" i="1"/>
  <c r="CH111" i="1"/>
  <c r="CI147" i="1"/>
  <c r="CQ147" i="1"/>
  <c r="CY147" i="1"/>
  <c r="BP113" i="1"/>
  <c r="BH147" i="1"/>
  <c r="CC39" i="1"/>
  <c r="CC58" i="1" s="1"/>
  <c r="CC60" i="1" s="1"/>
  <c r="CK39" i="1"/>
  <c r="CK58" i="1" s="1"/>
  <c r="CK60" i="1" s="1"/>
  <c r="CS39" i="1"/>
  <c r="CS58" i="1" s="1"/>
  <c r="CS60" i="1" s="1"/>
  <c r="DA39" i="1"/>
  <c r="DA58" i="1" s="1"/>
  <c r="DA60" i="1" s="1"/>
  <c r="BK113" i="1"/>
  <c r="BS113" i="1"/>
  <c r="CB113" i="1"/>
  <c r="CB146" i="1" s="1"/>
  <c r="CK113" i="1"/>
  <c r="CK146" i="1" s="1"/>
  <c r="CS113" i="1"/>
  <c r="CS146" i="1" s="1"/>
  <c r="DA113" i="1"/>
  <c r="DA146" i="1" s="1"/>
  <c r="BU107" i="1"/>
  <c r="AC113" i="1"/>
  <c r="AM147" i="1"/>
  <c r="AU147" i="1"/>
  <c r="BC147" i="1"/>
  <c r="BK147" i="1"/>
  <c r="BS147" i="1"/>
  <c r="CA147" i="1"/>
  <c r="CJ147" i="1"/>
  <c r="CR147" i="1"/>
  <c r="CZ147" i="1"/>
  <c r="AT147" i="1"/>
  <c r="BZ147" i="1"/>
  <c r="CH80" i="1"/>
  <c r="BI99" i="1"/>
  <c r="BU99" i="1" s="1"/>
  <c r="CZ180" i="1"/>
  <c r="CL166" i="1"/>
  <c r="CL178" i="1" s="1"/>
  <c r="CL180" i="1" s="1"/>
  <c r="CT166" i="1"/>
  <c r="CT178" i="1" s="1"/>
  <c r="CT180" i="1" s="1"/>
  <c r="CM166" i="1"/>
  <c r="CM178" i="1" s="1"/>
  <c r="CM180" i="1" s="1"/>
  <c r="CP166" i="1"/>
  <c r="CP178" i="1" s="1"/>
  <c r="CP180" i="1" s="1"/>
  <c r="CI166" i="1"/>
  <c r="CI178" i="1" s="1"/>
  <c r="CQ166" i="1"/>
  <c r="CQ178" i="1" s="1"/>
  <c r="CQ180" i="1" s="1"/>
  <c r="CJ166" i="1"/>
  <c r="CJ178" i="1" s="1"/>
  <c r="CJ180" i="1" s="1"/>
  <c r="CR166" i="1"/>
  <c r="CR178" i="1" s="1"/>
  <c r="CR180" i="1" s="1"/>
  <c r="CK166" i="1"/>
  <c r="CK178" i="1" s="1"/>
  <c r="CK180" i="1" s="1"/>
  <c r="CS166" i="1"/>
  <c r="CS178" i="1" s="1"/>
  <c r="CS180" i="1" s="1"/>
  <c r="AW55" i="9"/>
  <c r="AW76" i="9"/>
  <c r="AV116" i="9"/>
  <c r="AX116" i="9"/>
  <c r="CO99" i="9"/>
  <c r="CO100" i="9" s="1"/>
  <c r="CO84" i="9"/>
  <c r="CG37" i="9"/>
  <c r="CG41" i="9" s="1"/>
  <c r="CG42" i="9" s="1"/>
  <c r="CG30" i="9"/>
  <c r="CQ13" i="9"/>
  <c r="BU61" i="9"/>
  <c r="CM54" i="9"/>
  <c r="CM29" i="9" s="1"/>
  <c r="CM30" i="9" s="1"/>
  <c r="CQ65" i="9"/>
  <c r="AV18" i="9"/>
  <c r="AV42" i="9"/>
  <c r="CQ110" i="9"/>
  <c r="CQ7" i="9"/>
  <c r="BY7" i="9"/>
  <c r="FL35" i="8"/>
  <c r="FL21" i="8"/>
  <c r="FL29" i="8"/>
  <c r="FL27" i="8"/>
  <c r="FL33" i="8"/>
  <c r="FL34" i="8"/>
  <c r="FL24" i="8"/>
  <c r="FL18" i="8"/>
  <c r="BC71" i="8"/>
  <c r="BC67" i="8"/>
  <c r="BC66" i="8"/>
  <c r="BC65" i="8"/>
  <c r="BC74" i="8"/>
  <c r="BC72" i="8"/>
  <c r="BC69" i="8"/>
  <c r="DP34" i="8"/>
  <c r="DP29" i="8"/>
  <c r="DJ67" i="8"/>
  <c r="DJ66" i="8"/>
  <c r="DJ65" i="8"/>
  <c r="DJ68" i="8"/>
  <c r="DJ69" i="8"/>
  <c r="DS35" i="8"/>
  <c r="DS21" i="8"/>
  <c r="DS29" i="8"/>
  <c r="DS27" i="8"/>
  <c r="FU21" i="8"/>
  <c r="AG27" i="8"/>
  <c r="BJ37" i="8"/>
  <c r="BK35" i="8" s="1"/>
  <c r="EP61" i="8"/>
  <c r="W33" i="8"/>
  <c r="I35" i="8"/>
  <c r="H39" i="8"/>
  <c r="CE65" i="8"/>
  <c r="DV65" i="8"/>
  <c r="AC66" i="8"/>
  <c r="BU66" i="8"/>
  <c r="BQ67" i="8"/>
  <c r="Y68" i="8"/>
  <c r="DD68" i="8"/>
  <c r="FC68" i="8"/>
  <c r="DD69" i="8"/>
  <c r="FC69" i="8"/>
  <c r="BC70" i="8"/>
  <c r="FC71" i="8"/>
  <c r="EN72" i="8"/>
  <c r="EQ74" i="8"/>
  <c r="FC75" i="8"/>
  <c r="EZ76" i="8"/>
  <c r="GD93" i="8"/>
  <c r="GD97" i="8"/>
  <c r="GD101" i="8"/>
  <c r="GD105" i="8"/>
  <c r="AP159" i="8"/>
  <c r="AF153" i="8"/>
  <c r="X156" i="8"/>
  <c r="AZ158" i="8"/>
  <c r="BB126" i="8"/>
  <c r="BB159" i="8" s="1"/>
  <c r="CN159" i="8"/>
  <c r="CA18" i="8"/>
  <c r="CA24" i="8"/>
  <c r="AS27" i="8"/>
  <c r="Y33" i="8"/>
  <c r="E34" i="8"/>
  <c r="L39" i="8"/>
  <c r="AU65" i="8"/>
  <c r="BW66" i="8"/>
  <c r="BS67" i="8"/>
  <c r="AA68" i="8"/>
  <c r="EQ72" i="8"/>
  <c r="CR73" i="8"/>
  <c r="FX73" i="8"/>
  <c r="EZ74" i="8"/>
  <c r="CR75" i="8"/>
  <c r="AR159" i="8"/>
  <c r="CQ159" i="8"/>
  <c r="CL65" i="8"/>
  <c r="AR153" i="8"/>
  <c r="GG172" i="8"/>
  <c r="GG159" i="8"/>
  <c r="V39" i="8"/>
  <c r="AP153" i="8"/>
  <c r="BP37" i="8"/>
  <c r="BQ20" i="8" s="1"/>
  <c r="EZ32" i="8"/>
  <c r="CA74" i="8"/>
  <c r="AF156" i="8"/>
  <c r="Y21" i="8"/>
  <c r="DM27" i="8"/>
  <c r="BR37" i="8"/>
  <c r="BS27" i="8" s="1"/>
  <c r="S34" i="8"/>
  <c r="AG35" i="8"/>
  <c r="Z37" i="8"/>
  <c r="AA21" i="8" s="1"/>
  <c r="AQ66" i="8"/>
  <c r="AM68" i="8"/>
  <c r="CR71" i="8"/>
  <c r="CL72" i="8"/>
  <c r="FX75" i="8"/>
  <c r="BB150" i="8"/>
  <c r="AV153" i="8"/>
  <c r="AL156" i="8"/>
  <c r="X158" i="8"/>
  <c r="DR159" i="8"/>
  <c r="AF150" i="8"/>
  <c r="W21" i="8"/>
  <c r="Y35" i="8"/>
  <c r="DM18" i="8"/>
  <c r="IP18" i="8"/>
  <c r="CA21" i="8"/>
  <c r="DM24" i="8"/>
  <c r="DM29" i="8"/>
  <c r="DM33" i="8"/>
  <c r="W34" i="8"/>
  <c r="CA35" i="8"/>
  <c r="BL37" i="8"/>
  <c r="BM35" i="8" s="1"/>
  <c r="CR65" i="8"/>
  <c r="AU66" i="8"/>
  <c r="AQ68" i="8"/>
  <c r="BW68" i="8"/>
  <c r="DV68" i="8"/>
  <c r="FX68" i="8"/>
  <c r="EB70" i="8"/>
  <c r="FX70" i="8"/>
  <c r="CX71" i="8"/>
  <c r="CR72" i="8"/>
  <c r="CR74" i="8"/>
  <c r="FX74" i="8"/>
  <c r="GA75" i="8"/>
  <c r="R159" i="8"/>
  <c r="BD150" i="8"/>
  <c r="Z158" i="8"/>
  <c r="R39" i="8"/>
  <c r="BQ68" i="8"/>
  <c r="DC61" i="8"/>
  <c r="AM66" i="8"/>
  <c r="CT158" i="8"/>
  <c r="EH18" i="8"/>
  <c r="IE33" i="8"/>
  <c r="S24" i="8"/>
  <c r="EH24" i="8"/>
  <c r="DM32" i="8"/>
  <c r="IL32" i="8"/>
  <c r="Y34" i="8"/>
  <c r="DM35" i="8"/>
  <c r="BN37" i="8"/>
  <c r="BO32" i="8" s="1"/>
  <c r="Y65" i="8"/>
  <c r="CU65" i="8"/>
  <c r="EQ65" i="8"/>
  <c r="IB65" i="8"/>
  <c r="AW66" i="8"/>
  <c r="CO66" i="8"/>
  <c r="BY68" i="8"/>
  <c r="EB68" i="8"/>
  <c r="GA68" i="8"/>
  <c r="BW69" i="8"/>
  <c r="EB69" i="8"/>
  <c r="FX69" i="8"/>
  <c r="EE70" i="8"/>
  <c r="GA70" i="8"/>
  <c r="DD71" i="8"/>
  <c r="IB71" i="8"/>
  <c r="CX72" i="8"/>
  <c r="DV73" i="8"/>
  <c r="CX74" i="8"/>
  <c r="GA74" i="8"/>
  <c r="IB76" i="8"/>
  <c r="GA103" i="8"/>
  <c r="GA107" i="8"/>
  <c r="T159" i="8"/>
  <c r="AZ153" i="8"/>
  <c r="AP156" i="8"/>
  <c r="AB158" i="8"/>
  <c r="N159" i="8"/>
  <c r="BT159" i="8"/>
  <c r="EM159" i="8"/>
  <c r="DD72" i="8"/>
  <c r="FX72" i="8"/>
  <c r="EB73" i="8"/>
  <c r="DA74" i="8"/>
  <c r="DS75" i="8"/>
  <c r="IB75" i="8"/>
  <c r="GD91" i="8"/>
  <c r="GD95" i="8"/>
  <c r="GD99" i="8"/>
  <c r="GD103" i="8"/>
  <c r="GD107" i="8"/>
  <c r="V159" i="8"/>
  <c r="P153" i="8"/>
  <c r="AD158" i="8"/>
  <c r="P126" i="8"/>
  <c r="P159" i="8" s="1"/>
  <c r="DO159" i="8"/>
  <c r="BD153" i="8"/>
  <c r="FW159" i="8"/>
  <c r="AF158" i="8"/>
  <c r="FB171" i="8"/>
  <c r="CR66" i="8"/>
  <c r="CR67" i="8"/>
  <c r="DM34" i="8"/>
  <c r="CU66" i="8"/>
  <c r="II21" i="8"/>
  <c r="II33" i="8" s="1"/>
  <c r="S27" i="8"/>
  <c r="CA32" i="8"/>
  <c r="EZ33" i="8"/>
  <c r="GA35" i="8"/>
  <c r="AC65" i="8"/>
  <c r="EZ65" i="8"/>
  <c r="CX66" i="8"/>
  <c r="ET66" i="8"/>
  <c r="CX67" i="8"/>
  <c r="ET67" i="8"/>
  <c r="AY68" i="8"/>
  <c r="CR70" i="8"/>
  <c r="EN70" i="8"/>
  <c r="EN73" i="8"/>
  <c r="AA74" i="8"/>
  <c r="EE75" i="8"/>
  <c r="Z150" i="8"/>
  <c r="AD126" i="8"/>
  <c r="AD159" i="8" s="1"/>
  <c r="EZ27" i="8"/>
  <c r="Y24" i="8"/>
  <c r="FL32" i="8"/>
  <c r="BF56" i="8"/>
  <c r="BF61" i="8" s="1"/>
  <c r="AA65" i="8"/>
  <c r="EW65" i="8"/>
  <c r="EQ66" i="8"/>
  <c r="CU67" i="8"/>
  <c r="AS21" i="8"/>
  <c r="EH21" i="8"/>
  <c r="AG24" i="8"/>
  <c r="W27" i="8"/>
  <c r="FU27" i="8"/>
  <c r="EZ29" i="8"/>
  <c r="FO32" i="8"/>
  <c r="BQ65" i="8"/>
  <c r="FC65" i="8"/>
  <c r="EW66" i="8"/>
  <c r="EW67" i="8"/>
  <c r="AU70" i="8"/>
  <c r="CU70" i="8"/>
  <c r="EQ70" i="8"/>
  <c r="EB71" i="8"/>
  <c r="EQ73" i="8"/>
  <c r="AC74" i="8"/>
  <c r="GD108" i="8"/>
  <c r="CB159" i="8"/>
  <c r="ED159" i="8"/>
  <c r="S35" i="8"/>
  <c r="AG21" i="8"/>
  <c r="W24" i="8"/>
  <c r="ET65" i="8"/>
  <c r="EZ18" i="8"/>
  <c r="EZ24" i="8"/>
  <c r="AS24" i="8"/>
  <c r="Y27" i="8"/>
  <c r="S32" i="8"/>
  <c r="BS65" i="8"/>
  <c r="CR68" i="8"/>
  <c r="EQ68" i="8"/>
  <c r="EQ69" i="8"/>
  <c r="CX70" i="8"/>
  <c r="ET70" i="8"/>
  <c r="EW73" i="8"/>
  <c r="EB74" i="8"/>
  <c r="EB76" i="8"/>
  <c r="GD96" i="8"/>
  <c r="GD100" i="8"/>
  <c r="GD104" i="8"/>
  <c r="AJ159" i="8"/>
  <c r="CD159" i="8"/>
  <c r="GC159" i="8"/>
  <c r="EQ67" i="8"/>
  <c r="AW21" i="8"/>
  <c r="W32" i="8"/>
  <c r="EH32" i="8"/>
  <c r="FX33" i="8"/>
  <c r="AH56" i="8"/>
  <c r="AH61" i="8" s="1"/>
  <c r="CU68" i="8"/>
  <c r="ET68" i="8"/>
  <c r="AU69" i="8"/>
  <c r="CU69" i="8"/>
  <c r="EW70" i="8"/>
  <c r="DV72" i="8"/>
  <c r="BQ75" i="8"/>
  <c r="EQ75" i="8"/>
  <c r="CF159" i="8"/>
  <c r="GD18" i="8"/>
  <c r="FU29" i="8"/>
  <c r="Y32" i="8"/>
  <c r="S33" i="8"/>
  <c r="E35" i="8"/>
  <c r="AM65" i="8"/>
  <c r="CX68" i="8"/>
  <c r="EW68" i="8"/>
  <c r="EW69" i="8"/>
  <c r="EW71" i="8"/>
  <c r="BQ73" i="8"/>
  <c r="EW75" i="8"/>
  <c r="CH159" i="8"/>
  <c r="BH37" i="8"/>
  <c r="BI34" i="8" s="1"/>
  <c r="G35" i="8"/>
  <c r="W68" i="8"/>
  <c r="BK68" i="8"/>
  <c r="DA68" i="8"/>
  <c r="EZ68" i="8"/>
  <c r="AY69" i="8"/>
  <c r="DA69" i="8"/>
  <c r="EZ69" i="8"/>
  <c r="FC70" i="8"/>
  <c r="EZ71" i="8"/>
  <c r="AY74" i="8"/>
  <c r="EN74" i="8"/>
  <c r="EW76" i="8"/>
  <c r="GA101" i="8"/>
  <c r="GA105" i="8"/>
  <c r="AN150" i="8"/>
  <c r="V156" i="8"/>
  <c r="DL159" i="8"/>
  <c r="AX158" i="8"/>
  <c r="AX126" i="8"/>
  <c r="AX159" i="8" s="1"/>
  <c r="EP159" i="8"/>
  <c r="FH173" i="8"/>
  <c r="EP173" i="8"/>
  <c r="FB173" i="8"/>
  <c r="ES173" i="8"/>
  <c r="FE173" i="8"/>
  <c r="EV173" i="8"/>
  <c r="FK173" i="8"/>
  <c r="E83" i="10"/>
  <c r="FN173" i="8"/>
  <c r="DX173" i="8"/>
  <c r="EA173" i="8"/>
  <c r="ED173" i="8"/>
  <c r="EM173" i="8"/>
  <c r="DC37" i="9"/>
  <c r="DC41" i="9" s="1"/>
  <c r="DC42" i="9" s="1"/>
  <c r="DC54" i="9"/>
  <c r="DC29" i="9" s="1"/>
  <c r="DC30" i="9" s="1"/>
  <c r="FQ12" i="4"/>
  <c r="CQ48" i="2"/>
  <c r="CO48" i="2"/>
  <c r="DE37" i="9"/>
  <c r="DE41" i="9" s="1"/>
  <c r="DE42" i="9" s="1"/>
  <c r="DE54" i="9"/>
  <c r="DE29" i="9" s="1"/>
  <c r="DE30" i="9" s="1"/>
  <c r="DM23" i="2"/>
  <c r="DM19" i="2" s="1"/>
  <c r="CS19" i="2"/>
  <c r="DO54" i="9"/>
  <c r="DO37" i="9"/>
  <c r="DO41" i="9" s="1"/>
  <c r="DO42" i="9" s="1"/>
  <c r="CG99" i="9"/>
  <c r="CG100" i="9" s="1"/>
  <c r="CG84" i="9"/>
  <c r="DI37" i="9"/>
  <c r="DI41" i="9" s="1"/>
  <c r="DI42" i="9" s="1"/>
  <c r="DI54" i="9"/>
  <c r="DI29" i="9" s="1"/>
  <c r="DI30" i="9" s="1"/>
  <c r="FQ18" i="4"/>
  <c r="DM8" i="3"/>
  <c r="DM15" i="3" s="1"/>
  <c r="DM10" i="2" s="1"/>
  <c r="DM7" i="2" s="1"/>
  <c r="DQ12" i="9" s="1"/>
  <c r="DQ13" i="9" s="1"/>
  <c r="DM54" i="2"/>
  <c r="DQ36" i="9"/>
  <c r="CS74" i="9"/>
  <c r="CO47" i="2"/>
  <c r="DM131" i="3"/>
  <c r="CM8" i="3"/>
  <c r="G87" i="10"/>
  <c r="CQ36" i="9"/>
  <c r="CQ214" i="9"/>
  <c r="CO214" i="9"/>
  <c r="CM214" i="9"/>
  <c r="DG37" i="9"/>
  <c r="DG41" i="9" s="1"/>
  <c r="DG42" i="9" s="1"/>
  <c r="DG54" i="9"/>
  <c r="DG29" i="9" s="1"/>
  <c r="DG30" i="9" s="1"/>
  <c r="FQ23" i="4"/>
  <c r="CW54" i="9"/>
  <c r="CW29" i="9" s="1"/>
  <c r="CW30" i="9" s="1"/>
  <c r="CW37" i="9"/>
  <c r="CW41" i="9" s="1"/>
  <c r="CW42" i="9" s="1"/>
  <c r="CY37" i="9"/>
  <c r="CY41" i="9" s="1"/>
  <c r="CY42" i="9" s="1"/>
  <c r="CY54" i="9"/>
  <c r="CY29" i="9" s="1"/>
  <c r="CY30" i="9" s="1"/>
  <c r="K25" i="4"/>
  <c r="DC127" i="3"/>
  <c r="DC133" i="3"/>
  <c r="BQ134" i="3"/>
  <c r="G116" i="10"/>
  <c r="DK36" i="9"/>
  <c r="BU36" i="9"/>
  <c r="DM36" i="9"/>
  <c r="CM84" i="9"/>
  <c r="BY214" i="9"/>
  <c r="BU134" i="3"/>
  <c r="BY36" i="9"/>
  <c r="CY47" i="2"/>
  <c r="CO8" i="3"/>
  <c r="CY54" i="2"/>
  <c r="CQ8" i="3"/>
  <c r="DG146" i="3"/>
  <c r="DK75" i="9" s="1"/>
  <c r="DK83" i="9" s="1"/>
  <c r="CU48" i="2"/>
  <c r="DA54" i="2"/>
  <c r="CS8" i="3"/>
  <c r="CS133" i="3"/>
  <c r="CS134" i="3" s="1"/>
  <c r="DG48" i="2"/>
  <c r="CU8" i="3"/>
  <c r="AG15" i="3"/>
  <c r="G83" i="10"/>
  <c r="CU55" i="2" s="1"/>
  <c r="G86" i="10"/>
  <c r="CO55" i="2" s="1"/>
  <c r="BY73" i="9"/>
  <c r="CO37" i="9"/>
  <c r="CO41" i="9" s="1"/>
  <c r="CO42" i="9" s="1"/>
  <c r="EG171" i="8"/>
  <c r="DM49" i="2"/>
  <c r="DI54" i="2"/>
  <c r="DA8" i="3"/>
  <c r="DA15" i="3" s="1"/>
  <c r="DA10" i="2" s="1"/>
  <c r="DA7" i="2" s="1"/>
  <c r="DE12" i="9" s="1"/>
  <c r="CY127" i="3"/>
  <c r="CS214" i="9"/>
  <c r="BQ19" i="2"/>
  <c r="BU5" i="9" s="1"/>
  <c r="CW133" i="3"/>
  <c r="DE40" i="2"/>
  <c r="DG54" i="2"/>
  <c r="CY8" i="3"/>
  <c r="CY15" i="3" s="1"/>
  <c r="CY10" i="2" s="1"/>
  <c r="CY7" i="2" s="1"/>
  <c r="G84" i="10"/>
  <c r="CS55" i="2" s="1"/>
  <c r="G98" i="10"/>
  <c r="BQ55" i="2" s="1"/>
  <c r="CS36" i="9"/>
  <c r="CU214" i="9"/>
  <c r="F115" i="10"/>
  <c r="CU36" i="9"/>
  <c r="CW214" i="9"/>
  <c r="CY214" i="9"/>
  <c r="DA214" i="9"/>
  <c r="DA36" i="9"/>
  <c r="DC214" i="9"/>
  <c r="DE214" i="9"/>
  <c r="CU146" i="3"/>
  <c r="CY75" i="9" s="1"/>
  <c r="CY83" i="9" s="1"/>
  <c r="CQ54" i="2"/>
  <c r="DG214" i="9"/>
  <c r="FQ172" i="8"/>
  <c r="DI214" i="9"/>
  <c r="CQ76" i="9"/>
  <c r="CW147" i="3"/>
  <c r="DA109" i="9"/>
  <c r="DA6" i="9"/>
  <c r="DA11" i="9" s="1"/>
  <c r="CY115" i="9"/>
  <c r="CY116" i="9" s="1"/>
  <c r="CY110" i="9"/>
  <c r="CY147" i="3"/>
  <c r="DC109" i="9"/>
  <c r="DC6" i="9"/>
  <c r="DC11" i="9" s="1"/>
  <c r="AG33" i="2"/>
  <c r="DE115" i="9"/>
  <c r="DE116" i="9" s="1"/>
  <c r="DE110" i="9"/>
  <c r="DK53" i="9"/>
  <c r="DM53" i="9"/>
  <c r="DI109" i="9"/>
  <c r="DI6" i="9"/>
  <c r="DI11" i="9" s="1"/>
  <c r="DE147" i="3"/>
  <c r="CM13" i="9"/>
  <c r="CM53" i="9"/>
  <c r="CO13" i="9"/>
  <c r="CO53" i="9"/>
  <c r="DQ53" i="9"/>
  <c r="DA147" i="3"/>
  <c r="DI38" i="2"/>
  <c r="CW48" i="2"/>
  <c r="BY11" i="9"/>
  <c r="DG147" i="3"/>
  <c r="DI147" i="3"/>
  <c r="CW6" i="9"/>
  <c r="CW11" i="9" s="1"/>
  <c r="CG53" i="9"/>
  <c r="C15" i="13"/>
  <c r="CY6" i="9"/>
  <c r="CY11" i="9" s="1"/>
  <c r="DE47" i="2"/>
  <c r="AG147" i="3"/>
  <c r="AG149" i="3" s="1"/>
  <c r="DM147" i="3"/>
  <c r="DI47" i="2"/>
  <c r="DK48" i="2"/>
  <c r="DE6" i="9"/>
  <c r="DE11" i="9" s="1"/>
  <c r="CM110" i="9"/>
  <c r="GN29" i="8"/>
  <c r="GM56" i="8"/>
  <c r="GN24" i="8"/>
  <c r="GN33" i="8"/>
  <c r="GN21" i="8"/>
  <c r="GN27" i="8"/>
  <c r="AY33" i="8"/>
  <c r="AX39" i="8"/>
  <c r="AY24" i="8"/>
  <c r="AY21" i="8"/>
  <c r="AY27" i="8"/>
  <c r="AY35" i="8"/>
  <c r="AY34" i="8"/>
  <c r="FR34" i="8"/>
  <c r="FR27" i="8"/>
  <c r="FR33" i="8"/>
  <c r="FR35" i="8"/>
  <c r="FR29" i="8"/>
  <c r="FR32" i="8"/>
  <c r="FR18" i="8"/>
  <c r="FR21" i="8"/>
  <c r="FR24" i="8"/>
  <c r="BF39" i="8"/>
  <c r="BG35" i="8"/>
  <c r="BG34" i="8"/>
  <c r="BG21" i="8"/>
  <c r="BG18" i="8"/>
  <c r="BG32" i="8"/>
  <c r="BG27" i="8"/>
  <c r="BG24" i="8"/>
  <c r="BG33" i="8"/>
  <c r="BG23" i="8"/>
  <c r="AM35" i="8"/>
  <c r="AM34" i="8"/>
  <c r="AM21" i="8"/>
  <c r="AM32" i="8"/>
  <c r="AM27" i="8"/>
  <c r="AM33" i="8"/>
  <c r="AM24" i="8"/>
  <c r="AL39" i="8"/>
  <c r="FC18" i="8"/>
  <c r="FC24" i="8"/>
  <c r="FC35" i="8"/>
  <c r="FC21" i="8"/>
  <c r="FC33" i="8"/>
  <c r="FC27" i="8"/>
  <c r="FC34" i="8"/>
  <c r="FC29" i="8"/>
  <c r="FF35" i="8"/>
  <c r="FF24" i="8"/>
  <c r="FF32" i="8"/>
  <c r="FF21" i="8"/>
  <c r="FF33" i="8"/>
  <c r="FF27" i="8"/>
  <c r="FF34" i="8"/>
  <c r="FF18" i="8"/>
  <c r="FF29" i="8"/>
  <c r="AE24" i="8"/>
  <c r="FX27" i="8"/>
  <c r="AE32" i="8"/>
  <c r="BD37" i="8"/>
  <c r="BE32" i="8" s="1"/>
  <c r="CB39" i="8"/>
  <c r="CC34" i="8"/>
  <c r="CQ37" i="8"/>
  <c r="CR21" i="8" s="1"/>
  <c r="DI56" i="8"/>
  <c r="DI37" i="8"/>
  <c r="AE33" i="8"/>
  <c r="GD35" i="8"/>
  <c r="GD34" i="8"/>
  <c r="DU59" i="8"/>
  <c r="DR51" i="8"/>
  <c r="CC21" i="8"/>
  <c r="FX21" i="8"/>
  <c r="AE27" i="8"/>
  <c r="CC32" i="8"/>
  <c r="GN35" i="8"/>
  <c r="GN34" i="8"/>
  <c r="IM32" i="8"/>
  <c r="AG33" i="8"/>
  <c r="GD33" i="8"/>
  <c r="AS34" i="8"/>
  <c r="CC35" i="8"/>
  <c r="EH35" i="8"/>
  <c r="AH37" i="8"/>
  <c r="AI32" i="8" s="1"/>
  <c r="AR39" i="8"/>
  <c r="DI54" i="8"/>
  <c r="FH51" i="8"/>
  <c r="CC27" i="8"/>
  <c r="GD27" i="8"/>
  <c r="AG32" i="8"/>
  <c r="AS32" i="8"/>
  <c r="CT32" i="8"/>
  <c r="EZ35" i="8"/>
  <c r="EZ34" i="8"/>
  <c r="GN32" i="8"/>
  <c r="IN32" i="8"/>
  <c r="IN33" i="8" s="1"/>
  <c r="AW35" i="8"/>
  <c r="AJ37" i="8"/>
  <c r="BV37" i="8"/>
  <c r="DX37" i="8"/>
  <c r="AV39" i="8"/>
  <c r="DL48" i="8"/>
  <c r="IH24" i="8"/>
  <c r="N56" i="8"/>
  <c r="N61" i="8" s="1"/>
  <c r="DP33" i="8"/>
  <c r="EN35" i="8"/>
  <c r="CD37" i="8"/>
  <c r="CE24" i="8" s="1"/>
  <c r="EA37" i="8"/>
  <c r="EB32" i="8" s="1"/>
  <c r="AE21" i="8"/>
  <c r="FX24" i="8"/>
  <c r="DP27" i="8"/>
  <c r="IO29" i="8"/>
  <c r="BT39" i="8"/>
  <c r="BU34" i="8"/>
  <c r="DP32" i="8"/>
  <c r="DS33" i="8"/>
  <c r="IA56" i="8"/>
  <c r="AN37" i="8"/>
  <c r="AO32" i="8" s="1"/>
  <c r="CF37" i="8"/>
  <c r="CG32" i="8" s="1"/>
  <c r="EJ37" i="8"/>
  <c r="DR50" i="8"/>
  <c r="FB50" i="8"/>
  <c r="FX18" i="8"/>
  <c r="IO18" i="8"/>
  <c r="DP21" i="8"/>
  <c r="IP29" i="8"/>
  <c r="AW32" i="8"/>
  <c r="BU32" i="8"/>
  <c r="FC32" i="8"/>
  <c r="FU32" i="8"/>
  <c r="IQ32" i="8"/>
  <c r="J39" i="8"/>
  <c r="K34" i="8"/>
  <c r="AP37" i="8"/>
  <c r="CH37" i="8"/>
  <c r="EP37" i="8"/>
  <c r="DU50" i="8"/>
  <c r="FE50" i="8"/>
  <c r="FK50" i="8"/>
  <c r="IO21" i="8"/>
  <c r="IL24" i="8"/>
  <c r="CC29" i="8"/>
  <c r="IQ29" i="8"/>
  <c r="CZ56" i="8"/>
  <c r="CZ61" i="8" s="1"/>
  <c r="CZ37" i="8"/>
  <c r="DA32" i="8" s="1"/>
  <c r="DS32" i="8"/>
  <c r="ID32" i="8"/>
  <c r="CT56" i="8"/>
  <c r="CT61" i="8" s="1"/>
  <c r="ID33" i="8"/>
  <c r="M35" i="8"/>
  <c r="M34" i="8"/>
  <c r="AT37" i="8"/>
  <c r="CK37" i="8"/>
  <c r="CL32" i="8" s="1"/>
  <c r="FH50" i="8"/>
  <c r="IM24" i="8"/>
  <c r="FX29" i="8"/>
  <c r="AY32" i="8"/>
  <c r="DU32" i="8"/>
  <c r="IR32" i="8" s="1"/>
  <c r="IR33" i="8" s="1"/>
  <c r="EN32" i="8"/>
  <c r="FX32" i="8"/>
  <c r="T57" i="8"/>
  <c r="T37" i="8"/>
  <c r="U33" i="8" s="1"/>
  <c r="AS33" i="8"/>
  <c r="N37" i="8"/>
  <c r="O33" i="8" s="1"/>
  <c r="CN37" i="8"/>
  <c r="CO21" i="8" s="1"/>
  <c r="IA50" i="8"/>
  <c r="DP24" i="8"/>
  <c r="BA34" i="8"/>
  <c r="AZ39" i="8"/>
  <c r="BX37" i="8"/>
  <c r="BY32" i="8" s="1"/>
  <c r="BU33" i="8"/>
  <c r="ED57" i="8"/>
  <c r="ED32" i="8"/>
  <c r="IS32" i="8" s="1"/>
  <c r="IS33" i="8" s="1"/>
  <c r="DS34" i="8"/>
  <c r="FU34" i="8"/>
  <c r="Q35" i="8"/>
  <c r="P39" i="8"/>
  <c r="FH37" i="8"/>
  <c r="FI32" i="8" s="1"/>
  <c r="AD39" i="8"/>
  <c r="ED48" i="8"/>
  <c r="FN48" i="8"/>
  <c r="GC51" i="8"/>
  <c r="DP18" i="8"/>
  <c r="AW24" i="8"/>
  <c r="DS24" i="8"/>
  <c r="IO24" i="8"/>
  <c r="GD29" i="8"/>
  <c r="AC34" i="8"/>
  <c r="AB39" i="8"/>
  <c r="BA32" i="8"/>
  <c r="GA32" i="8"/>
  <c r="IG32" i="8"/>
  <c r="IG33" i="8" s="1"/>
  <c r="AW33" i="8"/>
  <c r="AE34" i="8"/>
  <c r="AC35" i="8"/>
  <c r="BU35" i="8"/>
  <c r="FU35" i="8"/>
  <c r="DC37" i="8"/>
  <c r="DD32" i="8" s="1"/>
  <c r="AF39" i="8"/>
  <c r="AB56" i="8"/>
  <c r="AB61" i="8" s="1"/>
  <c r="AZ56" i="8"/>
  <c r="AZ61" i="8" s="1"/>
  <c r="BX56" i="8"/>
  <c r="BX61" i="8" s="1"/>
  <c r="DS18" i="8"/>
  <c r="IF21" i="8"/>
  <c r="IF33" i="8" s="1"/>
  <c r="BU24" i="8"/>
  <c r="IP24" i="8"/>
  <c r="AW27" i="8"/>
  <c r="BU27" i="8"/>
  <c r="EH27" i="8"/>
  <c r="AC32" i="8"/>
  <c r="BB37" i="8"/>
  <c r="BC24" i="8" s="1"/>
  <c r="DF56" i="8"/>
  <c r="DF37" i="8"/>
  <c r="ES56" i="8"/>
  <c r="ES37" i="8"/>
  <c r="IH32" i="8"/>
  <c r="BA33" i="8"/>
  <c r="CA33" i="8"/>
  <c r="EH33" i="8"/>
  <c r="FU33" i="8"/>
  <c r="DP35" i="8"/>
  <c r="FX35" i="8"/>
  <c r="FW50" i="8"/>
  <c r="X39" i="8"/>
  <c r="GM48" i="8"/>
  <c r="EY56" i="8"/>
  <c r="EY61" i="8" s="1"/>
  <c r="EV37" i="8"/>
  <c r="D56" i="8"/>
  <c r="D61" i="8" s="1"/>
  <c r="CC74" i="8"/>
  <c r="CC73" i="8"/>
  <c r="CC72" i="8"/>
  <c r="CC71" i="8"/>
  <c r="CC70" i="8"/>
  <c r="CC75" i="8"/>
  <c r="CC69" i="8"/>
  <c r="CC66" i="8"/>
  <c r="CC68" i="8"/>
  <c r="CC65" i="8"/>
  <c r="CC67" i="8"/>
  <c r="CW56" i="8"/>
  <c r="CW61" i="8" s="1"/>
  <c r="ES48" i="8"/>
  <c r="FT48" i="8"/>
  <c r="FE56" i="8"/>
  <c r="FN51" i="8"/>
  <c r="AJ56" i="8"/>
  <c r="AJ61" i="8" s="1"/>
  <c r="BH56" i="8"/>
  <c r="BH61" i="8" s="1"/>
  <c r="CF56" i="8"/>
  <c r="CF61" i="8" s="1"/>
  <c r="L56" i="8"/>
  <c r="L61" i="8" s="1"/>
  <c r="AN56" i="8"/>
  <c r="AN61" i="8" s="1"/>
  <c r="BL56" i="8"/>
  <c r="BL61" i="8" s="1"/>
  <c r="CK56" i="8"/>
  <c r="CK61" i="8" s="1"/>
  <c r="FZ48" i="8"/>
  <c r="DF50" i="8"/>
  <c r="DX50" i="8"/>
  <c r="ED51" i="8"/>
  <c r="DI51" i="8"/>
  <c r="GC48" i="8"/>
  <c r="DL51" i="8"/>
  <c r="DO56" i="8"/>
  <c r="DO61" i="8" s="1"/>
  <c r="AH77" i="8"/>
  <c r="AI70" i="8" s="1"/>
  <c r="P56" i="8"/>
  <c r="P61" i="8" s="1"/>
  <c r="EG56" i="8"/>
  <c r="EG61" i="8" s="1"/>
  <c r="FQ56" i="8"/>
  <c r="FQ61" i="8" s="1"/>
  <c r="AB159" i="8"/>
  <c r="FB56" i="8"/>
  <c r="X56" i="8"/>
  <c r="X61" i="8" s="1"/>
  <c r="AV56" i="8"/>
  <c r="AV61" i="8" s="1"/>
  <c r="BT56" i="8"/>
  <c r="BT61" i="8" s="1"/>
  <c r="EM56" i="8"/>
  <c r="EM61" i="8" s="1"/>
  <c r="EV51" i="8"/>
  <c r="EV61" i="8" s="1"/>
  <c r="H56" i="8"/>
  <c r="H61" i="8" s="1"/>
  <c r="AF56" i="8"/>
  <c r="AF61" i="8" s="1"/>
  <c r="BD56" i="8"/>
  <c r="CB56" i="8"/>
  <c r="CB61" i="8" s="1"/>
  <c r="GC56" i="8"/>
  <c r="BM66" i="8"/>
  <c r="CL66" i="8"/>
  <c r="CA67" i="8"/>
  <c r="BS75" i="8"/>
  <c r="BS74" i="8"/>
  <c r="BS69" i="8"/>
  <c r="BS68" i="8"/>
  <c r="BS73" i="8"/>
  <c r="BS72" i="8"/>
  <c r="BS71" i="8"/>
  <c r="BQ70" i="8"/>
  <c r="AQ74" i="8"/>
  <c r="AQ72" i="8"/>
  <c r="BV159" i="8"/>
  <c r="CZ159" i="8"/>
  <c r="BS70" i="8"/>
  <c r="CE72" i="8"/>
  <c r="CL74" i="8"/>
  <c r="DY71" i="8"/>
  <c r="DY75" i="8"/>
  <c r="DY74" i="8"/>
  <c r="DY68" i="8"/>
  <c r="DY76" i="8"/>
  <c r="DY73" i="8"/>
  <c r="DY72" i="8"/>
  <c r="FH171" i="8"/>
  <c r="FI71" i="8"/>
  <c r="FI75" i="8"/>
  <c r="FI74" i="8"/>
  <c r="FI68" i="8"/>
  <c r="FI76" i="8"/>
  <c r="FI73" i="8"/>
  <c r="FI72" i="8"/>
  <c r="X126" i="8"/>
  <c r="X159" i="8" s="1"/>
  <c r="X150" i="8"/>
  <c r="AA70" i="8"/>
  <c r="AA72" i="8"/>
  <c r="AS66" i="8"/>
  <c r="BQ66" i="8"/>
  <c r="CL69" i="8"/>
  <c r="DV69" i="8"/>
  <c r="BM75" i="8"/>
  <c r="CO71" i="8"/>
  <c r="CO75" i="8"/>
  <c r="CO74" i="8"/>
  <c r="CO68" i="8"/>
  <c r="CO73" i="8"/>
  <c r="CO72" i="8"/>
  <c r="BI72" i="8"/>
  <c r="BI71" i="8"/>
  <c r="BI75" i="8"/>
  <c r="BI70" i="8"/>
  <c r="BI67" i="8"/>
  <c r="BI74" i="8"/>
  <c r="BI69" i="8"/>
  <c r="S70" i="8"/>
  <c r="S74" i="8"/>
  <c r="S72" i="8"/>
  <c r="BI68" i="8"/>
  <c r="CA69" i="8"/>
  <c r="CA71" i="8"/>
  <c r="CA70" i="8"/>
  <c r="CA65" i="8"/>
  <c r="BY74" i="8"/>
  <c r="BY73" i="8"/>
  <c r="BY72" i="8"/>
  <c r="BY71" i="8"/>
  <c r="BY75" i="8"/>
  <c r="BM71" i="8"/>
  <c r="BM67" i="8"/>
  <c r="CL67" i="8"/>
  <c r="BK72" i="8"/>
  <c r="BK75" i="8"/>
  <c r="BK70" i="8"/>
  <c r="BK74" i="8"/>
  <c r="CA68" i="8"/>
  <c r="BM69" i="8"/>
  <c r="BY70" i="8"/>
  <c r="DV71" i="8"/>
  <c r="CA75" i="8"/>
  <c r="DV75" i="8"/>
  <c r="AR56" i="8"/>
  <c r="AR61" i="8" s="1"/>
  <c r="BP56" i="8"/>
  <c r="BP61" i="8" s="1"/>
  <c r="CQ56" i="8"/>
  <c r="CQ61" i="8" s="1"/>
  <c r="EA56" i="8"/>
  <c r="EA61" i="8" s="1"/>
  <c r="FK56" i="8"/>
  <c r="CE74" i="8"/>
  <c r="CE70" i="8"/>
  <c r="CE75" i="8"/>
  <c r="CA73" i="8"/>
  <c r="BE74" i="8"/>
  <c r="BE72" i="8"/>
  <c r="BE71" i="8"/>
  <c r="BE68" i="8"/>
  <c r="BE75" i="8"/>
  <c r="BE70" i="8"/>
  <c r="AL159" i="8"/>
  <c r="GM172" i="8"/>
  <c r="CE71" i="8"/>
  <c r="CE73" i="8"/>
  <c r="CK159" i="8"/>
  <c r="BI65" i="8"/>
  <c r="AS70" i="8"/>
  <c r="AS74" i="8"/>
  <c r="AS69" i="8"/>
  <c r="BM68" i="8"/>
  <c r="BM74" i="8"/>
  <c r="DV74" i="8"/>
  <c r="CL75" i="8"/>
  <c r="BO71" i="8"/>
  <c r="BO75" i="8"/>
  <c r="BO70" i="8"/>
  <c r="BO74" i="8"/>
  <c r="BO73" i="8"/>
  <c r="BO72" i="8"/>
  <c r="ET74" i="8"/>
  <c r="ET76" i="8"/>
  <c r="ET73" i="8"/>
  <c r="ET72" i="8"/>
  <c r="ES171" i="8"/>
  <c r="ET71" i="8"/>
  <c r="ET75" i="8"/>
  <c r="GD74" i="8"/>
  <c r="GD76" i="8"/>
  <c r="GD73" i="8"/>
  <c r="GD72" i="8"/>
  <c r="GC171" i="8"/>
  <c r="GD71" i="8"/>
  <c r="GD75" i="8"/>
  <c r="AS68" i="8"/>
  <c r="BY69" i="8"/>
  <c r="CL70" i="8"/>
  <c r="CL73" i="8"/>
  <c r="AG74" i="8"/>
  <c r="AG72" i="8"/>
  <c r="AG68" i="8"/>
  <c r="DJ74" i="8"/>
  <c r="DJ76" i="8"/>
  <c r="DJ73" i="8"/>
  <c r="DJ72" i="8"/>
  <c r="DJ71" i="8"/>
  <c r="DJ70" i="8"/>
  <c r="DJ75" i="8"/>
  <c r="FT159" i="8"/>
  <c r="BI66" i="8"/>
  <c r="BQ74" i="8"/>
  <c r="BQ69" i="8"/>
  <c r="CL68" i="8"/>
  <c r="DV70" i="8"/>
  <c r="BQ72" i="8"/>
  <c r="CT159" i="8"/>
  <c r="BW75" i="8"/>
  <c r="DA75" i="8"/>
  <c r="EK75" i="8"/>
  <c r="FU75" i="8"/>
  <c r="BD126" i="8"/>
  <c r="BD159" i="8" s="1"/>
  <c r="AL150" i="8"/>
  <c r="CK150" i="8"/>
  <c r="DL157" i="8"/>
  <c r="EV159" i="8"/>
  <c r="EP172" i="8"/>
  <c r="GC172" i="8"/>
  <c r="AU71" i="8"/>
  <c r="CU71" i="8"/>
  <c r="EE71" i="8"/>
  <c r="FO71" i="8"/>
  <c r="O74" i="8"/>
  <c r="AM74" i="8"/>
  <c r="CI74" i="8"/>
  <c r="DS74" i="8"/>
  <c r="FC74" i="8"/>
  <c r="AN77" i="8"/>
  <c r="AO70" i="8" s="1"/>
  <c r="BF126" i="8"/>
  <c r="BF159" i="8" s="1"/>
  <c r="FN171" i="8"/>
  <c r="ES172" i="8"/>
  <c r="AH144" i="8"/>
  <c r="AH159" i="8" s="1"/>
  <c r="R150" i="8"/>
  <c r="AP150" i="8"/>
  <c r="FB159" i="8"/>
  <c r="BC68" i="8"/>
  <c r="AM70" i="8"/>
  <c r="AY71" i="8"/>
  <c r="BW71" i="8"/>
  <c r="DA71" i="8"/>
  <c r="EK71" i="8"/>
  <c r="FU71" i="8"/>
  <c r="W72" i="8"/>
  <c r="AU72" i="8"/>
  <c r="CU72" i="8"/>
  <c r="EE72" i="8"/>
  <c r="FO72" i="8"/>
  <c r="CU73" i="8"/>
  <c r="EE73" i="8"/>
  <c r="FO73" i="8"/>
  <c r="EE76" i="8"/>
  <c r="FO76" i="8"/>
  <c r="T150" i="8"/>
  <c r="AR150" i="8"/>
  <c r="FE159" i="8"/>
  <c r="FT171" i="8"/>
  <c r="GA109" i="8"/>
  <c r="V150" i="8"/>
  <c r="AV150" i="8"/>
  <c r="FH159" i="8"/>
  <c r="EQ71" i="8"/>
  <c r="GA71" i="8"/>
  <c r="BW72" i="8"/>
  <c r="DA72" i="8"/>
  <c r="EK72" i="8"/>
  <c r="FU72" i="8"/>
  <c r="EK73" i="8"/>
  <c r="FU73" i="8"/>
  <c r="GN75" i="8"/>
  <c r="EA159" i="8"/>
  <c r="FK159" i="8"/>
  <c r="FZ171" i="8"/>
  <c r="AZ150" i="8"/>
  <c r="FN159" i="8"/>
  <c r="EP171" i="8"/>
  <c r="AB150" i="8"/>
  <c r="EG159" i="8"/>
  <c r="FQ159" i="8"/>
  <c r="EV171" i="8"/>
  <c r="FZ159" i="8"/>
  <c r="CI72" i="8"/>
  <c r="DS73" i="8"/>
  <c r="FC73" i="8"/>
  <c r="E82" i="10"/>
  <c r="E81" i="10"/>
  <c r="E132" i="10" s="1"/>
  <c r="K52" i="4" l="1"/>
  <c r="K31" i="4" s="1"/>
  <c r="L38" i="4"/>
  <c r="L43" i="4"/>
  <c r="M43" i="4"/>
  <c r="L37" i="4"/>
  <c r="FQ10" i="4"/>
  <c r="FQ13" i="4"/>
  <c r="FQ11" i="4"/>
  <c r="I26" i="4"/>
  <c r="K14" i="4"/>
  <c r="FQ14" i="4" s="1"/>
  <c r="E26" i="13"/>
  <c r="E28" i="13" s="1"/>
  <c r="K32" i="4"/>
  <c r="L41" i="4"/>
  <c r="AJ206" i="1"/>
  <c r="O120" i="9"/>
  <c r="O122" i="9" s="1"/>
  <c r="O213" i="9"/>
  <c r="O215" i="9" s="1"/>
  <c r="AL206" i="1"/>
  <c r="Q120" i="9"/>
  <c r="Q122" i="9" s="1"/>
  <c r="K16" i="9"/>
  <c r="K18" i="9" s="1"/>
  <c r="K22" i="9"/>
  <c r="K24" i="9" s="1"/>
  <c r="DC147" i="3"/>
  <c r="DG6" i="9"/>
  <c r="DG11" i="9" s="1"/>
  <c r="M22" i="9"/>
  <c r="M24" i="9" s="1"/>
  <c r="M16" i="9"/>
  <c r="H26" i="13"/>
  <c r="H28" i="13" s="1"/>
  <c r="G26" i="13"/>
  <c r="G28" i="13" s="1"/>
  <c r="O22" i="9"/>
  <c r="O24" i="9" s="1"/>
  <c r="O16" i="9"/>
  <c r="Q17" i="9"/>
  <c r="O17" i="9"/>
  <c r="Q22" i="9"/>
  <c r="Q24" i="9" s="1"/>
  <c r="Q16" i="9"/>
  <c r="Q213" i="9"/>
  <c r="Q215" i="9" s="1"/>
  <c r="EB50" i="8"/>
  <c r="EB44" i="8"/>
  <c r="EB45" i="8"/>
  <c r="EB43" i="8"/>
  <c r="EB46" i="8"/>
  <c r="M47" i="8"/>
  <c r="M45" i="8"/>
  <c r="M46" i="8"/>
  <c r="M44" i="8"/>
  <c r="M43" i="8"/>
  <c r="AC47" i="8"/>
  <c r="AC46" i="8"/>
  <c r="AC45" i="8"/>
  <c r="AC44" i="8"/>
  <c r="AC43" i="8"/>
  <c r="O49" i="8"/>
  <c r="O46" i="8"/>
  <c r="O45" i="8"/>
  <c r="O43" i="8"/>
  <c r="O44" i="8"/>
  <c r="BM45" i="8"/>
  <c r="BM46" i="8"/>
  <c r="BM44" i="8"/>
  <c r="BM43" i="8"/>
  <c r="BA45" i="8"/>
  <c r="BA44" i="8"/>
  <c r="BA46" i="8"/>
  <c r="BA43" i="8"/>
  <c r="CR44" i="8"/>
  <c r="CR45" i="8"/>
  <c r="CR46" i="8"/>
  <c r="CR43" i="8"/>
  <c r="FR58" i="8"/>
  <c r="FR46" i="8"/>
  <c r="FR45" i="8"/>
  <c r="FR43" i="8"/>
  <c r="FR44" i="8"/>
  <c r="CG45" i="8"/>
  <c r="CG44" i="8"/>
  <c r="CG43" i="8"/>
  <c r="CG46" i="8"/>
  <c r="DD48" i="8"/>
  <c r="DD44" i="8"/>
  <c r="DD45" i="8"/>
  <c r="DD46" i="8"/>
  <c r="DD43" i="8"/>
  <c r="CA47" i="8"/>
  <c r="CA46" i="8"/>
  <c r="CA45" i="8"/>
  <c r="CA44" i="8"/>
  <c r="CA43" i="8"/>
  <c r="AE48" i="8"/>
  <c r="AE46" i="8"/>
  <c r="AE45" i="8"/>
  <c r="AE43" i="8"/>
  <c r="AE44" i="8"/>
  <c r="AU59" i="8"/>
  <c r="AU46" i="8"/>
  <c r="AU45" i="8"/>
  <c r="AU44" i="8"/>
  <c r="AU43" i="8"/>
  <c r="AS46" i="8"/>
  <c r="AS45" i="8"/>
  <c r="AS44" i="8"/>
  <c r="AS43" i="8"/>
  <c r="Q46" i="8"/>
  <c r="Q44" i="8"/>
  <c r="Q45" i="8"/>
  <c r="Q43" i="8"/>
  <c r="AI45" i="8"/>
  <c r="AI46" i="8"/>
  <c r="AI43" i="8"/>
  <c r="AI44" i="8"/>
  <c r="K44" i="8"/>
  <c r="K43" i="8"/>
  <c r="K45" i="8"/>
  <c r="K46" i="8"/>
  <c r="GH51" i="8"/>
  <c r="GH44" i="8"/>
  <c r="GH46" i="8"/>
  <c r="GH45" i="8"/>
  <c r="GH43" i="8"/>
  <c r="AK57" i="8"/>
  <c r="AK45" i="8"/>
  <c r="AK44" i="8"/>
  <c r="AK46" i="8"/>
  <c r="AK43" i="8"/>
  <c r="E57" i="8"/>
  <c r="E45" i="8"/>
  <c r="E44" i="8"/>
  <c r="E46" i="8"/>
  <c r="E43" i="8"/>
  <c r="CU46" i="8"/>
  <c r="CU44" i="8"/>
  <c r="CU45" i="8"/>
  <c r="CU43" i="8"/>
  <c r="EH44" i="8"/>
  <c r="EH43" i="8"/>
  <c r="EH45" i="8"/>
  <c r="EH46" i="8"/>
  <c r="DP57" i="8"/>
  <c r="DP45" i="8"/>
  <c r="DP46" i="8"/>
  <c r="DP44" i="8"/>
  <c r="DP43" i="8"/>
  <c r="BW44" i="8"/>
  <c r="BW43" i="8"/>
  <c r="BW45" i="8"/>
  <c r="BW46" i="8"/>
  <c r="AO48" i="8"/>
  <c r="AO44" i="8"/>
  <c r="AO43" i="8"/>
  <c r="AO46" i="8"/>
  <c r="AO45" i="8"/>
  <c r="CC49" i="8"/>
  <c r="CC45" i="8"/>
  <c r="CC46" i="8"/>
  <c r="CC44" i="8"/>
  <c r="CC43" i="8"/>
  <c r="EZ57" i="8"/>
  <c r="EZ44" i="8"/>
  <c r="EZ45" i="8"/>
  <c r="EZ43" i="8"/>
  <c r="EZ46" i="8"/>
  <c r="AM49" i="8"/>
  <c r="AM44" i="8"/>
  <c r="AM45" i="8"/>
  <c r="AM46" i="8"/>
  <c r="AM43" i="8"/>
  <c r="EK44" i="8"/>
  <c r="EK43" i="8"/>
  <c r="EK45" i="8"/>
  <c r="EK46" i="8"/>
  <c r="BC44" i="8"/>
  <c r="BC43" i="8"/>
  <c r="BC45" i="8"/>
  <c r="BC46" i="8"/>
  <c r="S45" i="8"/>
  <c r="S46" i="8"/>
  <c r="S44" i="8"/>
  <c r="S43" i="8"/>
  <c r="AA47" i="8"/>
  <c r="AA44" i="8"/>
  <c r="AA43" i="8"/>
  <c r="AA45" i="8"/>
  <c r="AA46" i="8"/>
  <c r="DA46" i="8"/>
  <c r="DA44" i="8"/>
  <c r="DA43" i="8"/>
  <c r="DA45" i="8"/>
  <c r="EQ47" i="8"/>
  <c r="EQ46" i="8"/>
  <c r="EQ44" i="8"/>
  <c r="EQ45" i="8"/>
  <c r="EQ43" i="8"/>
  <c r="BK49" i="8"/>
  <c r="BK46" i="8"/>
  <c r="BK45" i="8"/>
  <c r="BK44" i="8"/>
  <c r="BK43" i="8"/>
  <c r="AQ44" i="8"/>
  <c r="AQ43" i="8"/>
  <c r="AQ45" i="8"/>
  <c r="AQ46" i="8"/>
  <c r="I44" i="8"/>
  <c r="I43" i="8"/>
  <c r="I46" i="8"/>
  <c r="I45" i="8"/>
  <c r="BG48" i="8"/>
  <c r="BG44" i="8"/>
  <c r="BG43" i="8"/>
  <c r="BG45" i="8"/>
  <c r="BG46" i="8"/>
  <c r="G48" i="8"/>
  <c r="G44" i="8"/>
  <c r="G45" i="8"/>
  <c r="G46" i="8"/>
  <c r="G43" i="8"/>
  <c r="W48" i="8"/>
  <c r="W44" i="8"/>
  <c r="W43" i="8"/>
  <c r="W46" i="8"/>
  <c r="W45" i="8"/>
  <c r="EW46" i="8"/>
  <c r="EW44" i="8"/>
  <c r="EW45" i="8"/>
  <c r="EW43" i="8"/>
  <c r="CE48" i="8"/>
  <c r="CE45" i="8"/>
  <c r="CE46" i="8"/>
  <c r="CE44" i="8"/>
  <c r="CE43" i="8"/>
  <c r="BI46" i="8"/>
  <c r="BI45" i="8"/>
  <c r="BI44" i="8"/>
  <c r="BI43" i="8"/>
  <c r="BS52" i="8"/>
  <c r="BS44" i="8"/>
  <c r="BS46" i="8"/>
  <c r="BS45" i="8"/>
  <c r="BS43" i="8"/>
  <c r="BY57" i="8"/>
  <c r="BY46" i="8"/>
  <c r="BY45" i="8"/>
  <c r="BY44" i="8"/>
  <c r="BY43" i="8"/>
  <c r="CO52" i="8"/>
  <c r="CO44" i="8"/>
  <c r="CO43" i="8"/>
  <c r="CO45" i="8"/>
  <c r="CO46" i="8"/>
  <c r="AG48" i="8"/>
  <c r="AG45" i="8"/>
  <c r="AG46" i="8"/>
  <c r="AG43" i="8"/>
  <c r="AG44" i="8"/>
  <c r="BU57" i="8"/>
  <c r="BU44" i="8"/>
  <c r="BU43" i="8"/>
  <c r="BU45" i="8"/>
  <c r="BU46" i="8"/>
  <c r="CI49" i="8"/>
  <c r="CI44" i="8"/>
  <c r="CI43" i="8"/>
  <c r="CI46" i="8"/>
  <c r="CI45" i="8"/>
  <c r="Y49" i="8"/>
  <c r="Y44" i="8"/>
  <c r="Y43" i="8"/>
  <c r="Y46" i="8"/>
  <c r="Y45" i="8"/>
  <c r="BO45" i="8"/>
  <c r="BO46" i="8"/>
  <c r="BO43" i="8"/>
  <c r="BO44" i="8"/>
  <c r="BQ49" i="8"/>
  <c r="BQ45" i="8"/>
  <c r="BQ44" i="8"/>
  <c r="BQ46" i="8"/>
  <c r="BQ43" i="8"/>
  <c r="CX57" i="8"/>
  <c r="CX46" i="8"/>
  <c r="CX44" i="8"/>
  <c r="CX43" i="8"/>
  <c r="CX45" i="8"/>
  <c r="EN58" i="8"/>
  <c r="EN44" i="8"/>
  <c r="EN46" i="8"/>
  <c r="EN45" i="8"/>
  <c r="EN43" i="8"/>
  <c r="AW47" i="8"/>
  <c r="AW46" i="8"/>
  <c r="AW43" i="8"/>
  <c r="AW45" i="8"/>
  <c r="AW44" i="8"/>
  <c r="CL48" i="8"/>
  <c r="CL44" i="8"/>
  <c r="CL43" i="8"/>
  <c r="CL46" i="8"/>
  <c r="CL45" i="8"/>
  <c r="AY57" i="8"/>
  <c r="AY45" i="8"/>
  <c r="AY46" i="8"/>
  <c r="AY43" i="8"/>
  <c r="AY44" i="8"/>
  <c r="AN206" i="1"/>
  <c r="D98" i="10"/>
  <c r="F98" i="10" s="1"/>
  <c r="CM134" i="3"/>
  <c r="AP206" i="1"/>
  <c r="Y17" i="9"/>
  <c r="AF149" i="1"/>
  <c r="AF186" i="1" s="1"/>
  <c r="AF206" i="1" s="1"/>
  <c r="W213" i="9"/>
  <c r="W215" i="9" s="1"/>
  <c r="DI113" i="1"/>
  <c r="DJ111" i="1"/>
  <c r="AT206" i="1"/>
  <c r="Y120" i="9"/>
  <c r="Y122" i="9" s="1"/>
  <c r="AR206" i="1"/>
  <c r="DO73" i="9"/>
  <c r="BU15" i="3"/>
  <c r="AA22" i="9"/>
  <c r="AA24" i="9" s="1"/>
  <c r="Y22" i="9"/>
  <c r="Y24" i="9" s="1"/>
  <c r="Y16" i="9"/>
  <c r="AX61" i="9"/>
  <c r="CW110" i="9"/>
  <c r="DM73" i="9"/>
  <c r="AA16" i="9"/>
  <c r="DG134" i="3"/>
  <c r="DE73" i="9"/>
  <c r="DK131" i="3"/>
  <c r="DK134" i="3"/>
  <c r="CO146" i="3"/>
  <c r="CS75" i="9" s="1"/>
  <c r="CS83" i="9" s="1"/>
  <c r="CS99" i="9" s="1"/>
  <c r="CS100" i="9" s="1"/>
  <c r="CV178" i="1"/>
  <c r="DH178" i="1" s="1"/>
  <c r="AV206" i="1"/>
  <c r="AA120" i="9"/>
  <c r="AA122" i="9" s="1"/>
  <c r="DI49" i="2"/>
  <c r="CW49" i="2"/>
  <c r="CU49" i="2"/>
  <c r="CW7" i="2"/>
  <c r="DA121" i="9" s="1"/>
  <c r="DC49" i="2"/>
  <c r="CO134" i="3"/>
  <c r="CQ49" i="2"/>
  <c r="FQ25" i="4"/>
  <c r="CM146" i="3"/>
  <c r="CM149" i="3" s="1"/>
  <c r="DA23" i="2"/>
  <c r="DA19" i="2" s="1"/>
  <c r="DE5" i="9" s="1"/>
  <c r="DE7" i="9" s="1"/>
  <c r="C149" i="1"/>
  <c r="C186" i="1" s="1"/>
  <c r="I149" i="1"/>
  <c r="I186" i="1" s="1"/>
  <c r="I195" i="1" s="1"/>
  <c r="B149" i="1"/>
  <c r="B186" i="1" s="1"/>
  <c r="Q149" i="1"/>
  <c r="Q186" i="1" s="1"/>
  <c r="BB206" i="1"/>
  <c r="DH180" i="1"/>
  <c r="DH39" i="1"/>
  <c r="CV60" i="1"/>
  <c r="AX206" i="1"/>
  <c r="IB32" i="8"/>
  <c r="IB24" i="8"/>
  <c r="IB33" i="8"/>
  <c r="IL33" i="8"/>
  <c r="CU15" i="3"/>
  <c r="CU10" i="2" s="1"/>
  <c r="CU7" i="2" s="1"/>
  <c r="DE23" i="2"/>
  <c r="DE19" i="2" s="1"/>
  <c r="DE52" i="2" s="1"/>
  <c r="CS15" i="3"/>
  <c r="CS10" i="2" s="1"/>
  <c r="D84" i="10" s="1"/>
  <c r="F84" i="10" s="1"/>
  <c r="CY49" i="2"/>
  <c r="DG49" i="2"/>
  <c r="S149" i="1"/>
  <c r="S186" i="1" s="1"/>
  <c r="DH166" i="1"/>
  <c r="O149" i="1"/>
  <c r="O186" i="1" s="1"/>
  <c r="R149" i="1"/>
  <c r="R186" i="1" s="1"/>
  <c r="CS149" i="1"/>
  <c r="CS186" i="1" s="1"/>
  <c r="CS201" i="1" s="1"/>
  <c r="BL39" i="8"/>
  <c r="DI149" i="3"/>
  <c r="DK149" i="3"/>
  <c r="CY146" i="3"/>
  <c r="DC75" i="9" s="1"/>
  <c r="DC83" i="9" s="1"/>
  <c r="DC99" i="9" s="1"/>
  <c r="DC100" i="9" s="1"/>
  <c r="DG23" i="2"/>
  <c r="DG19" i="2" s="1"/>
  <c r="DK5" i="9" s="1"/>
  <c r="DK7" i="9" s="1"/>
  <c r="CK149" i="1"/>
  <c r="CK186" i="1" s="1"/>
  <c r="CK201" i="1" s="1"/>
  <c r="CM149" i="1"/>
  <c r="CM186" i="1" s="1"/>
  <c r="CM201" i="1" s="1"/>
  <c r="AX30" i="9"/>
  <c r="BN39" i="8"/>
  <c r="IB27" i="8"/>
  <c r="BI24" i="8"/>
  <c r="IB29" i="8"/>
  <c r="BP39" i="8"/>
  <c r="IB35" i="8"/>
  <c r="DA134" i="3"/>
  <c r="DQ73" i="9"/>
  <c r="DQ84" i="9"/>
  <c r="DM149" i="3"/>
  <c r="DM134" i="3"/>
  <c r="CQ146" i="3"/>
  <c r="CU75" i="9" s="1"/>
  <c r="CU83" i="9" s="1"/>
  <c r="CU84" i="9" s="1"/>
  <c r="CQ134" i="3"/>
  <c r="DA49" i="2"/>
  <c r="DE146" i="3"/>
  <c r="DI75" i="9" s="1"/>
  <c r="DI83" i="9" s="1"/>
  <c r="DI84" i="9" s="1"/>
  <c r="DE134" i="3"/>
  <c r="BU74" i="9"/>
  <c r="DI131" i="3"/>
  <c r="DO7" i="9"/>
  <c r="AV48" i="9"/>
  <c r="CS49" i="2"/>
  <c r="AE149" i="1"/>
  <c r="AE186" i="1" s="1"/>
  <c r="AE206" i="1" s="1"/>
  <c r="K149" i="1"/>
  <c r="K186" i="1" s="1"/>
  <c r="K195" i="1" s="1"/>
  <c r="BI113" i="1"/>
  <c r="BI149" i="1" s="1"/>
  <c r="DK49" i="2"/>
  <c r="DE49" i="2"/>
  <c r="BJ149" i="1"/>
  <c r="BJ186" i="1" s="1"/>
  <c r="BJ206" i="1" s="1"/>
  <c r="P149" i="1"/>
  <c r="P186" i="1" s="1"/>
  <c r="CX113" i="1"/>
  <c r="CX146" i="1" s="1"/>
  <c r="CX149" i="1" s="1"/>
  <c r="CX186" i="1" s="1"/>
  <c r="CX206" i="1" s="1"/>
  <c r="BO34" i="8"/>
  <c r="AA27" i="8"/>
  <c r="AD26" i="4"/>
  <c r="AG26" i="4"/>
  <c r="DI134" i="3"/>
  <c r="CW134" i="3"/>
  <c r="CQ19" i="2"/>
  <c r="CU5" i="9" s="1"/>
  <c r="BN149" i="1"/>
  <c r="BN186" i="1" s="1"/>
  <c r="BN206" i="1" s="1"/>
  <c r="G149" i="1"/>
  <c r="G186" i="1" s="1"/>
  <c r="G195" i="1" s="1"/>
  <c r="CB149" i="1"/>
  <c r="CB186" i="1" s="1"/>
  <c r="CB206" i="1" s="1"/>
  <c r="CU144" i="1"/>
  <c r="CU147" i="1" s="1"/>
  <c r="Y149" i="1"/>
  <c r="Y186" i="1" s="1"/>
  <c r="Y206" i="1" s="1"/>
  <c r="H149" i="1"/>
  <c r="H186" i="1" s="1"/>
  <c r="H195" i="1" s="1"/>
  <c r="W149" i="1"/>
  <c r="W186" i="1" s="1"/>
  <c r="W206" i="1" s="1"/>
  <c r="D149" i="1"/>
  <c r="D186" i="1" s="1"/>
  <c r="AZ206" i="1"/>
  <c r="DB149" i="1"/>
  <c r="DB186" i="1" s="1"/>
  <c r="DB193" i="1" s="1"/>
  <c r="CG149" i="1"/>
  <c r="CG186" i="1" s="1"/>
  <c r="CG201" i="1" s="1"/>
  <c r="DA149" i="1"/>
  <c r="DA186" i="1" s="1"/>
  <c r="DA193" i="1" s="1"/>
  <c r="T149" i="1"/>
  <c r="T186" i="1" s="1"/>
  <c r="T206" i="1" s="1"/>
  <c r="CT149" i="1"/>
  <c r="CT186" i="1" s="1"/>
  <c r="CL149" i="1"/>
  <c r="CL186" i="1" s="1"/>
  <c r="CF149" i="1"/>
  <c r="CF186" i="1" s="1"/>
  <c r="CF206" i="1" s="1"/>
  <c r="AX13" i="9"/>
  <c r="AV13" i="9"/>
  <c r="BI47" i="8"/>
  <c r="BM24" i="8"/>
  <c r="CU149" i="3"/>
  <c r="FQ15" i="4"/>
  <c r="L40" i="4"/>
  <c r="BU146" i="3"/>
  <c r="CY5" i="9"/>
  <c r="CY7" i="9" s="1"/>
  <c r="IP32" i="8"/>
  <c r="IP33" i="8" s="1"/>
  <c r="EQ50" i="8"/>
  <c r="DX61" i="8"/>
  <c r="CW37" i="8"/>
  <c r="CX27" i="8" s="1"/>
  <c r="EQ57" i="8"/>
  <c r="BQ21" i="8"/>
  <c r="Z39" i="8"/>
  <c r="BS24" i="8"/>
  <c r="BS34" i="8"/>
  <c r="CH180" i="1"/>
  <c r="BU180" i="1"/>
  <c r="BU178" i="1"/>
  <c r="CY213" i="9"/>
  <c r="CY215" i="9" s="1"/>
  <c r="DE213" i="9"/>
  <c r="DE215" i="9" s="1"/>
  <c r="F149" i="1"/>
  <c r="F186" i="1" s="1"/>
  <c r="X149" i="1"/>
  <c r="X186" i="1" s="1"/>
  <c r="X206" i="1" s="1"/>
  <c r="BY213" i="9"/>
  <c r="BY215" i="9" s="1"/>
  <c r="Z149" i="1"/>
  <c r="Z186" i="1" s="1"/>
  <c r="Z206" i="1" s="1"/>
  <c r="CU213" i="9"/>
  <c r="CU215" i="9" s="1"/>
  <c r="E149" i="1"/>
  <c r="E186" i="1" s="1"/>
  <c r="CM213" i="9"/>
  <c r="CM215" i="9" s="1"/>
  <c r="BM149" i="1"/>
  <c r="BM186" i="1" s="1"/>
  <c r="BM206" i="1" s="1"/>
  <c r="BR149" i="1"/>
  <c r="BR186" i="1" s="1"/>
  <c r="BR206" i="1" s="1"/>
  <c r="BQ149" i="1"/>
  <c r="BQ186" i="1" s="1"/>
  <c r="BQ206" i="1" s="1"/>
  <c r="L149" i="1"/>
  <c r="L186" i="1" s="1"/>
  <c r="L195" i="1" s="1"/>
  <c r="CW149" i="1"/>
  <c r="CW186" i="1" s="1"/>
  <c r="CW193" i="1" s="1"/>
  <c r="BY149" i="1"/>
  <c r="BY186" i="1" s="1"/>
  <c r="BY206" i="1" s="1"/>
  <c r="CH147" i="1"/>
  <c r="CD149" i="1"/>
  <c r="CD186" i="1" s="1"/>
  <c r="CD206" i="1" s="1"/>
  <c r="BK149" i="1"/>
  <c r="BK186" i="1" s="1"/>
  <c r="BK206" i="1" s="1"/>
  <c r="AA149" i="1"/>
  <c r="AA186" i="1" s="1"/>
  <c r="AA206" i="1" s="1"/>
  <c r="BT149" i="1"/>
  <c r="BT186" i="1" s="1"/>
  <c r="BT206" i="1" s="1"/>
  <c r="CC149" i="1"/>
  <c r="CC186" i="1" s="1"/>
  <c r="CC206" i="1" s="1"/>
  <c r="CP149" i="1"/>
  <c r="CP186" i="1" s="1"/>
  <c r="BX149" i="1"/>
  <c r="BX186" i="1" s="1"/>
  <c r="BX206" i="1" s="1"/>
  <c r="CO149" i="1"/>
  <c r="CO186" i="1" s="1"/>
  <c r="CO201" i="1" s="1"/>
  <c r="S52" i="8"/>
  <c r="EQ48" i="8"/>
  <c r="EH57" i="8"/>
  <c r="EQ58" i="8"/>
  <c r="FW61" i="8"/>
  <c r="EQ49" i="8"/>
  <c r="EK57" i="8"/>
  <c r="GH59" i="8"/>
  <c r="EK52" i="8"/>
  <c r="AC49" i="8"/>
  <c r="GH49" i="8"/>
  <c r="DR61" i="8"/>
  <c r="O59" i="8"/>
  <c r="AO49" i="8"/>
  <c r="GH52" i="8"/>
  <c r="S49" i="8"/>
  <c r="BQ50" i="8"/>
  <c r="S50" i="8"/>
  <c r="S59" i="8"/>
  <c r="S57" i="8"/>
  <c r="GH58" i="8"/>
  <c r="AK47" i="8"/>
  <c r="S48" i="8"/>
  <c r="S58" i="8"/>
  <c r="EK48" i="8"/>
  <c r="GH50" i="8"/>
  <c r="AI48" i="8"/>
  <c r="AI58" i="8"/>
  <c r="DP49" i="8"/>
  <c r="AW57" i="8"/>
  <c r="CE59" i="8"/>
  <c r="CU52" i="8"/>
  <c r="GH48" i="8"/>
  <c r="GH47" i="8"/>
  <c r="BA50" i="8"/>
  <c r="FR51" i="8"/>
  <c r="BI49" i="8"/>
  <c r="EB51" i="8"/>
  <c r="AC57" i="8"/>
  <c r="BG49" i="8"/>
  <c r="BG58" i="8"/>
  <c r="EQ52" i="8"/>
  <c r="EQ51" i="8"/>
  <c r="CE49" i="8"/>
  <c r="CE52" i="8"/>
  <c r="AK52" i="8"/>
  <c r="EQ59" i="8"/>
  <c r="GH57" i="8"/>
  <c r="K58" i="8"/>
  <c r="BQ34" i="8"/>
  <c r="IH33" i="8"/>
  <c r="BS20" i="8"/>
  <c r="EK49" i="8"/>
  <c r="BM32" i="8"/>
  <c r="BK57" i="8"/>
  <c r="W58" i="8"/>
  <c r="BQ24" i="8"/>
  <c r="BM21" i="8"/>
  <c r="BS22" i="8"/>
  <c r="BM18" i="8"/>
  <c r="BM49" i="8"/>
  <c r="CR32" i="8"/>
  <c r="BS23" i="8"/>
  <c r="BK27" i="8"/>
  <c r="W59" i="8"/>
  <c r="BO33" i="8"/>
  <c r="BM23" i="8"/>
  <c r="BS33" i="8"/>
  <c r="BI23" i="8"/>
  <c r="DD58" i="8"/>
  <c r="AE58" i="8"/>
  <c r="BS49" i="8"/>
  <c r="FH61" i="8"/>
  <c r="BM27" i="8"/>
  <c r="BQ22" i="8"/>
  <c r="BM22" i="8"/>
  <c r="BQ32" i="8"/>
  <c r="BS21" i="8"/>
  <c r="BI21" i="8"/>
  <c r="CC48" i="8"/>
  <c r="BC58" i="8"/>
  <c r="EK58" i="8"/>
  <c r="BQ23" i="8"/>
  <c r="BS35" i="8"/>
  <c r="BK59" i="8"/>
  <c r="EK47" i="8"/>
  <c r="BM33" i="8"/>
  <c r="BS48" i="8"/>
  <c r="BQ35" i="8"/>
  <c r="IB18" i="8"/>
  <c r="IB21" i="8"/>
  <c r="BQ18" i="8"/>
  <c r="BM34" i="8"/>
  <c r="E50" i="8"/>
  <c r="EZ51" i="8"/>
  <c r="FR49" i="8"/>
  <c r="AA35" i="8"/>
  <c r="BQ33" i="8"/>
  <c r="CL50" i="8"/>
  <c r="BS18" i="8"/>
  <c r="EN57" i="8"/>
  <c r="CU58" i="8"/>
  <c r="AO50" i="8"/>
  <c r="W50" i="8"/>
  <c r="BQ27" i="8"/>
  <c r="BS32" i="8"/>
  <c r="DE121" i="9"/>
  <c r="DE122" i="9" s="1"/>
  <c r="BU12" i="9"/>
  <c r="DI33" i="2"/>
  <c r="DM33" i="2"/>
  <c r="DM5" i="9"/>
  <c r="DM7" i="9" s="1"/>
  <c r="DK52" i="2"/>
  <c r="DE23" i="9"/>
  <c r="DE24" i="9" s="1"/>
  <c r="DM12" i="9"/>
  <c r="DM13" i="9" s="1"/>
  <c r="CY149" i="1"/>
  <c r="CY186" i="1" s="1"/>
  <c r="CY206" i="1" s="1"/>
  <c r="BW146" i="1"/>
  <c r="BW149" i="1" s="1"/>
  <c r="BW186" i="1" s="1"/>
  <c r="BW206" i="1" s="1"/>
  <c r="AB149" i="1"/>
  <c r="AB186" i="1" s="1"/>
  <c r="AB206" i="1" s="1"/>
  <c r="M149" i="1"/>
  <c r="M186" i="1" s="1"/>
  <c r="M195" i="1" s="1"/>
  <c r="CR149" i="1"/>
  <c r="CR186" i="1" s="1"/>
  <c r="CR201" i="1" s="1"/>
  <c r="CQ149" i="1"/>
  <c r="CQ186" i="1" s="1"/>
  <c r="CQ201" i="1" s="1"/>
  <c r="CJ149" i="1"/>
  <c r="CJ186" i="1" s="1"/>
  <c r="CJ206" i="1" s="1"/>
  <c r="CH178" i="1"/>
  <c r="CA149" i="1"/>
  <c r="CA186" i="1" s="1"/>
  <c r="CA206" i="1" s="1"/>
  <c r="DI213" i="9"/>
  <c r="DI215" i="9" s="1"/>
  <c r="J149" i="1"/>
  <c r="J186" i="1" s="1"/>
  <c r="J195" i="1" s="1"/>
  <c r="N149" i="1"/>
  <c r="N186" i="1" s="1"/>
  <c r="N195" i="1" s="1"/>
  <c r="CV113" i="1"/>
  <c r="V149" i="1"/>
  <c r="V186" i="1" s="1"/>
  <c r="V206" i="1" s="1"/>
  <c r="CO49" i="2"/>
  <c r="CU178" i="1"/>
  <c r="CI180" i="1"/>
  <c r="CU180" i="1" s="1"/>
  <c r="CU146" i="1"/>
  <c r="CI149" i="1"/>
  <c r="CI58" i="1"/>
  <c r="CI60" i="1" s="1"/>
  <c r="CU60" i="1" s="1"/>
  <c r="CU39" i="1"/>
  <c r="CU58" i="1" s="1"/>
  <c r="BO149" i="1"/>
  <c r="BO186" i="1" s="1"/>
  <c r="BO206" i="1" s="1"/>
  <c r="DG213" i="9"/>
  <c r="DG215" i="9" s="1"/>
  <c r="CZ146" i="1"/>
  <c r="CZ149" i="1" s="1"/>
  <c r="CZ186" i="1" s="1"/>
  <c r="BV58" i="1"/>
  <c r="BV60" i="1" s="1"/>
  <c r="CH60" i="1" s="1"/>
  <c r="CH39" i="1"/>
  <c r="CH58" i="1" s="1"/>
  <c r="BZ149" i="1"/>
  <c r="BZ186" i="1" s="1"/>
  <c r="BZ206" i="1" s="1"/>
  <c r="AC149" i="1"/>
  <c r="AC186" i="1" s="1"/>
  <c r="AC206" i="1" s="1"/>
  <c r="BU213" i="9"/>
  <c r="BU215" i="9" s="1"/>
  <c r="CY58" i="1"/>
  <c r="DH58" i="1" s="1"/>
  <c r="BL149" i="1"/>
  <c r="BL186" i="1" s="1"/>
  <c r="BL206" i="1" s="1"/>
  <c r="CW213" i="9"/>
  <c r="CW215" i="9" s="1"/>
  <c r="BP149" i="1"/>
  <c r="BP186" i="1" s="1"/>
  <c r="BP206" i="1" s="1"/>
  <c r="AD149" i="1"/>
  <c r="AD186" i="1" s="1"/>
  <c r="AD206" i="1" s="1"/>
  <c r="BS149" i="1"/>
  <c r="BS186" i="1" s="1"/>
  <c r="BS206" i="1" s="1"/>
  <c r="CG213" i="9"/>
  <c r="CG215" i="9" s="1"/>
  <c r="BU60" i="1"/>
  <c r="DC213" i="9"/>
  <c r="DC215" i="9" s="1"/>
  <c r="CU113" i="1"/>
  <c r="CN149" i="1"/>
  <c r="CN186" i="1" s="1"/>
  <c r="DA213" i="9"/>
  <c r="DA215" i="9" s="1"/>
  <c r="CV147" i="1"/>
  <c r="DH147" i="1" s="1"/>
  <c r="BV113" i="1"/>
  <c r="CS213" i="9" s="1"/>
  <c r="CS215" i="9" s="1"/>
  <c r="BU39" i="1"/>
  <c r="BU58" i="1" s="1"/>
  <c r="CE149" i="1"/>
  <c r="CE186" i="1" s="1"/>
  <c r="AW85" i="9"/>
  <c r="AW77" i="9"/>
  <c r="AX55" i="9"/>
  <c r="AV55" i="9"/>
  <c r="CU59" i="8"/>
  <c r="BU47" i="8"/>
  <c r="CA49" i="8"/>
  <c r="BI32" i="8"/>
  <c r="BC50" i="8"/>
  <c r="AA33" i="8"/>
  <c r="BI33" i="8"/>
  <c r="EK51" i="8"/>
  <c r="EK50" i="8"/>
  <c r="CI59" i="8"/>
  <c r="FK61" i="8"/>
  <c r="CA58" i="8"/>
  <c r="Y57" i="8"/>
  <c r="CL57" i="8"/>
  <c r="W49" i="8"/>
  <c r="CL51" i="8"/>
  <c r="DD59" i="8"/>
  <c r="BH39" i="8"/>
  <c r="DD50" i="8"/>
  <c r="BI27" i="8"/>
  <c r="AQ49" i="8"/>
  <c r="AA24" i="8"/>
  <c r="BI18" i="8"/>
  <c r="AY59" i="8"/>
  <c r="BK32" i="8"/>
  <c r="DD57" i="8"/>
  <c r="K49" i="8"/>
  <c r="BI57" i="8"/>
  <c r="DD47" i="8"/>
  <c r="IM33" i="8"/>
  <c r="BR39" i="8"/>
  <c r="BK22" i="8"/>
  <c r="BI35" i="8"/>
  <c r="BO35" i="8"/>
  <c r="BO24" i="8"/>
  <c r="BO18" i="8"/>
  <c r="BO23" i="8"/>
  <c r="BO21" i="8"/>
  <c r="BO27" i="8"/>
  <c r="BO22" i="8"/>
  <c r="AA34" i="8"/>
  <c r="DD49" i="8"/>
  <c r="BK21" i="8"/>
  <c r="BK23" i="8"/>
  <c r="AA57" i="8"/>
  <c r="AQ58" i="8"/>
  <c r="CI51" i="8"/>
  <c r="DD51" i="8"/>
  <c r="AI21" i="8"/>
  <c r="CU49" i="8"/>
  <c r="BK33" i="8"/>
  <c r="EK59" i="8"/>
  <c r="S47" i="8"/>
  <c r="AA59" i="8"/>
  <c r="DD52" i="8"/>
  <c r="IQ33" i="8"/>
  <c r="BK24" i="8"/>
  <c r="BC52" i="8"/>
  <c r="CA52" i="8"/>
  <c r="BA57" i="8"/>
  <c r="BK34" i="8"/>
  <c r="BJ39" i="8"/>
  <c r="FB61" i="8"/>
  <c r="AE52" i="8"/>
  <c r="BK18" i="8"/>
  <c r="CO58" i="8"/>
  <c r="EZ49" i="8"/>
  <c r="CI57" i="8"/>
  <c r="FE61" i="8"/>
  <c r="AA32" i="8"/>
  <c r="DA5" i="9"/>
  <c r="DA7" i="9" s="1"/>
  <c r="CW52" i="2"/>
  <c r="DA149" i="3"/>
  <c r="DA73" i="9"/>
  <c r="CW146" i="3"/>
  <c r="DA75" i="9" s="1"/>
  <c r="DA83" i="9" s="1"/>
  <c r="CO15" i="3"/>
  <c r="CO10" i="2" s="1"/>
  <c r="CO7" i="2" s="1"/>
  <c r="D86" i="10"/>
  <c r="F86" i="10" s="1"/>
  <c r="DM84" i="9"/>
  <c r="DM99" i="9"/>
  <c r="DM100" i="9" s="1"/>
  <c r="DE99" i="9"/>
  <c r="DE100" i="9" s="1"/>
  <c r="DE84" i="9"/>
  <c r="DQ54" i="9"/>
  <c r="DQ55" i="9" s="1"/>
  <c r="DQ37" i="9"/>
  <c r="DQ41" i="9" s="1"/>
  <c r="DQ42" i="9" s="1"/>
  <c r="CU54" i="9"/>
  <c r="CU29" i="9" s="1"/>
  <c r="CU30" i="9" s="1"/>
  <c r="CU37" i="9"/>
  <c r="CU41" i="9" s="1"/>
  <c r="CU42" i="9" s="1"/>
  <c r="M41" i="4"/>
  <c r="CQ54" i="9"/>
  <c r="CQ37" i="9"/>
  <c r="CQ41" i="9" s="1"/>
  <c r="CQ42" i="9" s="1"/>
  <c r="L42" i="4"/>
  <c r="D87" i="10"/>
  <c r="F87" i="10" s="1"/>
  <c r="CM15" i="3"/>
  <c r="BY54" i="9"/>
  <c r="BY29" i="9" s="1"/>
  <c r="BY30" i="9" s="1"/>
  <c r="BY37" i="9"/>
  <c r="BY41" i="9" s="1"/>
  <c r="BY42" i="9" s="1"/>
  <c r="CW73" i="9"/>
  <c r="CS146" i="3"/>
  <c r="BU84" i="9"/>
  <c r="BU99" i="9"/>
  <c r="BU100" i="9" s="1"/>
  <c r="L48" i="4"/>
  <c r="M38" i="4"/>
  <c r="CY99" i="9"/>
  <c r="CY100" i="9" s="1"/>
  <c r="CY84" i="9"/>
  <c r="CS54" i="9"/>
  <c r="CS29" i="9" s="1"/>
  <c r="CS30" i="9" s="1"/>
  <c r="CS37" i="9"/>
  <c r="CS41" i="9" s="1"/>
  <c r="CS42" i="9" s="1"/>
  <c r="CY131" i="3"/>
  <c r="CY134" i="3"/>
  <c r="CY23" i="2"/>
  <c r="CY19" i="2" s="1"/>
  <c r="DM54" i="9"/>
  <c r="DM55" i="9" s="1"/>
  <c r="DM37" i="9"/>
  <c r="DM41" i="9" s="1"/>
  <c r="DM42" i="9" s="1"/>
  <c r="DG73" i="9"/>
  <c r="DC146" i="3"/>
  <c r="DG75" i="9" s="1"/>
  <c r="DG83" i="9" s="1"/>
  <c r="CW5" i="9"/>
  <c r="CW7" i="9" s="1"/>
  <c r="CS52" i="2"/>
  <c r="BU54" i="9"/>
  <c r="BU29" i="9" s="1"/>
  <c r="BU30" i="9" s="1"/>
  <c r="BU37" i="9"/>
  <c r="DC134" i="3"/>
  <c r="DC131" i="3"/>
  <c r="DC23" i="2"/>
  <c r="DC19" i="2" s="1"/>
  <c r="L36" i="4"/>
  <c r="DQ5" i="9"/>
  <c r="DQ7" i="9" s="1"/>
  <c r="DM52" i="2"/>
  <c r="DG149" i="3"/>
  <c r="DA37" i="9"/>
  <c r="DA41" i="9" s="1"/>
  <c r="DA42" i="9" s="1"/>
  <c r="DA54" i="9"/>
  <c r="DA29" i="9" s="1"/>
  <c r="DA30" i="9" s="1"/>
  <c r="DK37" i="9"/>
  <c r="DK41" i="9" s="1"/>
  <c r="DK42" i="9" s="1"/>
  <c r="DK54" i="9"/>
  <c r="DK55" i="9" s="1"/>
  <c r="M37" i="4"/>
  <c r="L50" i="4"/>
  <c r="DO84" i="9"/>
  <c r="DO99" i="9"/>
  <c r="DO100" i="9" s="1"/>
  <c r="DI12" i="9"/>
  <c r="DI13" i="9" s="1"/>
  <c r="DI121" i="9"/>
  <c r="DI122" i="9" s="1"/>
  <c r="L46" i="4"/>
  <c r="DK84" i="9"/>
  <c r="DK99" i="9"/>
  <c r="DK100" i="9" s="1"/>
  <c r="D85" i="10"/>
  <c r="F85" i="10" s="1"/>
  <c r="CQ15" i="3"/>
  <c r="CQ10" i="2" s="1"/>
  <c r="CQ7" i="2" s="1"/>
  <c r="L35" i="4"/>
  <c r="DC53" i="9"/>
  <c r="DC115" i="9"/>
  <c r="DC116" i="9" s="1"/>
  <c r="DC110" i="9"/>
  <c r="DA53" i="9"/>
  <c r="DG121" i="9"/>
  <c r="DG122" i="9" s="1"/>
  <c r="DG23" i="9"/>
  <c r="DG24" i="9" s="1"/>
  <c r="DG12" i="9"/>
  <c r="DG53" i="9"/>
  <c r="DA110" i="9"/>
  <c r="DA115" i="9"/>
  <c r="DA116" i="9" s="1"/>
  <c r="CY53" i="9"/>
  <c r="K15" i="13"/>
  <c r="CM76" i="9"/>
  <c r="CM55" i="9"/>
  <c r="CQ85" i="9"/>
  <c r="DO12" i="9"/>
  <c r="DO13" i="9" s="1"/>
  <c r="DK33" i="2"/>
  <c r="CG76" i="9"/>
  <c r="CG55" i="9"/>
  <c r="DG115" i="9"/>
  <c r="DG116" i="9" s="1"/>
  <c r="DG110" i="9"/>
  <c r="DK76" i="9"/>
  <c r="DE13" i="9"/>
  <c r="DE53" i="9"/>
  <c r="DQ76" i="9"/>
  <c r="DI53" i="9"/>
  <c r="BY13" i="9"/>
  <c r="BY53" i="9"/>
  <c r="DC12" i="9"/>
  <c r="DC13" i="9" s="1"/>
  <c r="DC121" i="9"/>
  <c r="DC122" i="9" s="1"/>
  <c r="DC23" i="9"/>
  <c r="DC24" i="9" s="1"/>
  <c r="CW53" i="9"/>
  <c r="CO76" i="9"/>
  <c r="CO55" i="9"/>
  <c r="DI115" i="9"/>
  <c r="DI116" i="9" s="1"/>
  <c r="DI110" i="9"/>
  <c r="DK12" i="9"/>
  <c r="DK13" i="9" s="1"/>
  <c r="DM76" i="9"/>
  <c r="DO76" i="9"/>
  <c r="DO55" i="9"/>
  <c r="EW57" i="8"/>
  <c r="EW48" i="8"/>
  <c r="EW52" i="8"/>
  <c r="EW47" i="8"/>
  <c r="EW49" i="8"/>
  <c r="EW50" i="8"/>
  <c r="EW58" i="8"/>
  <c r="EW59" i="8"/>
  <c r="CG59" i="8"/>
  <c r="CG50" i="8"/>
  <c r="CG48" i="8"/>
  <c r="CG52" i="8"/>
  <c r="CG58" i="8"/>
  <c r="CG51" i="8"/>
  <c r="AT39" i="8"/>
  <c r="AU35" i="8"/>
  <c r="AU27" i="8"/>
  <c r="AU33" i="8"/>
  <c r="AU24" i="8"/>
  <c r="AU32" i="8"/>
  <c r="AU21" i="8"/>
  <c r="AU34" i="8"/>
  <c r="EQ29" i="8"/>
  <c r="EQ18" i="8"/>
  <c r="EQ24" i="8"/>
  <c r="EQ35" i="8"/>
  <c r="EQ34" i="8"/>
  <c r="EQ21" i="8"/>
  <c r="EQ33" i="8"/>
  <c r="EQ27" i="8"/>
  <c r="EB58" i="8"/>
  <c r="EB59" i="8"/>
  <c r="EB52" i="8"/>
  <c r="EB49" i="8"/>
  <c r="CX50" i="8"/>
  <c r="CX59" i="8"/>
  <c r="CX58" i="8"/>
  <c r="CX48" i="8"/>
  <c r="CX52" i="8"/>
  <c r="CX51" i="8"/>
  <c r="CX47" i="8"/>
  <c r="AG52" i="8"/>
  <c r="DJ34" i="8"/>
  <c r="DJ35" i="8"/>
  <c r="DJ18" i="8"/>
  <c r="DJ24" i="8"/>
  <c r="DJ21" i="8"/>
  <c r="DJ27" i="8"/>
  <c r="DJ33" i="8"/>
  <c r="CR58" i="8"/>
  <c r="CR59" i="8"/>
  <c r="CR50" i="8"/>
  <c r="CR48" i="8"/>
  <c r="CR51" i="8"/>
  <c r="CR52" i="8"/>
  <c r="CR49" i="8"/>
  <c r="CR47" i="8"/>
  <c r="EN51" i="8"/>
  <c r="EN59" i="8"/>
  <c r="EN47" i="8"/>
  <c r="EN52" i="8"/>
  <c r="EN50" i="8"/>
  <c r="EN49" i="8"/>
  <c r="EN48" i="8"/>
  <c r="BO52" i="8"/>
  <c r="CR57" i="8"/>
  <c r="M49" i="8"/>
  <c r="AM59" i="8"/>
  <c r="BI59" i="8"/>
  <c r="BI50" i="8"/>
  <c r="BI58" i="8"/>
  <c r="BI52" i="8"/>
  <c r="BI48" i="8"/>
  <c r="K59" i="8"/>
  <c r="CC50" i="8"/>
  <c r="AI49" i="8"/>
  <c r="CE47" i="8"/>
  <c r="BB39" i="8"/>
  <c r="BC21" i="8"/>
  <c r="BC35" i="8"/>
  <c r="BC34" i="8"/>
  <c r="BC33" i="8"/>
  <c r="BC32" i="8"/>
  <c r="BC18" i="8"/>
  <c r="BC27" i="8"/>
  <c r="G49" i="8"/>
  <c r="EQ32" i="8"/>
  <c r="CA48" i="8"/>
  <c r="T39" i="8"/>
  <c r="U35" i="8"/>
  <c r="U27" i="8"/>
  <c r="U24" i="8"/>
  <c r="U34" i="8"/>
  <c r="U32" i="8"/>
  <c r="U21" i="8"/>
  <c r="BY48" i="8"/>
  <c r="DA49" i="8"/>
  <c r="AP39" i="8"/>
  <c r="AQ35" i="8"/>
  <c r="AQ27" i="8"/>
  <c r="AQ33" i="8"/>
  <c r="AQ24" i="8"/>
  <c r="AQ34" i="8"/>
  <c r="AU48" i="8"/>
  <c r="EA171" i="8"/>
  <c r="EB35" i="8"/>
  <c r="EB33" i="8"/>
  <c r="EB21" i="8"/>
  <c r="EB27" i="8"/>
  <c r="EB34" i="8"/>
  <c r="EB29" i="8"/>
  <c r="EB18" i="8"/>
  <c r="EB24" i="8"/>
  <c r="G50" i="8"/>
  <c r="BY50" i="8"/>
  <c r="DI61" i="8"/>
  <c r="BC49" i="8"/>
  <c r="DG35" i="8"/>
  <c r="DG29" i="8"/>
  <c r="DG34" i="8"/>
  <c r="DG18" i="8"/>
  <c r="DG24" i="8"/>
  <c r="DG21" i="8"/>
  <c r="DG27" i="8"/>
  <c r="DG32" i="8"/>
  <c r="DG33" i="8"/>
  <c r="AM58" i="8"/>
  <c r="AM52" i="8"/>
  <c r="AM50" i="8"/>
  <c r="AM48" i="8"/>
  <c r="AM47" i="8"/>
  <c r="EB47" i="8"/>
  <c r="CI35" i="8"/>
  <c r="CI29" i="8"/>
  <c r="CI24" i="8"/>
  <c r="CI18" i="8"/>
  <c r="CI27" i="8"/>
  <c r="CI21" i="8"/>
  <c r="CH39" i="8"/>
  <c r="CI33" i="8"/>
  <c r="CI34" i="8"/>
  <c r="BQ58" i="8"/>
  <c r="BQ59" i="8"/>
  <c r="BQ52" i="8"/>
  <c r="BQ47" i="8"/>
  <c r="BS59" i="8"/>
  <c r="DA57" i="8"/>
  <c r="AI52" i="8"/>
  <c r="BQ57" i="8"/>
  <c r="DP59" i="8"/>
  <c r="DP52" i="8"/>
  <c r="DP51" i="8"/>
  <c r="DP58" i="8"/>
  <c r="DP48" i="8"/>
  <c r="AY58" i="8"/>
  <c r="AY52" i="8"/>
  <c r="AY50" i="8"/>
  <c r="AY48" i="8"/>
  <c r="AY49" i="8"/>
  <c r="GC50" i="8"/>
  <c r="GC61" i="8" s="1"/>
  <c r="CG49" i="8"/>
  <c r="G58" i="8"/>
  <c r="BM50" i="8"/>
  <c r="FT110" i="8"/>
  <c r="GM50" i="8"/>
  <c r="GM61" i="8" s="1"/>
  <c r="M52" i="8"/>
  <c r="I48" i="8"/>
  <c r="BC48" i="8"/>
  <c r="T56" i="8"/>
  <c r="T61" i="8" s="1"/>
  <c r="BA48" i="8"/>
  <c r="CD39" i="8"/>
  <c r="CE35" i="8"/>
  <c r="CE34" i="8"/>
  <c r="CE29" i="8"/>
  <c r="CE18" i="8"/>
  <c r="CE32" i="8"/>
  <c r="CE27" i="8"/>
  <c r="CE21" i="8"/>
  <c r="CE33" i="8"/>
  <c r="BQ48" i="8"/>
  <c r="DJ32" i="8"/>
  <c r="AC50" i="8"/>
  <c r="CR35" i="8"/>
  <c r="CR24" i="8"/>
  <c r="CR27" i="8"/>
  <c r="CR33" i="8"/>
  <c r="CR34" i="8"/>
  <c r="CR18" i="8"/>
  <c r="AG58" i="8"/>
  <c r="AG59" i="8"/>
  <c r="AG47" i="8"/>
  <c r="AU57" i="8"/>
  <c r="AU50" i="8"/>
  <c r="ED50" i="8"/>
  <c r="CT37" i="8"/>
  <c r="CU32" i="8" s="1"/>
  <c r="AS58" i="8"/>
  <c r="AS59" i="8"/>
  <c r="AS49" i="8"/>
  <c r="AS57" i="8"/>
  <c r="BS58" i="8"/>
  <c r="CE57" i="8"/>
  <c r="CE51" i="8"/>
  <c r="BC57" i="8"/>
  <c r="BC59" i="8"/>
  <c r="EB48" i="8"/>
  <c r="AU52" i="8"/>
  <c r="AK59" i="8"/>
  <c r="AK50" i="8"/>
  <c r="AK58" i="8"/>
  <c r="AK48" i="8"/>
  <c r="AG50" i="8"/>
  <c r="CC57" i="8"/>
  <c r="DD34" i="8"/>
  <c r="DD35" i="8"/>
  <c r="DD29" i="8"/>
  <c r="DD18" i="8"/>
  <c r="DD24" i="8"/>
  <c r="DD33" i="8"/>
  <c r="DD21" i="8"/>
  <c r="DD27" i="8"/>
  <c r="AS50" i="8"/>
  <c r="FI33" i="8"/>
  <c r="FI35" i="8"/>
  <c r="FI21" i="8"/>
  <c r="FI27" i="8"/>
  <c r="FI34" i="8"/>
  <c r="FI29" i="8"/>
  <c r="FI24" i="8"/>
  <c r="FI18" i="8"/>
  <c r="AU58" i="8"/>
  <c r="AC48" i="8"/>
  <c r="BS47" i="8"/>
  <c r="EZ47" i="8"/>
  <c r="AS48" i="8"/>
  <c r="DY35" i="8"/>
  <c r="DY34" i="8"/>
  <c r="DY21" i="8"/>
  <c r="DY33" i="8"/>
  <c r="DY27" i="8"/>
  <c r="DY24" i="8"/>
  <c r="DY29" i="8"/>
  <c r="DY18" i="8"/>
  <c r="ED37" i="8"/>
  <c r="EE32" i="8" s="1"/>
  <c r="EH59" i="8"/>
  <c r="EH50" i="8"/>
  <c r="EH47" i="8"/>
  <c r="EH52" i="8"/>
  <c r="EH58" i="8"/>
  <c r="EH51" i="8"/>
  <c r="EH48" i="8"/>
  <c r="ED56" i="8"/>
  <c r="BU59" i="8"/>
  <c r="BU50" i="8"/>
  <c r="BU58" i="8"/>
  <c r="BU48" i="8"/>
  <c r="DM36" i="2"/>
  <c r="DM35" i="2" s="1"/>
  <c r="BU52" i="8"/>
  <c r="BG57" i="8"/>
  <c r="BG47" i="8"/>
  <c r="CE58" i="8"/>
  <c r="CL58" i="8"/>
  <c r="CL59" i="8"/>
  <c r="CL52" i="8"/>
  <c r="CL47" i="8"/>
  <c r="I57" i="8"/>
  <c r="Q50" i="8"/>
  <c r="BY58" i="8"/>
  <c r="BY59" i="8"/>
  <c r="BY52" i="8"/>
  <c r="DI36" i="2"/>
  <c r="DI35" i="2" s="1"/>
  <c r="DA36" i="2"/>
  <c r="DA35" i="2" s="1"/>
  <c r="E48" i="8"/>
  <c r="AU47" i="8"/>
  <c r="BW33" i="8"/>
  <c r="BW35" i="8"/>
  <c r="BW34" i="8"/>
  <c r="BW21" i="8"/>
  <c r="BV39" i="8"/>
  <c r="BW29" i="8"/>
  <c r="BW27" i="8"/>
  <c r="BW18" i="8"/>
  <c r="BW24" i="8"/>
  <c r="CL49" i="8"/>
  <c r="AH39" i="8"/>
  <c r="AI35" i="8"/>
  <c r="AI34" i="8"/>
  <c r="AI27" i="8"/>
  <c r="AI33" i="8"/>
  <c r="AI24" i="8"/>
  <c r="BM48" i="8"/>
  <c r="AQ21" i="8"/>
  <c r="DY32" i="8"/>
  <c r="AI57" i="8"/>
  <c r="AM57" i="8"/>
  <c r="CI58" i="8"/>
  <c r="CI52" i="8"/>
  <c r="CI50" i="8"/>
  <c r="CI48" i="8"/>
  <c r="AG57" i="8"/>
  <c r="EW34" i="8"/>
  <c r="EW29" i="8"/>
  <c r="EW18" i="8"/>
  <c r="EW24" i="8"/>
  <c r="EW35" i="8"/>
  <c r="EW21" i="8"/>
  <c r="EW33" i="8"/>
  <c r="EW27" i="8"/>
  <c r="EW32" i="8"/>
  <c r="K48" i="8"/>
  <c r="BO50" i="8"/>
  <c r="DU37" i="8"/>
  <c r="CU51" i="8"/>
  <c r="CU48" i="8"/>
  <c r="CU47" i="8"/>
  <c r="CU50" i="8"/>
  <c r="DU56" i="8"/>
  <c r="DU61" i="8" s="1"/>
  <c r="O58" i="8"/>
  <c r="O52" i="8"/>
  <c r="O48" i="8"/>
  <c r="O50" i="8"/>
  <c r="O47" i="8"/>
  <c r="AS47" i="8"/>
  <c r="AK34" i="8"/>
  <c r="AJ39" i="8"/>
  <c r="AK21" i="8"/>
  <c r="AK32" i="8"/>
  <c r="AK27" i="8"/>
  <c r="AK33" i="8"/>
  <c r="AK24" i="8"/>
  <c r="AK35" i="8"/>
  <c r="AS52" i="8"/>
  <c r="CI32" i="8"/>
  <c r="AO65" i="8"/>
  <c r="AO68" i="8"/>
  <c r="AO74" i="8"/>
  <c r="AO72" i="8"/>
  <c r="AO66" i="8"/>
  <c r="EW51" i="8"/>
  <c r="AW59" i="8"/>
  <c r="AW50" i="8"/>
  <c r="AW58" i="8"/>
  <c r="AW48" i="8"/>
  <c r="AI74" i="8"/>
  <c r="AI66" i="8"/>
  <c r="AI65" i="8"/>
  <c r="AI68" i="8"/>
  <c r="AI72" i="8"/>
  <c r="AQ57" i="8"/>
  <c r="AQ59" i="8"/>
  <c r="AQ47" i="8"/>
  <c r="BM58" i="8"/>
  <c r="BM59" i="8"/>
  <c r="BM52" i="8"/>
  <c r="BM47" i="8"/>
  <c r="K57" i="8"/>
  <c r="AA58" i="8"/>
  <c r="AA50" i="8"/>
  <c r="AA48" i="8"/>
  <c r="CA57" i="8"/>
  <c r="CA59" i="8"/>
  <c r="CA50" i="8"/>
  <c r="DG36" i="2"/>
  <c r="DG35" i="2" s="1"/>
  <c r="DC36" i="2"/>
  <c r="DC35" i="2" s="1"/>
  <c r="AK49" i="8"/>
  <c r="AA52" i="8"/>
  <c r="BA58" i="8"/>
  <c r="BA52" i="8"/>
  <c r="BA49" i="8"/>
  <c r="BA59" i="8"/>
  <c r="CC47" i="8"/>
  <c r="AI47" i="8"/>
  <c r="BY34" i="8"/>
  <c r="BX39" i="8"/>
  <c r="BY33" i="8"/>
  <c r="BY29" i="8"/>
  <c r="BY35" i="8"/>
  <c r="BY18" i="8"/>
  <c r="BY21" i="8"/>
  <c r="BY27" i="8"/>
  <c r="AQ50" i="8"/>
  <c r="DP47" i="8"/>
  <c r="CU57" i="8"/>
  <c r="AY47" i="8"/>
  <c r="EK29" i="8"/>
  <c r="EK18" i="8"/>
  <c r="EK24" i="8"/>
  <c r="EK33" i="8"/>
  <c r="EK35" i="8"/>
  <c r="EK27" i="8"/>
  <c r="EK34" i="8"/>
  <c r="EK21" i="8"/>
  <c r="CE50" i="8"/>
  <c r="O57" i="8"/>
  <c r="BO48" i="8"/>
  <c r="Q48" i="8"/>
  <c r="I58" i="8"/>
  <c r="I59" i="8"/>
  <c r="I52" i="8"/>
  <c r="BW57" i="8"/>
  <c r="BU49" i="8"/>
  <c r="AI59" i="8"/>
  <c r="AU49" i="8"/>
  <c r="BM57" i="8"/>
  <c r="CG47" i="8"/>
  <c r="CO57" i="8"/>
  <c r="CO59" i="8"/>
  <c r="CO51" i="8"/>
  <c r="CO47" i="8"/>
  <c r="CO50" i="8"/>
  <c r="CO49" i="8"/>
  <c r="CO48" i="8"/>
  <c r="W57" i="8"/>
  <c r="W47" i="8"/>
  <c r="FT50" i="8"/>
  <c r="FT61" i="8" s="1"/>
  <c r="E58" i="8"/>
  <c r="E59" i="8"/>
  <c r="E52" i="8"/>
  <c r="K47" i="8"/>
  <c r="BY47" i="8"/>
  <c r="BK58" i="8"/>
  <c r="BK52" i="8"/>
  <c r="BK47" i="8"/>
  <c r="BK48" i="8"/>
  <c r="BK50" i="8"/>
  <c r="BW47" i="8"/>
  <c r="CG34" i="8"/>
  <c r="CF39" i="8"/>
  <c r="CG29" i="8"/>
  <c r="CG24" i="8"/>
  <c r="CG18" i="8"/>
  <c r="CG27" i="8"/>
  <c r="CG21" i="8"/>
  <c r="CG35" i="8"/>
  <c r="CG33" i="8"/>
  <c r="BG50" i="8"/>
  <c r="IO32" i="8"/>
  <c r="IO33" i="8" s="1"/>
  <c r="AQ48" i="8"/>
  <c r="CR29" i="8"/>
  <c r="CI47" i="8"/>
  <c r="BE34" i="8"/>
  <c r="BE21" i="8"/>
  <c r="BE35" i="8"/>
  <c r="BD39" i="8"/>
  <c r="BE27" i="8"/>
  <c r="BE24" i="8"/>
  <c r="BE33" i="8"/>
  <c r="DA58" i="8"/>
  <c r="DA52" i="8"/>
  <c r="DA48" i="8"/>
  <c r="DA51" i="8"/>
  <c r="DA47" i="8"/>
  <c r="DA50" i="8"/>
  <c r="FW110" i="8"/>
  <c r="Y59" i="8"/>
  <c r="Y50" i="8"/>
  <c r="Y52" i="8"/>
  <c r="Y48" i="8"/>
  <c r="Y58" i="8"/>
  <c r="EB57" i="8"/>
  <c r="DA59" i="8"/>
  <c r="Y47" i="8"/>
  <c r="I50" i="8"/>
  <c r="AO58" i="8"/>
  <c r="AO59" i="8"/>
  <c r="AO52" i="8"/>
  <c r="AO47" i="8"/>
  <c r="AE57" i="8"/>
  <c r="AE59" i="8"/>
  <c r="AE50" i="8"/>
  <c r="BG59" i="8"/>
  <c r="ES50" i="8"/>
  <c r="BG52" i="8"/>
  <c r="EZ58" i="8"/>
  <c r="EZ59" i="8"/>
  <c r="EZ48" i="8"/>
  <c r="EZ50" i="8"/>
  <c r="EZ52" i="8"/>
  <c r="AC58" i="8"/>
  <c r="AC59" i="8"/>
  <c r="AC52" i="8"/>
  <c r="BY49" i="8"/>
  <c r="BC47" i="8"/>
  <c r="BA47" i="8"/>
  <c r="E47" i="8"/>
  <c r="AO21" i="8"/>
  <c r="AO27" i="8"/>
  <c r="AO33" i="8"/>
  <c r="AO24" i="8"/>
  <c r="AO35" i="8"/>
  <c r="AN39" i="8"/>
  <c r="AO34" i="8"/>
  <c r="AI50" i="8"/>
  <c r="DL50" i="8"/>
  <c r="AQ32" i="8"/>
  <c r="BE18" i="8"/>
  <c r="BW58" i="8"/>
  <c r="BW52" i="8"/>
  <c r="BW50" i="8"/>
  <c r="BW48" i="8"/>
  <c r="DK36" i="2"/>
  <c r="DK35" i="2" s="1"/>
  <c r="CY36" i="2"/>
  <c r="CY35" i="2" s="1"/>
  <c r="DF52" i="8"/>
  <c r="CC58" i="8"/>
  <c r="CC59" i="8"/>
  <c r="CC51" i="8"/>
  <c r="CC52" i="8"/>
  <c r="DE36" i="2"/>
  <c r="DE35" i="2" s="1"/>
  <c r="BO57" i="8"/>
  <c r="BO59" i="8"/>
  <c r="BO47" i="8"/>
  <c r="FR57" i="8"/>
  <c r="Q58" i="8"/>
  <c r="Q52" i="8"/>
  <c r="Q59" i="8"/>
  <c r="Q47" i="8"/>
  <c r="Q49" i="8"/>
  <c r="AO57" i="8"/>
  <c r="K52" i="8"/>
  <c r="W52" i="8"/>
  <c r="AE49" i="8"/>
  <c r="ET35" i="8"/>
  <c r="ET34" i="8"/>
  <c r="ET29" i="8"/>
  <c r="ET18" i="8"/>
  <c r="ET24" i="8"/>
  <c r="ET32" i="8"/>
  <c r="ET21" i="8"/>
  <c r="ET33" i="8"/>
  <c r="ET27" i="8"/>
  <c r="AA49" i="8"/>
  <c r="FN50" i="8"/>
  <c r="BW49" i="8"/>
  <c r="I47" i="8"/>
  <c r="CO35" i="8"/>
  <c r="CO24" i="8"/>
  <c r="CO18" i="8"/>
  <c r="CO27" i="8"/>
  <c r="CO32" i="8"/>
  <c r="CO33" i="8"/>
  <c r="CO29" i="8"/>
  <c r="CO34" i="8"/>
  <c r="AE47" i="8"/>
  <c r="K50" i="8"/>
  <c r="AG49" i="8"/>
  <c r="CX49" i="8"/>
  <c r="DJ29" i="8"/>
  <c r="BW32" i="8"/>
  <c r="EK32" i="8"/>
  <c r="M59" i="8"/>
  <c r="M50" i="8"/>
  <c r="M58" i="8"/>
  <c r="M48" i="8"/>
  <c r="BD61" i="8"/>
  <c r="BS57" i="8"/>
  <c r="G57" i="8"/>
  <c r="G59" i="8"/>
  <c r="G47" i="8"/>
  <c r="FR59" i="8"/>
  <c r="FR52" i="8"/>
  <c r="FR50" i="8"/>
  <c r="FR47" i="8"/>
  <c r="FR48" i="8"/>
  <c r="Q57" i="8"/>
  <c r="BO58" i="8"/>
  <c r="EH49" i="8"/>
  <c r="FZ50" i="8"/>
  <c r="M57" i="8"/>
  <c r="DP50" i="8"/>
  <c r="CG57" i="8"/>
  <c r="AQ52" i="8"/>
  <c r="G52" i="8"/>
  <c r="I49" i="8"/>
  <c r="BS50" i="8"/>
  <c r="E49" i="8"/>
  <c r="AW49" i="8"/>
  <c r="O21" i="8"/>
  <c r="N39" i="8"/>
  <c r="O35" i="8"/>
  <c r="O27" i="8"/>
  <c r="O24" i="8"/>
  <c r="O34" i="8"/>
  <c r="O32" i="8"/>
  <c r="CL29" i="8"/>
  <c r="CL24" i="8"/>
  <c r="CL18" i="8"/>
  <c r="CL27" i="8"/>
  <c r="CL21" i="8"/>
  <c r="CL35" i="8"/>
  <c r="CL33" i="8"/>
  <c r="CL34" i="8"/>
  <c r="DA33" i="8"/>
  <c r="DA35" i="8"/>
  <c r="DA34" i="8"/>
  <c r="DA29" i="8"/>
  <c r="DA18" i="8"/>
  <c r="DA27" i="8"/>
  <c r="DA24" i="8"/>
  <c r="DA21" i="8"/>
  <c r="IA61" i="8"/>
  <c r="BO49" i="8"/>
  <c r="BW59" i="8"/>
  <c r="AW52" i="8"/>
  <c r="BY24" i="8"/>
  <c r="K26" i="4" l="1"/>
  <c r="K29" i="4" s="1"/>
  <c r="M48" i="4"/>
  <c r="M50" i="4"/>
  <c r="M35" i="4"/>
  <c r="M42" i="4"/>
  <c r="M46" i="4"/>
  <c r="M36" i="4"/>
  <c r="M40" i="4"/>
  <c r="DG13" i="9"/>
  <c r="I129" i="3"/>
  <c r="L39" i="4"/>
  <c r="L52" i="4" s="1"/>
  <c r="M17" i="9"/>
  <c r="M18" i="9" s="1"/>
  <c r="C26" i="13"/>
  <c r="C28" i="13" s="1"/>
  <c r="C30" i="13" s="1"/>
  <c r="Q18" i="9"/>
  <c r="O18" i="9"/>
  <c r="D26" i="13"/>
  <c r="D28" i="13" s="1"/>
  <c r="AA17" i="9"/>
  <c r="AA18" i="9" s="1"/>
  <c r="DV46" i="8"/>
  <c r="DV45" i="8"/>
  <c r="DV44" i="8"/>
  <c r="DV43" i="8"/>
  <c r="FF49" i="8"/>
  <c r="FF45" i="8"/>
  <c r="FF43" i="8"/>
  <c r="FF44" i="8"/>
  <c r="FF46" i="8"/>
  <c r="U45" i="8"/>
  <c r="U44" i="8"/>
  <c r="U46" i="8"/>
  <c r="U43" i="8"/>
  <c r="FX51" i="8"/>
  <c r="FX44" i="8"/>
  <c r="FX45" i="8"/>
  <c r="FX43" i="8"/>
  <c r="FX46" i="8"/>
  <c r="BE44" i="8"/>
  <c r="BE43" i="8"/>
  <c r="BE46" i="8"/>
  <c r="BE45" i="8"/>
  <c r="FC45" i="8"/>
  <c r="FC44" i="8"/>
  <c r="FC46" i="8"/>
  <c r="FC43" i="8"/>
  <c r="FI47" i="8"/>
  <c r="FI45" i="8"/>
  <c r="FI43" i="8"/>
  <c r="FI44" i="8"/>
  <c r="FI46" i="8"/>
  <c r="GN44" i="8"/>
  <c r="GN43" i="8"/>
  <c r="GN45" i="8"/>
  <c r="GN46" i="8"/>
  <c r="FU46" i="8"/>
  <c r="FU45" i="8"/>
  <c r="FU43" i="8"/>
  <c r="FU44" i="8"/>
  <c r="DJ51" i="8"/>
  <c r="DJ45" i="8"/>
  <c r="DJ43" i="8"/>
  <c r="DJ44" i="8"/>
  <c r="DJ46" i="8"/>
  <c r="DY51" i="8"/>
  <c r="DY46" i="8"/>
  <c r="DY45" i="8"/>
  <c r="DY43" i="8"/>
  <c r="DY44" i="8"/>
  <c r="FL48" i="8"/>
  <c r="FL45" i="8"/>
  <c r="FL46" i="8"/>
  <c r="FL44" i="8"/>
  <c r="FL43" i="8"/>
  <c r="IB50" i="8"/>
  <c r="IB45" i="8"/>
  <c r="IB44" i="8"/>
  <c r="IB43" i="8"/>
  <c r="IB46" i="8"/>
  <c r="GD51" i="8"/>
  <c r="GD44" i="8"/>
  <c r="GD43" i="8"/>
  <c r="GD45" i="8"/>
  <c r="GD46" i="8"/>
  <c r="DS46" i="8"/>
  <c r="DS45" i="8"/>
  <c r="DS44" i="8"/>
  <c r="DS43" i="8"/>
  <c r="DJ113" i="1"/>
  <c r="DJ146" i="1" s="1"/>
  <c r="DJ149" i="1" s="1"/>
  <c r="DJ186" i="1" s="1"/>
  <c r="DJ193" i="1" s="1"/>
  <c r="DK111" i="1"/>
  <c r="DK113" i="1" s="1"/>
  <c r="DK146" i="1" s="1"/>
  <c r="DK149" i="1" s="1"/>
  <c r="DK186" i="1" s="1"/>
  <c r="DK193" i="1" s="1"/>
  <c r="Y18" i="9"/>
  <c r="DI146" i="1"/>
  <c r="FX58" i="8"/>
  <c r="D83" i="10"/>
  <c r="F83" i="10" s="1"/>
  <c r="DE149" i="3"/>
  <c r="DA23" i="9"/>
  <c r="DA24" i="9" s="1"/>
  <c r="F26" i="13"/>
  <c r="F28" i="13" s="1"/>
  <c r="DA12" i="9"/>
  <c r="DA13" i="9" s="1"/>
  <c r="CS84" i="9"/>
  <c r="DA52" i="2"/>
  <c r="CQ75" i="9"/>
  <c r="CQ83" i="9" s="1"/>
  <c r="CQ84" i="9" s="1"/>
  <c r="CQ86" i="9" s="1"/>
  <c r="DA33" i="2"/>
  <c r="CW33" i="2"/>
  <c r="CS7" i="2"/>
  <c r="CW121" i="9" s="1"/>
  <c r="FF59" i="8"/>
  <c r="DC84" i="9"/>
  <c r="CV146" i="1"/>
  <c r="DH146" i="1" s="1"/>
  <c r="DH113" i="1"/>
  <c r="DI5" i="9"/>
  <c r="DI7" i="9" s="1"/>
  <c r="DE33" i="2"/>
  <c r="DG33" i="2"/>
  <c r="CY149" i="3"/>
  <c r="DB206" i="1"/>
  <c r="BU113" i="1"/>
  <c r="FX48" i="8"/>
  <c r="DS59" i="8"/>
  <c r="FX47" i="8"/>
  <c r="DS48" i="8"/>
  <c r="DS52" i="8"/>
  <c r="DS58" i="8"/>
  <c r="DS51" i="8"/>
  <c r="DI99" i="9"/>
  <c r="DI100" i="9" s="1"/>
  <c r="DG52" i="2"/>
  <c r="CU99" i="9"/>
  <c r="CU100" i="9" s="1"/>
  <c r="FI59" i="8"/>
  <c r="FI58" i="8"/>
  <c r="DY48" i="8"/>
  <c r="DY50" i="8"/>
  <c r="FI51" i="8"/>
  <c r="FI52" i="8"/>
  <c r="DY58" i="8"/>
  <c r="DS57" i="8"/>
  <c r="DY52" i="8"/>
  <c r="FI50" i="8"/>
  <c r="FI49" i="8"/>
  <c r="DY47" i="8"/>
  <c r="DY49" i="8"/>
  <c r="DY57" i="8"/>
  <c r="FI57" i="8"/>
  <c r="DY59" i="8"/>
  <c r="CG206" i="1"/>
  <c r="CK206" i="1"/>
  <c r="CF201" i="1"/>
  <c r="DA206" i="1"/>
  <c r="CY193" i="1"/>
  <c r="CW206" i="1"/>
  <c r="CX193" i="1"/>
  <c r="BY75" i="9"/>
  <c r="BY83" i="9" s="1"/>
  <c r="BU149" i="3"/>
  <c r="FX49" i="8"/>
  <c r="FX52" i="8"/>
  <c r="FX59" i="8"/>
  <c r="CX34" i="8"/>
  <c r="CX35" i="8"/>
  <c r="CX24" i="8"/>
  <c r="CX21" i="8"/>
  <c r="CX18" i="8"/>
  <c r="CX29" i="8"/>
  <c r="CX33" i="8"/>
  <c r="FX57" i="8"/>
  <c r="FX50" i="8"/>
  <c r="CX32" i="8"/>
  <c r="CQ206" i="1"/>
  <c r="CJ201" i="1"/>
  <c r="CO206" i="1"/>
  <c r="CR206" i="1"/>
  <c r="CM206" i="1"/>
  <c r="FC47" i="8"/>
  <c r="FC50" i="8"/>
  <c r="FF50" i="8"/>
  <c r="DS47" i="8"/>
  <c r="DS49" i="8"/>
  <c r="DS50" i="8"/>
  <c r="FL49" i="8"/>
  <c r="FL51" i="8"/>
  <c r="FL59" i="8"/>
  <c r="FL47" i="8"/>
  <c r="FF52" i="8"/>
  <c r="FL58" i="8"/>
  <c r="FL50" i="8"/>
  <c r="FF48" i="8"/>
  <c r="FF51" i="8"/>
  <c r="FF47" i="8"/>
  <c r="FC49" i="8"/>
  <c r="FC52" i="8"/>
  <c r="FL57" i="8"/>
  <c r="FC51" i="8"/>
  <c r="FF57" i="8"/>
  <c r="FI48" i="8"/>
  <c r="FL52" i="8"/>
  <c r="CS206" i="1"/>
  <c r="CU149" i="1"/>
  <c r="CU186" i="1" s="1"/>
  <c r="CI186" i="1"/>
  <c r="BU149" i="1"/>
  <c r="BU186" i="1" s="1"/>
  <c r="BU206" i="1" s="1"/>
  <c r="BI186" i="1"/>
  <c r="CL201" i="1"/>
  <c r="CL206" i="1"/>
  <c r="CN206" i="1"/>
  <c r="CN201" i="1"/>
  <c r="CE206" i="1"/>
  <c r="CE201" i="1"/>
  <c r="CQ213" i="9"/>
  <c r="CQ215" i="9" s="1"/>
  <c r="CO213" i="9"/>
  <c r="CO215" i="9" s="1"/>
  <c r="CH113" i="1"/>
  <c r="BV146" i="1"/>
  <c r="CZ193" i="1"/>
  <c r="CZ206" i="1"/>
  <c r="CT201" i="1"/>
  <c r="CT206" i="1"/>
  <c r="CY60" i="1"/>
  <c r="DH60" i="1" s="1"/>
  <c r="CP201" i="1"/>
  <c r="CP206" i="1"/>
  <c r="AX77" i="9"/>
  <c r="AV77" i="9"/>
  <c r="AW101" i="9"/>
  <c r="AW86" i="9"/>
  <c r="AW93" i="9"/>
  <c r="FC48" i="8"/>
  <c r="FC58" i="8"/>
  <c r="FC57" i="8"/>
  <c r="FC59" i="8"/>
  <c r="FF58" i="8"/>
  <c r="GD48" i="8"/>
  <c r="IT33" i="8"/>
  <c r="CW149" i="3"/>
  <c r="DC5" i="9"/>
  <c r="DC7" i="9" s="1"/>
  <c r="CY52" i="2"/>
  <c r="CS149" i="3"/>
  <c r="CW75" i="9"/>
  <c r="CW83" i="9" s="1"/>
  <c r="CQ29" i="9"/>
  <c r="CQ30" i="9" s="1"/>
  <c r="CQ55" i="9"/>
  <c r="BU41" i="9"/>
  <c r="BU42" i="9" s="1"/>
  <c r="CS12" i="9"/>
  <c r="CS121" i="9"/>
  <c r="CY12" i="9"/>
  <c r="CY13" i="9" s="1"/>
  <c r="CU33" i="2"/>
  <c r="CY23" i="9"/>
  <c r="CY24" i="9" s="1"/>
  <c r="CY121" i="9"/>
  <c r="DC52" i="2"/>
  <c r="DG5" i="9"/>
  <c r="DG7" i="9" s="1"/>
  <c r="CY33" i="2"/>
  <c r="CU12" i="9"/>
  <c r="CU121" i="9"/>
  <c r="CU122" i="9" s="1"/>
  <c r="DA99" i="9"/>
  <c r="DA100" i="9" s="1"/>
  <c r="DA84" i="9"/>
  <c r="DG99" i="9"/>
  <c r="DG100" i="9" s="1"/>
  <c r="DG84" i="9"/>
  <c r="DC149" i="3"/>
  <c r="DC33" i="2"/>
  <c r="CO77" i="9"/>
  <c r="CO85" i="9"/>
  <c r="DE76" i="9"/>
  <c r="DE55" i="9"/>
  <c r="CM77" i="9"/>
  <c r="CM85" i="9"/>
  <c r="CW76" i="9"/>
  <c r="CW55" i="9"/>
  <c r="CY55" i="9"/>
  <c r="CY76" i="9"/>
  <c r="DK77" i="9"/>
  <c r="DK85" i="9"/>
  <c r="BY76" i="9"/>
  <c r="BY55" i="9"/>
  <c r="DG76" i="9"/>
  <c r="DG55" i="9"/>
  <c r="DO77" i="9"/>
  <c r="DO85" i="9"/>
  <c r="DM77" i="9"/>
  <c r="DM85" i="9"/>
  <c r="CG77" i="9"/>
  <c r="CG85" i="9"/>
  <c r="DI55" i="9"/>
  <c r="DI76" i="9"/>
  <c r="DQ77" i="9"/>
  <c r="DQ85" i="9"/>
  <c r="CQ101" i="9"/>
  <c r="CQ93" i="9"/>
  <c r="DA55" i="9"/>
  <c r="DA76" i="9"/>
  <c r="DC55" i="9"/>
  <c r="DC76" i="9"/>
  <c r="DV24" i="8"/>
  <c r="DV34" i="8"/>
  <c r="DV21" i="8"/>
  <c r="DV27" i="8"/>
  <c r="DV18" i="8"/>
  <c r="DV29" i="8"/>
  <c r="DV33" i="8"/>
  <c r="DV35" i="8"/>
  <c r="FU52" i="8"/>
  <c r="FU58" i="8"/>
  <c r="FU49" i="8"/>
  <c r="FU47" i="8"/>
  <c r="FU57" i="8"/>
  <c r="FU51" i="8"/>
  <c r="FU59" i="8"/>
  <c r="DV58" i="8"/>
  <c r="DV49" i="8"/>
  <c r="DV52" i="8"/>
  <c r="DV57" i="8"/>
  <c r="DV51" i="8"/>
  <c r="DV47" i="8"/>
  <c r="DV48" i="8"/>
  <c r="GD59" i="8"/>
  <c r="GD52" i="8"/>
  <c r="GD47" i="8"/>
  <c r="GD58" i="8"/>
  <c r="GD49" i="8"/>
  <c r="GD57" i="8"/>
  <c r="FU48" i="8"/>
  <c r="DV59" i="8"/>
  <c r="U58" i="8"/>
  <c r="U49" i="8"/>
  <c r="U52" i="8"/>
  <c r="U47" i="8"/>
  <c r="U59" i="8"/>
  <c r="U48" i="8"/>
  <c r="U50" i="8"/>
  <c r="IB49" i="8"/>
  <c r="IB47" i="8"/>
  <c r="IB57" i="8"/>
  <c r="IB51" i="8"/>
  <c r="IB58" i="8"/>
  <c r="IB48" i="8"/>
  <c r="IB59" i="8"/>
  <c r="IB52" i="8"/>
  <c r="ES52" i="8"/>
  <c r="FU50" i="8"/>
  <c r="U57" i="8"/>
  <c r="DF54" i="8"/>
  <c r="DF61" i="8" s="1"/>
  <c r="ED61" i="8"/>
  <c r="GD50" i="8"/>
  <c r="DV32" i="8"/>
  <c r="ED171" i="8"/>
  <c r="EE21" i="8"/>
  <c r="EE27" i="8"/>
  <c r="EE29" i="8"/>
  <c r="EE18" i="8"/>
  <c r="EE24" i="8"/>
  <c r="EE35" i="8"/>
  <c r="EE34" i="8"/>
  <c r="EE33" i="8"/>
  <c r="CU35" i="8"/>
  <c r="CU21" i="8"/>
  <c r="CU27" i="8"/>
  <c r="CU33" i="8"/>
  <c r="CU34" i="8"/>
  <c r="CU29" i="8"/>
  <c r="CU18" i="8"/>
  <c r="CU24" i="8"/>
  <c r="BE58" i="8"/>
  <c r="BE59" i="8"/>
  <c r="BE49" i="8"/>
  <c r="BE52" i="8"/>
  <c r="BE50" i="8"/>
  <c r="BE47" i="8"/>
  <c r="BE57" i="8"/>
  <c r="BE48" i="8"/>
  <c r="FN61" i="8"/>
  <c r="DL52" i="8"/>
  <c r="DJ58" i="8"/>
  <c r="DJ59" i="8"/>
  <c r="DJ49" i="8"/>
  <c r="DJ48" i="8"/>
  <c r="DJ47" i="8"/>
  <c r="DJ57" i="8"/>
  <c r="DJ50" i="8"/>
  <c r="DJ52" i="8"/>
  <c r="DV50" i="8"/>
  <c r="FZ61" i="8"/>
  <c r="DU113" i="1" l="1"/>
  <c r="K54" i="4"/>
  <c r="M39" i="4"/>
  <c r="C129" i="3"/>
  <c r="C130" i="3"/>
  <c r="G129" i="3"/>
  <c r="K129" i="3"/>
  <c r="DU111" i="1"/>
  <c r="DG44" i="8"/>
  <c r="DG45" i="8"/>
  <c r="DG46" i="8"/>
  <c r="DG43" i="8"/>
  <c r="EE44" i="8"/>
  <c r="EE45" i="8"/>
  <c r="EE46" i="8"/>
  <c r="EE43" i="8"/>
  <c r="FO46" i="8"/>
  <c r="FO45" i="8"/>
  <c r="FO44" i="8"/>
  <c r="FO43" i="8"/>
  <c r="GA44" i="8"/>
  <c r="GA45" i="8"/>
  <c r="GA46" i="8"/>
  <c r="GA43" i="8"/>
  <c r="CQ77" i="9"/>
  <c r="DI149" i="1"/>
  <c r="DU146" i="1"/>
  <c r="CQ99" i="9"/>
  <c r="CQ100" i="9" s="1"/>
  <c r="CQ102" i="9" s="1"/>
  <c r="CW12" i="9"/>
  <c r="CW13" i="9" s="1"/>
  <c r="CW23" i="9"/>
  <c r="CW24" i="9" s="1"/>
  <c r="CS33" i="2"/>
  <c r="CV149" i="1"/>
  <c r="DH149" i="1" s="1"/>
  <c r="CY42" i="2"/>
  <c r="CY40" i="2" s="1"/>
  <c r="BU129" i="3"/>
  <c r="BQ129" i="3"/>
  <c r="BY84" i="9"/>
  <c r="BY99" i="9"/>
  <c r="BY100" i="9" s="1"/>
  <c r="BV149" i="1"/>
  <c r="CH146" i="1"/>
  <c r="CQ26" i="2"/>
  <c r="BI206" i="1"/>
  <c r="DA120" i="9"/>
  <c r="DA122" i="9" s="1"/>
  <c r="CW120" i="9"/>
  <c r="CW122" i="9" s="1"/>
  <c r="CY120" i="9"/>
  <c r="CY122" i="9" s="1"/>
  <c r="CI201" i="1"/>
  <c r="CI206" i="1"/>
  <c r="BQ26" i="2"/>
  <c r="BQ25" i="2" s="1"/>
  <c r="CU206" i="1"/>
  <c r="BU120" i="9"/>
  <c r="BU122" i="9" s="1"/>
  <c r="AX86" i="9"/>
  <c r="AV86" i="9"/>
  <c r="AW68" i="9"/>
  <c r="AW69" i="9" s="1"/>
  <c r="AW102" i="9"/>
  <c r="CW99" i="9"/>
  <c r="CW100" i="9" s="1"/>
  <c r="CW84" i="9"/>
  <c r="DQ93" i="9"/>
  <c r="DQ101" i="9"/>
  <c r="DQ86" i="9"/>
  <c r="CO93" i="9"/>
  <c r="CO101" i="9"/>
  <c r="CO86" i="9"/>
  <c r="CY77" i="9"/>
  <c r="CY85" i="9"/>
  <c r="CG93" i="9"/>
  <c r="CG101" i="9"/>
  <c r="CG86" i="9"/>
  <c r="DM93" i="9"/>
  <c r="DM101" i="9"/>
  <c r="DM86" i="9"/>
  <c r="DE77" i="9"/>
  <c r="DE85" i="9"/>
  <c r="DC77" i="9"/>
  <c r="DC85" i="9"/>
  <c r="DK93" i="9"/>
  <c r="DK101" i="9"/>
  <c r="DK86" i="9"/>
  <c r="D30" i="13"/>
  <c r="DO93" i="9"/>
  <c r="DO101" i="9"/>
  <c r="DO86" i="9"/>
  <c r="DA85" i="9"/>
  <c r="DA77" i="9"/>
  <c r="DG77" i="9"/>
  <c r="DG85" i="9"/>
  <c r="CW77" i="9"/>
  <c r="CW85" i="9"/>
  <c r="DI77" i="9"/>
  <c r="DI85" i="9"/>
  <c r="CM93" i="9"/>
  <c r="CM101" i="9"/>
  <c r="CM86" i="9"/>
  <c r="CQ68" i="9"/>
  <c r="CQ69" i="9" s="1"/>
  <c r="BY77" i="9"/>
  <c r="BY85" i="9"/>
  <c r="DG57" i="8"/>
  <c r="DG59" i="8"/>
  <c r="DG51" i="8"/>
  <c r="DG49" i="8"/>
  <c r="DG47" i="8"/>
  <c r="DG48" i="8"/>
  <c r="DG58" i="8"/>
  <c r="DG50" i="8"/>
  <c r="DG52" i="8"/>
  <c r="DL54" i="8"/>
  <c r="DL61" i="8" s="1"/>
  <c r="FO57" i="8"/>
  <c r="FO58" i="8"/>
  <c r="FO49" i="8"/>
  <c r="FO59" i="8"/>
  <c r="FO52" i="8"/>
  <c r="FO47" i="8"/>
  <c r="FO48" i="8"/>
  <c r="FO51" i="8"/>
  <c r="FO50" i="8"/>
  <c r="GN52" i="8"/>
  <c r="GN58" i="8"/>
  <c r="GN59" i="8"/>
  <c r="GN49" i="8"/>
  <c r="GN57" i="8"/>
  <c r="GN47" i="8"/>
  <c r="GN51" i="8"/>
  <c r="GN48" i="8"/>
  <c r="GN50" i="8"/>
  <c r="EE58" i="8"/>
  <c r="EE59" i="8"/>
  <c r="EE47" i="8"/>
  <c r="EE49" i="8"/>
  <c r="EE52" i="8"/>
  <c r="EE57" i="8"/>
  <c r="EE48" i="8"/>
  <c r="EE51" i="8"/>
  <c r="EE50" i="8"/>
  <c r="GA57" i="8"/>
  <c r="GA59" i="8"/>
  <c r="GA47" i="8"/>
  <c r="GA51" i="8"/>
  <c r="GA52" i="8"/>
  <c r="GA49" i="8"/>
  <c r="GA58" i="8"/>
  <c r="GA48" i="8"/>
  <c r="GA50" i="8"/>
  <c r="ES54" i="8"/>
  <c r="ES61" i="8" s="1"/>
  <c r="G130" i="3" l="1"/>
  <c r="I130" i="3"/>
  <c r="K130" i="3"/>
  <c r="ET52" i="8"/>
  <c r="ET46" i="8"/>
  <c r="ET44" i="8"/>
  <c r="ET43" i="8"/>
  <c r="ET45" i="8"/>
  <c r="DM45" i="8"/>
  <c r="DM43" i="8"/>
  <c r="DM44" i="8"/>
  <c r="DM46" i="8"/>
  <c r="DI186" i="1"/>
  <c r="DU186" i="1" s="1"/>
  <c r="DU149" i="1"/>
  <c r="CV186" i="1"/>
  <c r="BU130" i="3"/>
  <c r="BQ130" i="3"/>
  <c r="CQ25" i="2"/>
  <c r="CO27" i="2"/>
  <c r="BU109" i="9"/>
  <c r="BU6" i="9"/>
  <c r="BQ147" i="3"/>
  <c r="BQ149" i="3" s="1"/>
  <c r="BQ52" i="2"/>
  <c r="BQ33" i="2"/>
  <c r="BV186" i="1"/>
  <c r="CH149" i="1"/>
  <c r="CH186" i="1" s="1"/>
  <c r="CH206" i="1" s="1"/>
  <c r="AX69" i="9"/>
  <c r="AV69" i="9"/>
  <c r="DI93" i="9"/>
  <c r="DI101" i="9"/>
  <c r="DI86" i="9"/>
  <c r="DG93" i="9"/>
  <c r="DG101" i="9"/>
  <c r="DG86" i="9"/>
  <c r="CG68" i="9"/>
  <c r="CG69" i="9" s="1"/>
  <c r="CG102" i="9"/>
  <c r="CM68" i="9"/>
  <c r="CM69" i="9" s="1"/>
  <c r="CM102" i="9"/>
  <c r="DE93" i="9"/>
  <c r="DE101" i="9"/>
  <c r="DE86" i="9"/>
  <c r="DA93" i="9"/>
  <c r="DA101" i="9"/>
  <c r="DA86" i="9"/>
  <c r="DK102" i="9"/>
  <c r="DK68" i="9"/>
  <c r="DK69" i="9" s="1"/>
  <c r="CW86" i="9"/>
  <c r="CW101" i="9"/>
  <c r="CW93" i="9"/>
  <c r="E30" i="13"/>
  <c r="CY86" i="9"/>
  <c r="CY93" i="9"/>
  <c r="CY101" i="9"/>
  <c r="BY93" i="9"/>
  <c r="BY101" i="9"/>
  <c r="BY86" i="9"/>
  <c r="CO68" i="9"/>
  <c r="CO69" i="9" s="1"/>
  <c r="CO102" i="9"/>
  <c r="DM102" i="9"/>
  <c r="DM68" i="9"/>
  <c r="DM69" i="9" s="1"/>
  <c r="DO68" i="9"/>
  <c r="DO69" i="9" s="1"/>
  <c r="DO102" i="9"/>
  <c r="DC93" i="9"/>
  <c r="DC101" i="9"/>
  <c r="DC86" i="9"/>
  <c r="DQ68" i="9"/>
  <c r="DQ69" i="9" s="1"/>
  <c r="DQ102" i="9"/>
  <c r="ET58" i="8"/>
  <c r="ET59" i="8"/>
  <c r="ET47" i="8"/>
  <c r="ET51" i="8"/>
  <c r="ET49" i="8"/>
  <c r="ET57" i="8"/>
  <c r="ET48" i="8"/>
  <c r="ET50" i="8"/>
  <c r="DM57" i="8"/>
  <c r="DM47" i="8"/>
  <c r="DM49" i="8"/>
  <c r="DM59" i="8"/>
  <c r="DM58" i="8"/>
  <c r="DM48" i="8"/>
  <c r="DM51" i="8"/>
  <c r="DM50" i="8"/>
  <c r="DM52" i="8"/>
  <c r="E25" i="2" l="1"/>
  <c r="C26" i="2"/>
  <c r="E33" i="2"/>
  <c r="E52" i="2"/>
  <c r="E32" i="2"/>
  <c r="E147" i="3"/>
  <c r="E149" i="3" s="1"/>
  <c r="DI193" i="1"/>
  <c r="CV193" i="1"/>
  <c r="DH186" i="1"/>
  <c r="CV206" i="1"/>
  <c r="AC147" i="3"/>
  <c r="AC149" i="3" s="1"/>
  <c r="AE33" i="2"/>
  <c r="BU11" i="9"/>
  <c r="BU7" i="9"/>
  <c r="CS120" i="9"/>
  <c r="CS122" i="9" s="1"/>
  <c r="BV206" i="1"/>
  <c r="CO26" i="2"/>
  <c r="CO25" i="2" s="1"/>
  <c r="BY120" i="9"/>
  <c r="BY122" i="9" s="1"/>
  <c r="CQ120" i="9"/>
  <c r="CQ122" i="9" s="1"/>
  <c r="CM120" i="9"/>
  <c r="CM122" i="9" s="1"/>
  <c r="BU115" i="9"/>
  <c r="BU116" i="9" s="1"/>
  <c r="BU110" i="9"/>
  <c r="AE147" i="3"/>
  <c r="AE149" i="3" s="1"/>
  <c r="CQ147" i="3"/>
  <c r="CQ149" i="3" s="1"/>
  <c r="CU6" i="9"/>
  <c r="CQ52" i="2"/>
  <c r="CU109" i="9"/>
  <c r="CQ33" i="2"/>
  <c r="CU23" i="9"/>
  <c r="CU24" i="9" s="1"/>
  <c r="DC102" i="9"/>
  <c r="DC68" i="9"/>
  <c r="DC69" i="9" s="1"/>
  <c r="DE102" i="9"/>
  <c r="DE68" i="9"/>
  <c r="DE69" i="9" s="1"/>
  <c r="F30" i="13"/>
  <c r="BY68" i="9"/>
  <c r="BY69" i="9" s="1"/>
  <c r="BY102" i="9"/>
  <c r="CY68" i="9"/>
  <c r="CY69" i="9" s="1"/>
  <c r="CY102" i="9"/>
  <c r="DG102" i="9"/>
  <c r="DG68" i="9"/>
  <c r="DG69" i="9" s="1"/>
  <c r="CW68" i="9"/>
  <c r="CW69" i="9" s="1"/>
  <c r="CW102" i="9"/>
  <c r="DI102" i="9"/>
  <c r="DI68" i="9"/>
  <c r="DI69" i="9" s="1"/>
  <c r="DA68" i="9"/>
  <c r="DA69" i="9" s="1"/>
  <c r="DA102" i="9"/>
  <c r="K24" i="13" l="1"/>
  <c r="C25" i="2"/>
  <c r="CO52" i="2"/>
  <c r="CO147" i="3"/>
  <c r="CO149" i="3" s="1"/>
  <c r="CS6" i="9"/>
  <c r="CS109" i="9"/>
  <c r="CO33" i="2"/>
  <c r="CS23" i="9"/>
  <c r="CS24" i="9" s="1"/>
  <c r="CU110" i="9"/>
  <c r="CU115" i="9"/>
  <c r="CU116" i="9" s="1"/>
  <c r="BU53" i="9"/>
  <c r="BU13" i="9"/>
  <c r="CU11" i="9"/>
  <c r="CU7" i="9"/>
  <c r="G30" i="13"/>
  <c r="C147" i="3" l="1"/>
  <c r="C149" i="3" s="1"/>
  <c r="G109" i="9"/>
  <c r="C52" i="2"/>
  <c r="C33" i="2"/>
  <c r="C32" i="2"/>
  <c r="K109" i="9"/>
  <c r="I147" i="3"/>
  <c r="I149" i="3" s="1"/>
  <c r="M109" i="9"/>
  <c r="M6" i="9"/>
  <c r="O109" i="9"/>
  <c r="K147" i="3"/>
  <c r="K149" i="3" s="1"/>
  <c r="M147" i="3"/>
  <c r="M149" i="3" s="1"/>
  <c r="Q109" i="9"/>
  <c r="Q6" i="9"/>
  <c r="CU53" i="9"/>
  <c r="CU13" i="9"/>
  <c r="BU76" i="9"/>
  <c r="BU55" i="9"/>
  <c r="CS115" i="9"/>
  <c r="CS116" i="9" s="1"/>
  <c r="CS110" i="9"/>
  <c r="CS11" i="9"/>
  <c r="CS7" i="9"/>
  <c r="H30" i="13"/>
  <c r="G110" i="9" l="1"/>
  <c r="G115" i="9"/>
  <c r="G116" i="9" s="1"/>
  <c r="G7" i="9"/>
  <c r="G147" i="3"/>
  <c r="G149" i="3" s="1"/>
  <c r="K6" i="9"/>
  <c r="K11" i="9" s="1"/>
  <c r="K115" i="9"/>
  <c r="K116" i="9" s="1"/>
  <c r="K110" i="9"/>
  <c r="M11" i="9"/>
  <c r="M7" i="9"/>
  <c r="M115" i="9"/>
  <c r="M116" i="9" s="1"/>
  <c r="M110" i="9"/>
  <c r="O11" i="9"/>
  <c r="O7" i="9"/>
  <c r="O110" i="9"/>
  <c r="O115" i="9"/>
  <c r="O116" i="9" s="1"/>
  <c r="Q7" i="9"/>
  <c r="Q11" i="9"/>
  <c r="Q115" i="9"/>
  <c r="Q116" i="9" s="1"/>
  <c r="Q110" i="9"/>
  <c r="AA109" i="9"/>
  <c r="AA6" i="9"/>
  <c r="L24" i="13"/>
  <c r="M24" i="13" s="1"/>
  <c r="K26" i="13"/>
  <c r="K28" i="13" s="1"/>
  <c r="CS53" i="9"/>
  <c r="CS13" i="9"/>
  <c r="CU76" i="9"/>
  <c r="CU55" i="9"/>
  <c r="BU77" i="9"/>
  <c r="BU85" i="9"/>
  <c r="G53" i="9" l="1"/>
  <c r="G55" i="9" s="1"/>
  <c r="G13" i="9"/>
  <c r="K7" i="9"/>
  <c r="K53" i="9"/>
  <c r="K13" i="9"/>
  <c r="M53" i="9"/>
  <c r="M13" i="9"/>
  <c r="O53" i="9"/>
  <c r="O13" i="9"/>
  <c r="Q53" i="9"/>
  <c r="Q13" i="9"/>
  <c r="H31" i="13"/>
  <c r="K29" i="13"/>
  <c r="AA11" i="9"/>
  <c r="AA7" i="9"/>
  <c r="F29" i="13"/>
  <c r="G31" i="13"/>
  <c r="C29" i="13"/>
  <c r="C31" i="13"/>
  <c r="H29" i="13"/>
  <c r="D31" i="13"/>
  <c r="G29" i="13"/>
  <c r="F31" i="13"/>
  <c r="E29" i="13"/>
  <c r="E31" i="13"/>
  <c r="D29" i="13"/>
  <c r="J29" i="13"/>
  <c r="AA110" i="9"/>
  <c r="AA115" i="9"/>
  <c r="AA116" i="9" s="1"/>
  <c r="CS76" i="9"/>
  <c r="CS55" i="9"/>
  <c r="BU86" i="9"/>
  <c r="BU101" i="9"/>
  <c r="BU93" i="9"/>
  <c r="CU85" i="9"/>
  <c r="CU77" i="9"/>
  <c r="G76" i="9" l="1"/>
  <c r="K76" i="9"/>
  <c r="K55" i="9"/>
  <c r="M76" i="9"/>
  <c r="M55" i="9"/>
  <c r="O76" i="9"/>
  <c r="O55" i="9"/>
  <c r="Q55" i="9"/>
  <c r="Q76" i="9"/>
  <c r="AA53" i="9"/>
  <c r="AA13" i="9"/>
  <c r="CS77" i="9"/>
  <c r="CS85" i="9"/>
  <c r="CU101" i="9"/>
  <c r="CU93" i="9"/>
  <c r="CU86" i="9"/>
  <c r="BU68" i="9"/>
  <c r="BU69" i="9" s="1"/>
  <c r="BU102" i="9"/>
  <c r="G85" i="9" l="1"/>
  <c r="G77" i="9"/>
  <c r="K85" i="9"/>
  <c r="K77" i="9"/>
  <c r="M85" i="9"/>
  <c r="M77" i="9"/>
  <c r="O85" i="9"/>
  <c r="O77" i="9"/>
  <c r="Q85" i="9"/>
  <c r="Q77" i="9"/>
  <c r="AA55" i="9"/>
  <c r="AA76" i="9"/>
  <c r="CU102" i="9"/>
  <c r="CU68" i="9"/>
  <c r="CU69" i="9" s="1"/>
  <c r="CS101" i="9"/>
  <c r="CS93" i="9"/>
  <c r="CS86" i="9"/>
  <c r="G101" i="9" l="1"/>
  <c r="G86" i="9"/>
  <c r="G93" i="9"/>
  <c r="K93" i="9"/>
  <c r="K101" i="9"/>
  <c r="K86" i="9"/>
  <c r="M101" i="9"/>
  <c r="M86" i="9"/>
  <c r="M93" i="9"/>
  <c r="O93" i="9"/>
  <c r="O86" i="9"/>
  <c r="O101" i="9"/>
  <c r="Q93" i="9"/>
  <c r="Q101" i="9"/>
  <c r="Q86" i="9"/>
  <c r="AA85" i="9"/>
  <c r="AA77" i="9"/>
  <c r="CS102" i="9"/>
  <c r="CS68" i="9"/>
  <c r="CS69" i="9" s="1"/>
  <c r="GM110" i="8"/>
  <c r="GN92" i="8" s="1"/>
  <c r="G68" i="9" l="1"/>
  <c r="G69" i="9" s="1"/>
  <c r="G102" i="9"/>
  <c r="K68" i="9"/>
  <c r="K69" i="9" s="1"/>
  <c r="K102" i="9"/>
  <c r="M68" i="9"/>
  <c r="M69" i="9" s="1"/>
  <c r="M102" i="9"/>
  <c r="O68" i="9"/>
  <c r="O69" i="9" s="1"/>
  <c r="O102" i="9"/>
  <c r="Q68" i="9"/>
  <c r="Q69" i="9" s="1"/>
  <c r="Q102" i="9"/>
  <c r="AA93" i="9"/>
  <c r="AA101" i="9"/>
  <c r="AA86" i="9"/>
  <c r="GN108" i="8"/>
  <c r="GN103" i="8"/>
  <c r="GN90" i="8"/>
  <c r="GN97" i="8"/>
  <c r="GN91" i="8"/>
  <c r="GN106" i="8"/>
  <c r="GN100" i="8"/>
  <c r="GN95" i="8"/>
  <c r="GN102" i="8"/>
  <c r="GN94" i="8"/>
  <c r="GN96" i="8"/>
  <c r="GN105" i="8"/>
  <c r="GN101" i="8"/>
  <c r="GN104" i="8"/>
  <c r="GN107" i="8"/>
  <c r="GN109" i="8"/>
  <c r="GN99" i="8"/>
  <c r="GN98" i="8"/>
  <c r="GN93" i="8"/>
  <c r="AA68" i="9" l="1"/>
  <c r="AA69" i="9" s="1"/>
  <c r="AA102" i="9"/>
  <c r="L20" i="13"/>
  <c r="M20" i="13" s="1"/>
  <c r="GW157" i="8" l="1"/>
  <c r="GW153" i="8"/>
  <c r="GW126" i="8"/>
  <c r="GW172" i="8" s="1"/>
  <c r="GW159" i="8" l="1"/>
  <c r="L17" i="13"/>
  <c r="M17" i="13" s="1"/>
  <c r="I26" i="13"/>
  <c r="I28" i="13" s="1"/>
  <c r="L26" i="13" l="1"/>
  <c r="I29" i="13"/>
  <c r="I30" i="13"/>
  <c r="M27" i="13" l="1"/>
  <c r="L28" i="13"/>
  <c r="J30" i="13"/>
  <c r="I31" i="13"/>
  <c r="K30" i="13" l="1"/>
  <c r="K31" i="13" s="1"/>
  <c r="J3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tc={84C73E58-ABBB-4CD7-9E9E-06D89BE0E93D}</author>
  </authors>
  <commentList>
    <comment ref="I16" authorId="0" shapeId="0" xr:uid="{84C73E58-ABBB-4CD7-9E9E-06D89BE0E93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this quarter to align with Q4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Richard Duffy</author>
  </authors>
  <commentList>
    <comment ref="CQ47" authorId="0" shapeId="0" xr:uid="{551FDD0B-F73F-4AE9-91D2-D525B5445E18}">
      <text>
        <r>
          <rPr>
            <b/>
            <sz val="9"/>
            <color indexed="81"/>
            <rFont val="Tahoma"/>
            <family val="2"/>
          </rPr>
          <t>Richard Duffy:</t>
        </r>
        <r>
          <rPr>
            <sz val="9"/>
            <color indexed="81"/>
            <rFont val="Tahoma"/>
            <family val="2"/>
          </rPr>
          <t xml:space="preserve">
Tenant upgrade allowance invoiced in Feb of R140k causing negative here. Actual capex before this = R100k.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E22" authorId="0" shapeId="0" xr:uid="{00000000-0006-0000-0200-000002000000}">
      <text>
        <r>
          <rPr>
            <sz val="11"/>
            <color theme="1"/>
            <rFont val="Calibri"/>
            <family val="2"/>
          </rPr>
          <t>======
ID#AAAAVNuRANQ
Quentin    (2022-02-09 12:07:54)
Bank incorrectly duplicated FEC gains. Therefore indicating as owing to the bank. Corrected on 2 July.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tc={ED276B80-410B-4F0D-8D8E-CCA3BC49C605}</author>
  </authors>
  <commentList>
    <comment ref="HF39" authorId="0" shapeId="0" xr:uid="{ED276B80-410B-4F0D-8D8E-CCA3BC49C605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implementation of new ECL methodology</t>
      </text>
    </comment>
  </commentList>
</comments>
</file>

<file path=xl/sharedStrings.xml><?xml version="1.0" encoding="utf-8"?>
<sst xmlns="http://schemas.openxmlformats.org/spreadsheetml/2006/main" count="1407" uniqueCount="925">
  <si>
    <t>Profit &amp; Loss</t>
  </si>
  <si>
    <t>Lula Lend (Pty) Ltd</t>
  </si>
  <si>
    <t>For the month ended 28 February 2019</t>
  </si>
  <si>
    <t>YTD - Feb 16</t>
  </si>
  <si>
    <t>Dec-16</t>
  </si>
  <si>
    <t>Jan-17</t>
  </si>
  <si>
    <t>Feb-17</t>
  </si>
  <si>
    <t>YTD - Feb 17</t>
  </si>
  <si>
    <t>Mar-17</t>
  </si>
  <si>
    <t>Apr-17</t>
  </si>
  <si>
    <t>May-17</t>
  </si>
  <si>
    <t>June-17</t>
  </si>
  <si>
    <t>July-17</t>
  </si>
  <si>
    <t>Aug-17</t>
  </si>
  <si>
    <t>Sept-17</t>
  </si>
  <si>
    <t>Oct-17</t>
  </si>
  <si>
    <t>Nov-17</t>
  </si>
  <si>
    <t>Dec-17</t>
  </si>
  <si>
    <t>Jan-18</t>
  </si>
  <si>
    <t>Feb-18</t>
  </si>
  <si>
    <t>YTD - Feb 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</si>
  <si>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</si>
  <si>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</si>
  <si>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</si>
  <si>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</si>
  <si>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</si>
  <si>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</si>
  <si>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</si>
  <si>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</si>
  <si>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</si>
  <si>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</si>
  <si>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</si>
  <si>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</si>
  <si>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YTD - Feb 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</si>
  <si>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</si>
  <si>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</si>
  <si>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</si>
  <si>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</si>
  <si>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</si>
  <si>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</si>
  <si>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</si>
  <si>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</si>
  <si>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</si>
  <si>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</si>
  <si>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</si>
  <si>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</si>
  <si>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YTD - Feb 20</t>
  </si>
  <si>
    <t>YE Journals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</si>
  <si>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</si>
  <si>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</si>
  <si>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</si>
  <si>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</si>
  <si>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</si>
  <si>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</si>
  <si>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</si>
  <si>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</si>
  <si>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</si>
  <si>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</si>
  <si>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</si>
  <si>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</si>
  <si>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YTD - Feb 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</si>
  <si>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</si>
  <si>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</si>
  <si>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</si>
  <si>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</si>
  <si>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</si>
  <si>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</si>
  <si>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</si>
  <si>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</si>
  <si>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Dec-21</t>
  </si>
  <si>
    <t>Jan-22</t>
  </si>
  <si>
    <t>Income</t>
  </si>
  <si>
    <t>Fee Income</t>
  </si>
  <si>
    <t xml:space="preserve">      Net Impairment and Provision on Advances </t>
  </si>
  <si>
    <t xml:space="preserve">      Bad Debts Recovered</t>
  </si>
  <si>
    <t xml:space="preserve">      Default Advance  Provision </t>
  </si>
  <si>
    <t xml:space="preserve">      Default Advances Written Off</t>
  </si>
  <si>
    <t xml:space="preserve">      Net Interest Expense</t>
  </si>
  <si>
    <t xml:space="preserve">      Interest Expense: Commission</t>
  </si>
  <si>
    <t xml:space="preserve">      Interest Expense: Local</t>
  </si>
  <si>
    <t xml:space="preserve">      Interest Expense: Long-term Liabilities</t>
  </si>
  <si>
    <t xml:space="preserve">      Interest Income: Bank</t>
  </si>
  <si>
    <t xml:space="preserve">      Total Net Interest Expense</t>
  </si>
  <si>
    <t xml:space="preserve">   Total Default and Interest Charges</t>
  </si>
  <si>
    <t xml:space="preserve">   Other Charges</t>
  </si>
  <si>
    <t xml:space="preserve">      Fixed Charges</t>
  </si>
  <si>
    <t>Funding Expense (Guarantees and Upfront fees)</t>
  </si>
  <si>
    <t xml:space="preserve">      Variable Charges</t>
  </si>
  <si>
    <t xml:space="preserve">   Banking Fees - Intecon</t>
  </si>
  <si>
    <t xml:space="preserve">   Credit Assessments</t>
  </si>
  <si>
    <t>Total Cost of Sales</t>
  </si>
  <si>
    <t>Gross Profit</t>
  </si>
  <si>
    <t>Plus Other Income</t>
  </si>
  <si>
    <t xml:space="preserve">   Insurance Income</t>
  </si>
  <si>
    <t xml:space="preserve">   Share in JV Profits</t>
  </si>
  <si>
    <t xml:space="preserve">   Interest Income: JV Loan</t>
  </si>
  <si>
    <t xml:space="preserve">   Interest Income: Investment Account</t>
  </si>
  <si>
    <t xml:space="preserve">    Total Other Income</t>
  </si>
  <si>
    <t>Less Operating Expenses</t>
  </si>
  <si>
    <t xml:space="preserve">   General Admin</t>
  </si>
  <si>
    <t xml:space="preserve">   Bank Fees</t>
  </si>
  <si>
    <t xml:space="preserve">   Forex Charges</t>
  </si>
  <si>
    <t xml:space="preserve">   Insurance</t>
  </si>
  <si>
    <t xml:space="preserve">   Legal &amp; Accounting</t>
  </si>
  <si>
    <t xml:space="preserve">   Other Expenses - General</t>
  </si>
  <si>
    <t xml:space="preserve">   Statutory and Regulatory Expenses</t>
  </si>
  <si>
    <t xml:space="preserve">   Total General Admin</t>
  </si>
  <si>
    <t xml:space="preserve">   Other Marketing</t>
  </si>
  <si>
    <t xml:space="preserve">   Partner / Affiliate Commission</t>
  </si>
  <si>
    <t xml:space="preserve">   PPC Marketing</t>
  </si>
  <si>
    <t xml:space="preserve">   Social Marketing</t>
  </si>
  <si>
    <t xml:space="preserve">   Total Marketing</t>
  </si>
  <si>
    <t xml:space="preserve">   Design Fees</t>
  </si>
  <si>
    <t xml:space="preserve">   Other Payroll Costs (Consulting, recruitment)</t>
  </si>
  <si>
    <t xml:space="preserve">   PAYE/UIF/SDL company contribution</t>
  </si>
  <si>
    <t xml:space="preserve">   Salaries</t>
  </si>
  <si>
    <t xml:space="preserve">   Rental &amp; Communication</t>
  </si>
  <si>
    <t xml:space="preserve">   Building &amp; Bandwidth</t>
  </si>
  <si>
    <t xml:space="preserve">   Depreciation - Right Of Use Asset</t>
  </si>
  <si>
    <t xml:space="preserve">   Land Line &amp; Installation Fees</t>
  </si>
  <si>
    <t xml:space="preserve">   License Fees: Yodlee, SME finance association</t>
  </si>
  <si>
    <t xml:space="preserve">   Total Rental &amp; Communication</t>
  </si>
  <si>
    <t xml:space="preserve">   Travel</t>
  </si>
  <si>
    <t xml:space="preserve">   Travel - Sales Team &amp; Execs</t>
  </si>
  <si>
    <t xml:space="preserve">   Total Travel</t>
  </si>
  <si>
    <t>Non-operating Income</t>
  </si>
  <si>
    <t>Unrealised / realised Currency</t>
  </si>
  <si>
    <t>Non-operating Expenses</t>
  </si>
  <si>
    <t xml:space="preserve">   IFRS Adjustments</t>
  </si>
  <si>
    <t xml:space="preserve">   Total IFRS Adjustments</t>
  </si>
  <si>
    <t>Total Non-operating Expenses</t>
  </si>
  <si>
    <t xml:space="preserve">   Taxation</t>
  </si>
  <si>
    <t xml:space="preserve">    Deferred Tax - Income movement</t>
  </si>
  <si>
    <t xml:space="preserve">    Income Tax - Income movement</t>
  </si>
  <si>
    <t>Net Profit</t>
  </si>
  <si>
    <t>Cash</t>
  </si>
  <si>
    <t>Cash received</t>
  </si>
  <si>
    <t>Cash spent</t>
  </si>
  <si>
    <t>Cash Movement - surplus (deficit)</t>
  </si>
  <si>
    <t>Closing bank balance</t>
  </si>
  <si>
    <t>Burnrate</t>
  </si>
  <si>
    <t>Net profit</t>
  </si>
  <si>
    <t>Adjustments</t>
  </si>
  <si>
    <t>IFRS adjustments</t>
  </si>
  <si>
    <t>FX adjustment</t>
  </si>
  <si>
    <t>Intangibles</t>
  </si>
  <si>
    <t>Balance Sheet</t>
  </si>
  <si>
    <t>Note</t>
  </si>
  <si>
    <t>31 Jan 2022</t>
  </si>
  <si>
    <t>31 Dec 2021</t>
  </si>
  <si>
    <t>30 Nov 2021</t>
  </si>
  <si>
    <t>31 Oct 2021</t>
  </si>
  <si>
    <t>30 Sep 2021</t>
  </si>
  <si>
    <t>31 Aug 2021</t>
  </si>
  <si>
    <t>31 Jul 2021</t>
  </si>
  <si>
    <t>30 Jun 2021</t>
  </si>
  <si>
    <t>31 May 2021</t>
  </si>
  <si>
    <t>30 April 2021</t>
  </si>
  <si>
    <t>31 March 2021</t>
  </si>
  <si>
    <t>28 February 2021</t>
  </si>
  <si>
    <t>31 January 2021</t>
  </si>
  <si>
    <t>31 December 2020</t>
  </si>
  <si>
    <t>30 November 2020</t>
  </si>
  <si>
    <t>31 October 2020</t>
  </si>
  <si>
    <t>30 September 2020</t>
  </si>
  <si>
    <t>31 August 2020</t>
  </si>
  <si>
    <t>31 July 2020</t>
  </si>
  <si>
    <t>30 June 2020</t>
  </si>
  <si>
    <t>31 May 2020</t>
  </si>
  <si>
    <t>30 April 2020</t>
  </si>
  <si>
    <t>31 March 2020</t>
  </si>
  <si>
    <t>29 February 2020</t>
  </si>
  <si>
    <t>31 January 2020</t>
  </si>
  <si>
    <t>31 December 2019</t>
  </si>
  <si>
    <t>30 November 2019</t>
  </si>
  <si>
    <t>31 October 2019</t>
  </si>
  <si>
    <t>30 September 2019</t>
  </si>
  <si>
    <t>31 August 2019</t>
  </si>
  <si>
    <t>31 July 2019</t>
  </si>
  <si>
    <t>30 June 2019</t>
  </si>
  <si>
    <t>31 May 2019</t>
  </si>
  <si>
    <t>30 April 2019</t>
  </si>
  <si>
    <t>31 March 2019</t>
  </si>
  <si>
    <t>28 February 2019</t>
  </si>
  <si>
    <t>31 January 2019</t>
  </si>
  <si>
    <t>31 December 2018</t>
  </si>
  <si>
    <t>30 November 2018</t>
  </si>
  <si>
    <t>31 October 2018</t>
  </si>
  <si>
    <t>30 September 2018</t>
  </si>
  <si>
    <t>31 August 2018</t>
  </si>
  <si>
    <t>31 July 2018</t>
  </si>
  <si>
    <t>30 June 2018</t>
  </si>
  <si>
    <t>31 May 2018</t>
  </si>
  <si>
    <t>30 April 2018</t>
  </si>
  <si>
    <t>31 March 2018</t>
  </si>
  <si>
    <t>28 February 2018</t>
  </si>
  <si>
    <t>31 January 2018</t>
  </si>
  <si>
    <t>31 December 2017</t>
  </si>
  <si>
    <t>30 November 2017</t>
  </si>
  <si>
    <t>31 October 2017</t>
  </si>
  <si>
    <t>30 September 2017</t>
  </si>
  <si>
    <t>31 August 2017</t>
  </si>
  <si>
    <t>31 July 2017</t>
  </si>
  <si>
    <t>30 June 2017</t>
  </si>
  <si>
    <t>31 May 2017</t>
  </si>
  <si>
    <t>30 Apr 2017</t>
  </si>
  <si>
    <t>31 Mar 2017</t>
  </si>
  <si>
    <t>28 Feb 2017</t>
  </si>
  <si>
    <t>Assets</t>
  </si>
  <si>
    <t>Bank</t>
  </si>
  <si>
    <t>Investment Accounts</t>
  </si>
  <si>
    <t>5.</t>
  </si>
  <si>
    <t>Advances (Net)</t>
  </si>
  <si>
    <t>1.3</t>
  </si>
  <si>
    <t xml:space="preserve">   Gross loan book (after WO)</t>
  </si>
  <si>
    <t xml:space="preserve">   Provision for default</t>
  </si>
  <si>
    <t>Other Receivables</t>
  </si>
  <si>
    <t>2.</t>
  </si>
  <si>
    <t>Fixed Assets</t>
  </si>
  <si>
    <t>3.</t>
  </si>
  <si>
    <t>4.</t>
  </si>
  <si>
    <t>Right of Use Asset - lease</t>
  </si>
  <si>
    <t>Deferred Tax Asset</t>
  </si>
  <si>
    <t/>
  </si>
  <si>
    <t>Liabilities</t>
  </si>
  <si>
    <t>Lease Liabilities</t>
  </si>
  <si>
    <t>Other payables</t>
  </si>
  <si>
    <t>6.</t>
  </si>
  <si>
    <t>Shareholders/Directors Loan</t>
  </si>
  <si>
    <t>7.</t>
  </si>
  <si>
    <t>Loans</t>
  </si>
  <si>
    <t>8.</t>
  </si>
  <si>
    <t>Equity</t>
  </si>
  <si>
    <t>Current Year Earnings</t>
  </si>
  <si>
    <t>Retained Earnings</t>
  </si>
  <si>
    <t>Other Comprehensive Reserve</t>
  </si>
  <si>
    <t>Share in joint operation</t>
  </si>
  <si>
    <t>Share Acquisition</t>
  </si>
  <si>
    <t>Current Assets</t>
  </si>
  <si>
    <r>
      <rPr>
        <sz val="10"/>
        <color rgb="FF3F3F3F"/>
        <rFont val="Calibri"/>
        <family val="2"/>
      </rPr>
      <t xml:space="preserve">GLP maturing within </t>
    </r>
    <r>
      <rPr>
        <u/>
        <sz val="10"/>
        <color rgb="FF3F3F3F"/>
        <rFont val="Calibri Light"/>
        <family val="2"/>
      </rPr>
      <t>3 months</t>
    </r>
  </si>
  <si>
    <t>Current Liabilities</t>
  </si>
  <si>
    <t>Trade payables</t>
  </si>
  <si>
    <t>Monitors</t>
  </si>
  <si>
    <t>CAPEX:</t>
  </si>
  <si>
    <t>Fixed assets</t>
  </si>
  <si>
    <t xml:space="preserve">  Total</t>
  </si>
  <si>
    <t>Ratios and percentages:</t>
  </si>
  <si>
    <t>Debt/equity ratio</t>
  </si>
  <si>
    <t>PAR&gt;30 days + restructured loans/gross advances</t>
  </si>
  <si>
    <t>Provision for default / GLP</t>
  </si>
  <si>
    <t>Monthly APR - gross GLP</t>
  </si>
  <si>
    <t>NOTES</t>
  </si>
  <si>
    <t>31-Jan-22</t>
  </si>
  <si>
    <t>31-Dec-21</t>
  </si>
  <si>
    <t>30-Nov-21</t>
  </si>
  <si>
    <t>31-Oct-21</t>
  </si>
  <si>
    <t>30-Sep-21</t>
  </si>
  <si>
    <t>31-Aug-21</t>
  </si>
  <si>
    <t>31-Jul-21</t>
  </si>
  <si>
    <t>30-Jun-21</t>
  </si>
  <si>
    <t>31-May-21</t>
  </si>
  <si>
    <t>30-Apr-21</t>
  </si>
  <si>
    <t>31-Mar-21</t>
  </si>
  <si>
    <t>28-Feb-21</t>
  </si>
  <si>
    <t>31-Jan-21</t>
  </si>
  <si>
    <t>31-Dec-20</t>
  </si>
  <si>
    <t>30-Nov-20</t>
  </si>
  <si>
    <t>31-Oct-20</t>
  </si>
  <si>
    <t>30-Sep-20</t>
  </si>
  <si>
    <t>31-Aug-20</t>
  </si>
  <si>
    <t>31-July-20</t>
  </si>
  <si>
    <t>30-June-20</t>
  </si>
  <si>
    <t>31-May-20</t>
  </si>
  <si>
    <t>30-Apr-20</t>
  </si>
  <si>
    <t>31-Mar-20</t>
  </si>
  <si>
    <t>29-Feb-20</t>
  </si>
  <si>
    <t>31-Jan-20</t>
  </si>
  <si>
    <t>31-Dec-19</t>
  </si>
  <si>
    <t>30-Nov-19</t>
  </si>
  <si>
    <t>31-Oct-19</t>
  </si>
  <si>
    <t>30-Sep-19</t>
  </si>
  <si>
    <t>31-Aug-19</t>
  </si>
  <si>
    <t>31-Jul-19</t>
  </si>
  <si>
    <t>30-Jun-19</t>
  </si>
  <si>
    <t>31-May-19</t>
  </si>
  <si>
    <t>30-Apr-19</t>
  </si>
  <si>
    <t>31-Mar-19</t>
  </si>
  <si>
    <t>28-Feb-19</t>
  </si>
  <si>
    <t>31-Jan-19</t>
  </si>
  <si>
    <t>31-Dec-18</t>
  </si>
  <si>
    <t>30-Nov-18</t>
  </si>
  <si>
    <t>31-Oct-18</t>
  </si>
  <si>
    <t>30-Sep-18</t>
  </si>
  <si>
    <t>31-Aug-18</t>
  </si>
  <si>
    <t>30-Jun-18</t>
  </si>
  <si>
    <t>31-May-18</t>
  </si>
  <si>
    <t xml:space="preserve">Advances </t>
  </si>
  <si>
    <t>Total Outstanding Advances</t>
  </si>
  <si>
    <t>Loan Written Off</t>
  </si>
  <si>
    <t xml:space="preserve">  Gross Advances (GLP)</t>
  </si>
  <si>
    <t xml:space="preserve">Provision for Default </t>
  </si>
  <si>
    <t>Revenue due on overdue advances</t>
  </si>
  <si>
    <t>Advance Register (Accrued Income)</t>
  </si>
  <si>
    <t>Provision for Defaults (Revenue Portion)</t>
  </si>
  <si>
    <t>Total Advances (net)</t>
  </si>
  <si>
    <t>Rental Deposit</t>
  </si>
  <si>
    <t>Investment in Yoco JV</t>
  </si>
  <si>
    <t>Yoco JV Loan (Yoco BCA)</t>
  </si>
  <si>
    <t>Pending Cash Clearance</t>
  </si>
  <si>
    <t>Accrued income</t>
  </si>
  <si>
    <t>Other receivables</t>
  </si>
  <si>
    <t>Petty cash</t>
  </si>
  <si>
    <t>Computer Equipment</t>
  </si>
  <si>
    <t>Leasehold Improvements</t>
  </si>
  <si>
    <t>Office Equipment</t>
  </si>
  <si>
    <t xml:space="preserve">   LL Credit</t>
  </si>
  <si>
    <t xml:space="preserve">   LL Connect</t>
  </si>
  <si>
    <t>Pending equity receipts:</t>
  </si>
  <si>
    <t>Quona</t>
  </si>
  <si>
    <t>IFC</t>
  </si>
  <si>
    <t xml:space="preserve">  Total pending equity receipts</t>
  </si>
  <si>
    <t>Investment accounts</t>
  </si>
  <si>
    <t>VAT Payable</t>
  </si>
  <si>
    <t>Income tax</t>
  </si>
  <si>
    <t>Income Received in Advance</t>
  </si>
  <si>
    <t>Provision for leave</t>
  </si>
  <si>
    <t>Foreign Exchange Contract</t>
  </si>
  <si>
    <t>Refund to client on overpayment</t>
  </si>
  <si>
    <t>Suspense</t>
  </si>
  <si>
    <t>Suspense: Partner Receipts</t>
  </si>
  <si>
    <t>Unpaid Expense Claim</t>
  </si>
  <si>
    <t>Yoco JV profits due to Yoco</t>
  </si>
  <si>
    <t>Dividends Withholding Liability</t>
  </si>
  <si>
    <t>Lutz - translation costs covered</t>
  </si>
  <si>
    <t>Lutz - translation costs covered (Sep16)</t>
  </si>
  <si>
    <t>Dr Peter Bibiza</t>
  </si>
  <si>
    <t>Long-term Liabilities</t>
  </si>
  <si>
    <t>Dr Peter Bibiza (Loan + Interest)</t>
  </si>
  <si>
    <t>Elfriede Schuetz</t>
  </si>
  <si>
    <t>Elfriede Schuetz (Loan + Interest)</t>
  </si>
  <si>
    <t>Werner Bartl</t>
  </si>
  <si>
    <t>Ludwig Kommenda</t>
  </si>
  <si>
    <t>Tally Einav</t>
  </si>
  <si>
    <t>AM mondorf</t>
  </si>
  <si>
    <t>Eva Hieblinger-Shuetz</t>
  </si>
  <si>
    <t>Hallman Holding - USD loan</t>
  </si>
  <si>
    <t>Hallman Holding - ZAR loan</t>
  </si>
  <si>
    <t>A M Mondorf</t>
  </si>
  <si>
    <t>Shareholder - Trevor</t>
  </si>
  <si>
    <t>Team Africa Ventures</t>
  </si>
  <si>
    <t>PG Impact</t>
  </si>
  <si>
    <t>Regmifa (Symbiotics loan) - Principle - ZAR</t>
  </si>
  <si>
    <t>Regmifa (Symbiotics loan) - Interest - USD</t>
  </si>
  <si>
    <t>Loan: Regional MSME Investment SICAV</t>
  </si>
  <si>
    <t>Loan: Symbiotics SICAV (Lux)</t>
  </si>
  <si>
    <t>Loan: Regional MSME Investment SICAV - Loan 2</t>
  </si>
  <si>
    <t>Loan: Symbiotics SICAV (Lux) - Loan 2</t>
  </si>
  <si>
    <t>Lendahand</t>
  </si>
  <si>
    <t>Tiple SA</t>
  </si>
  <si>
    <t>Allan Gray</t>
  </si>
  <si>
    <t>Loan: Convertible loan (initial transaction costs)</t>
  </si>
  <si>
    <t>Sarona</t>
  </si>
  <si>
    <t>Triodos</t>
  </si>
  <si>
    <t>Norfund facility A</t>
  </si>
  <si>
    <t>Responsibility - 2nd loan</t>
  </si>
  <si>
    <t>Responsibility - 3rd loan</t>
  </si>
  <si>
    <t>Current loans</t>
  </si>
  <si>
    <t>Non-current loans</t>
  </si>
  <si>
    <t>FX</t>
  </si>
  <si>
    <t>ZAR</t>
  </si>
  <si>
    <t>Net movement in funding - received/(paid)</t>
  </si>
  <si>
    <t>FEC covered funding</t>
  </si>
  <si>
    <t>Eva Hieblinger-Schuetz</t>
  </si>
  <si>
    <t>FX not hedged by FECs</t>
  </si>
  <si>
    <t>FX exposure over equity</t>
  </si>
  <si>
    <t xml:space="preserve">USD rate </t>
  </si>
  <si>
    <t>EUR rate</t>
  </si>
  <si>
    <t>FUNDING SOURCE</t>
  </si>
  <si>
    <t xml:space="preserve">ZAR </t>
  </si>
  <si>
    <t xml:space="preserve">MATURITY </t>
  </si>
  <si>
    <t>INTEREST RATE</t>
  </si>
  <si>
    <t>TERMS</t>
  </si>
  <si>
    <t>Lender  Name                                                                                          (As Stated in the Loan Agreement)</t>
  </si>
  <si>
    <t>Currency</t>
  </si>
  <si>
    <t>Outstanding Amount - principle</t>
  </si>
  <si>
    <t>Outstanding Amount - interest</t>
  </si>
  <si>
    <t>Outstanding Amount - total</t>
  </si>
  <si>
    <t>FEC taken out?</t>
  </si>
  <si>
    <t>Outstanding Amount - principle ZAR</t>
  </si>
  <si>
    <t>Outstanding Amount - interest ZAR</t>
  </si>
  <si>
    <t>Outstanding Amount - total ZAR</t>
  </si>
  <si>
    <t>Start Date</t>
  </si>
  <si>
    <t>End Date</t>
  </si>
  <si>
    <t>If Fixed Rate</t>
  </si>
  <si>
    <t>Type of Guarantee</t>
  </si>
  <si>
    <t>Comment</t>
  </si>
  <si>
    <t>Fixed Rate (%)</t>
  </si>
  <si>
    <t>Unsecured</t>
  </si>
  <si>
    <t>N/a</t>
  </si>
  <si>
    <t>Total</t>
  </si>
  <si>
    <t>Current</t>
  </si>
  <si>
    <t>Non-current</t>
  </si>
  <si>
    <t>INTEREST</t>
  </si>
  <si>
    <t>Liquidity gap analysis</t>
  </si>
  <si>
    <t>12-24months</t>
  </si>
  <si>
    <t>24 to 36mon</t>
  </si>
  <si>
    <t>36month+</t>
  </si>
  <si>
    <t>Up to 1 month</t>
  </si>
  <si>
    <t>1-3 months</t>
  </si>
  <si>
    <t>3-6 months</t>
  </si>
  <si>
    <t>6-9 months</t>
  </si>
  <si>
    <t>9-12 months</t>
  </si>
  <si>
    <t>1-2 Years</t>
  </si>
  <si>
    <t>2-3 Years</t>
  </si>
  <si>
    <t>&gt; 3 years</t>
  </si>
  <si>
    <t>No maturity</t>
  </si>
  <si>
    <t>Check</t>
  </si>
  <si>
    <t>Total assets</t>
  </si>
  <si>
    <t>Liabilities and equity</t>
  </si>
  <si>
    <t>Paid up Capital</t>
  </si>
  <si>
    <t>Other Equity</t>
  </si>
  <si>
    <t>Retained income</t>
  </si>
  <si>
    <t>Total liabilities and equity</t>
  </si>
  <si>
    <t>Asset-liability gap</t>
  </si>
  <si>
    <t>Maturity gap as percentage of equity</t>
  </si>
  <si>
    <t>Cumulative gap</t>
  </si>
  <si>
    <t>Cumulative gap as % of equity</t>
  </si>
  <si>
    <t>Advance Exposure Analysis</t>
  </si>
  <si>
    <t>%</t>
  </si>
  <si>
    <t>June-20</t>
  </si>
  <si>
    <t>July-20</t>
  </si>
  <si>
    <t>Q1 -2019</t>
  </si>
  <si>
    <t>Q2 -2019</t>
  </si>
  <si>
    <t>Q3 -2019</t>
  </si>
  <si>
    <t>Q4 - 2019</t>
  </si>
  <si>
    <t>Q1 - 2020</t>
  </si>
  <si>
    <t>Q2 - 2020</t>
  </si>
  <si>
    <t>Q3 - 2020</t>
  </si>
  <si>
    <t>Q4 - 2020</t>
  </si>
  <si>
    <t>Q1 - 2021</t>
  </si>
  <si>
    <t>Q2 - 2021</t>
  </si>
  <si>
    <t>Q3 - 2021</t>
  </si>
  <si>
    <t>EXPOSURE</t>
  </si>
  <si>
    <t>Term duration</t>
  </si>
  <si>
    <t>6 month - Term loan</t>
  </si>
  <si>
    <t>new</t>
  </si>
  <si>
    <t>9 month - Term loan</t>
  </si>
  <si>
    <t>12 month - Term loan</t>
  </si>
  <si>
    <t>Product</t>
  </si>
  <si>
    <t>Term loans (6,9,12 month)</t>
  </si>
  <si>
    <t>3 month - Term loan</t>
  </si>
  <si>
    <t>4 month - Term loan</t>
  </si>
  <si>
    <t>5 month - Term loan</t>
  </si>
  <si>
    <t>7 month - Term loan</t>
  </si>
  <si>
    <t>8 month - Term loan</t>
  </si>
  <si>
    <t>10 month - Term loan</t>
  </si>
  <si>
    <t>11 month - Term loan</t>
  </si>
  <si>
    <t>BCA</t>
  </si>
  <si>
    <t>GLP maturing within 3 months</t>
  </si>
  <si>
    <t>Band exposure</t>
  </si>
  <si>
    <t>Band 2</t>
  </si>
  <si>
    <t>Band 3</t>
  </si>
  <si>
    <t>Band 3.5</t>
  </si>
  <si>
    <t>Band 4</t>
  </si>
  <si>
    <t>Band 4.5</t>
  </si>
  <si>
    <t>Band 5</t>
  </si>
  <si>
    <t>Band 5.5</t>
  </si>
  <si>
    <t>Band 6</t>
  </si>
  <si>
    <t>Band 6.5</t>
  </si>
  <si>
    <t>Band 7</t>
  </si>
  <si>
    <t>Band 7.5</t>
  </si>
  <si>
    <t>DISBURSEMENT</t>
  </si>
  <si>
    <t xml:space="preserve">Product - Amount Principle </t>
  </si>
  <si>
    <t>\</t>
  </si>
  <si>
    <t>Number of advances</t>
  </si>
  <si>
    <t>Average loan size of principle disbursed</t>
  </si>
  <si>
    <t>Bands - disbursement</t>
  </si>
  <si>
    <t>Nov-21</t>
  </si>
  <si>
    <t>Feb-22</t>
  </si>
  <si>
    <t xml:space="preserve">Control </t>
  </si>
  <si>
    <t>Covenant</t>
  </si>
  <si>
    <t>30-Oct-18</t>
  </si>
  <si>
    <t>31-Jul-18</t>
  </si>
  <si>
    <t>Sarona (Q)</t>
  </si>
  <si>
    <t>Symbiotics (M)</t>
  </si>
  <si>
    <t>LAH (Q)</t>
  </si>
  <si>
    <t>Quona (Q)</t>
  </si>
  <si>
    <t>Triodos (Q)</t>
  </si>
  <si>
    <t>Responsibility (M)</t>
  </si>
  <si>
    <t>Norfund (NF)</t>
  </si>
  <si>
    <t xml:space="preserve">KPI </t>
  </si>
  <si>
    <t>1.</t>
  </si>
  <si>
    <t>1.1</t>
  </si>
  <si>
    <t xml:space="preserve">  Required:</t>
  </si>
  <si>
    <t>Financial Leverage</t>
  </si>
  <si>
    <t>x</t>
  </si>
  <si>
    <t>1.2</t>
  </si>
  <si>
    <t>Solvency</t>
  </si>
  <si>
    <t>PAR 30</t>
  </si>
  <si>
    <t>Portfolio at Risk Balance</t>
  </si>
  <si>
    <t>Restructured Loans</t>
  </si>
  <si>
    <t>Gross Loan Portfolio</t>
  </si>
  <si>
    <t>PAR30</t>
  </si>
  <si>
    <t>Capital Adequacy Ratio (CAR)</t>
  </si>
  <si>
    <t>Tier 1 capital - Equity</t>
  </si>
  <si>
    <t>CAR</t>
  </si>
  <si>
    <t>5.1</t>
  </si>
  <si>
    <t>FX unhedged labialise over equity</t>
  </si>
  <si>
    <t>Foreign Currency Liabilities - Total</t>
  </si>
  <si>
    <t>Foreign Currency Liabilities - FEC hedged</t>
  </si>
  <si>
    <t>Foreign Currency Liabilities - Unhedged</t>
  </si>
  <si>
    <t>Unhedged Foreign Currency Position</t>
  </si>
  <si>
    <t>5.2</t>
  </si>
  <si>
    <t>Net FX- unhedged over equity</t>
  </si>
  <si>
    <r>
      <rPr>
        <b/>
        <sz val="11"/>
        <color theme="1"/>
        <rFont val="Calibri"/>
        <family val="2"/>
      </rPr>
      <t xml:space="preserve">Foreign Currency: Assets </t>
    </r>
    <r>
      <rPr>
        <b/>
        <i/>
        <sz val="11"/>
        <color theme="1"/>
        <rFont val="Calibri Light"/>
        <family val="2"/>
      </rPr>
      <t>less</t>
    </r>
    <r>
      <rPr>
        <b/>
        <sz val="11"/>
        <color theme="1"/>
        <rFont val="Calibri Light"/>
        <family val="2"/>
      </rPr>
      <t xml:space="preserve"> Liabilities / Equity</t>
    </r>
  </si>
  <si>
    <t>Foreign Currency Assets - unhedged</t>
  </si>
  <si>
    <t>Foreign Currency Liabilities - unhedged</t>
  </si>
  <si>
    <t>Foreign Currency - Net</t>
  </si>
  <si>
    <r>
      <rPr>
        <b/>
        <sz val="11"/>
        <color theme="1"/>
        <rFont val="Calibri"/>
        <family val="2"/>
      </rPr>
      <t xml:space="preserve">Foreign Currency: Assets </t>
    </r>
    <r>
      <rPr>
        <b/>
        <i/>
        <sz val="11"/>
        <color theme="1"/>
        <rFont val="Calibri Light"/>
        <family val="2"/>
      </rPr>
      <t>less</t>
    </r>
    <r>
      <rPr>
        <b/>
        <sz val="11"/>
        <color theme="1"/>
        <rFont val="Calibri Light"/>
        <family val="2"/>
      </rPr>
      <t xml:space="preserve"> Liabilities / Equity</t>
    </r>
  </si>
  <si>
    <t>except EURO and USD - refer to 8.11</t>
  </si>
  <si>
    <t>-25% and 25%</t>
  </si>
  <si>
    <t>Foreign Currency Assets - except EURO and USD - unhedged</t>
  </si>
  <si>
    <t>Foreign Currency Liabilities  - except EURO and USD - unhedged</t>
  </si>
  <si>
    <t>Unhedged Foreign Currency Position - Except EURO and  USD</t>
  </si>
  <si>
    <r>
      <rPr>
        <b/>
        <sz val="11"/>
        <color theme="1"/>
        <rFont val="Calibri"/>
        <family val="2"/>
      </rPr>
      <t xml:space="preserve">Foreign Currency: Assets </t>
    </r>
    <r>
      <rPr>
        <b/>
        <i/>
        <sz val="11"/>
        <color theme="1"/>
        <rFont val="Calibri Light"/>
        <family val="2"/>
      </rPr>
      <t>less</t>
    </r>
    <r>
      <rPr>
        <b/>
        <sz val="11"/>
        <color theme="1"/>
        <rFont val="Calibri Light"/>
        <family val="2"/>
      </rPr>
      <t xml:space="preserve"> Liabilities / Equity</t>
    </r>
  </si>
  <si>
    <t>S-25% and 25%; T: -20% and 20%</t>
  </si>
  <si>
    <t xml:space="preserve">Loan Portfolio Under Pledge </t>
  </si>
  <si>
    <t>Uncovered Capital ratio/Open rate</t>
  </si>
  <si>
    <t>Loan Loss  Reserve</t>
  </si>
  <si>
    <t>Tier 1 capital - equity</t>
  </si>
  <si>
    <t>Uncovered Capital ratio</t>
  </si>
  <si>
    <t>Gross Write off ratio</t>
  </si>
  <si>
    <t>Portfolio Quality</t>
  </si>
  <si>
    <t>9.</t>
  </si>
  <si>
    <t>Loan Loss Reservice PAR60 Ratio</t>
  </si>
  <si>
    <t>Loan Loss Reserves / (Portfolio at Risk Over 60 Days + Restructured Loans)</t>
  </si>
  <si>
    <t xml:space="preserve">&gt;100% </t>
  </si>
  <si>
    <t>Loan Loss Reserve</t>
  </si>
  <si>
    <t>PAR60</t>
  </si>
  <si>
    <t>Loan Loss Reserve Ratio</t>
  </si>
  <si>
    <t>Profitability - ROA</t>
  </si>
  <si>
    <t xml:space="preserve">  ROA</t>
  </si>
  <si>
    <t>Risk Coverage Ratio</t>
  </si>
  <si>
    <t>Loan Loss reserve</t>
  </si>
  <si>
    <t>Largest Client Exposure</t>
  </si>
  <si>
    <t>Largest Clients</t>
  </si>
  <si>
    <t>Largest Single Client Exposure</t>
  </si>
  <si>
    <t>Largest Single Client</t>
  </si>
  <si>
    <t>15.</t>
  </si>
  <si>
    <t>Operating Expense Ratio</t>
  </si>
  <si>
    <t>Quarterly Operating Expenses / Average Gross Loan Portfolio last Q</t>
  </si>
  <si>
    <t>Quarterly Operating Expenses</t>
  </si>
  <si>
    <t>Average Gross Loan Portfolio last Q</t>
  </si>
  <si>
    <t>Net income LTM</t>
  </si>
  <si>
    <t>Gross Write-off</t>
  </si>
  <si>
    <t>Loan Amount Written Off LTM</t>
  </si>
  <si>
    <t>WO</t>
  </si>
  <si>
    <t>Liquidity</t>
  </si>
  <si>
    <t>Liquid Assets to Liabilities</t>
  </si>
  <si>
    <t>All assets maturing contractually within the next 3 months</t>
  </si>
  <si>
    <t>Total assets less total equity (total liabilities)</t>
  </si>
  <si>
    <t>Month</t>
  </si>
  <si>
    <t>Total Principal Advanced</t>
  </si>
  <si>
    <t>Nett Principal Outstanding @ Month End</t>
  </si>
  <si>
    <t>Ave. Advance Size at disbursement</t>
  </si>
  <si>
    <r>
      <rPr>
        <b/>
        <sz val="11"/>
        <color theme="1"/>
        <rFont val="Calibri"/>
        <family val="2"/>
      </rPr>
      <t>Monthly APR - net (</t>
    </r>
    <r>
      <rPr>
        <b/>
        <i/>
        <sz val="11"/>
        <color theme="1"/>
        <rFont val="Calibri Light"/>
        <family val="2"/>
      </rPr>
      <t>less provision</t>
    </r>
    <r>
      <rPr>
        <b/>
        <sz val="11"/>
        <color theme="1"/>
        <rFont val="Calibri Light"/>
        <family val="2"/>
      </rPr>
      <t>) GLP</t>
    </r>
  </si>
  <si>
    <t>Total Number of advances</t>
  </si>
  <si>
    <t>New Advances</t>
  </si>
  <si>
    <t>Re-Advances</t>
  </si>
  <si>
    <t>Active Advances</t>
  </si>
  <si>
    <t>28-Feb-22</t>
  </si>
  <si>
    <t>IFC / Accion convertible loan</t>
  </si>
  <si>
    <t>Mar-22</t>
  </si>
  <si>
    <t>Q4 - 2022</t>
  </si>
  <si>
    <t>Q2 - 2022</t>
  </si>
  <si>
    <t>Q3 - 2022</t>
  </si>
  <si>
    <t>31-Mar-22</t>
  </si>
  <si>
    <t>Loan: Symbiotics/Regmifa - Loan 3</t>
  </si>
  <si>
    <t>Loan: Blue Orchard</t>
  </si>
  <si>
    <t>Q4 - 2021</t>
  </si>
  <si>
    <t>Apr-22</t>
  </si>
  <si>
    <t>YTD - Feb 22</t>
  </si>
  <si>
    <t>Debt funding</t>
  </si>
  <si>
    <t>GLP</t>
  </si>
  <si>
    <t>May-22</t>
  </si>
  <si>
    <t>Q1 - 2022</t>
  </si>
  <si>
    <t>Jun-22</t>
  </si>
  <si>
    <t>Jul-22</t>
  </si>
  <si>
    <t>Interest and capital repaid in 6-monthly instalments</t>
  </si>
  <si>
    <t>Total Operating Profit</t>
  </si>
  <si>
    <t>Aug-22</t>
  </si>
  <si>
    <t>Banking (Connect)</t>
  </si>
  <si>
    <t>Transaction costs (Connect)</t>
  </si>
  <si>
    <t>Band 8</t>
  </si>
  <si>
    <t>Sep-22</t>
  </si>
  <si>
    <t>Oct-22</t>
  </si>
  <si>
    <t>Loan: Symbiotics Social Bond - Loan 4</t>
  </si>
  <si>
    <t>Change in Active Advances</t>
  </si>
  <si>
    <t>Nov-22</t>
  </si>
  <si>
    <t>Interest repaid 6 monthly and capital repaid in  installments</t>
  </si>
  <si>
    <t>JIBAR 3M + 6%</t>
  </si>
  <si>
    <t>CAPITAL</t>
  </si>
  <si>
    <t>Dec-22</t>
  </si>
  <si>
    <t>Dec 22</t>
  </si>
  <si>
    <t>Checks</t>
  </si>
  <si>
    <t>Disbursement Quantum</t>
  </si>
  <si>
    <t>Disbursement Volume</t>
  </si>
  <si>
    <t>Jan-23</t>
  </si>
  <si>
    <t>Triple Jump BV.</t>
  </si>
  <si>
    <t>Jan 23</t>
  </si>
  <si>
    <t>Liabilities / Equity  &lt;7:1</t>
  </si>
  <si>
    <t>Equity / Assets &gt; 15%</t>
  </si>
  <si>
    <t>(Tier 1 capital + Tier 2 capital) ÷ Risk-weighted assets &gt; 15%</t>
  </si>
  <si>
    <t>Foreign Currency Liabilities / Equity &lt;25%</t>
  </si>
  <si>
    <t>Portfolio Under Pledge / Outstanding Portfolio &lt; 25%</t>
  </si>
  <si>
    <t>(PAR30 + Restructured Loans YTD - Loan Loss Reserve) / Tier 1 Capital &lt; 10%</t>
  </si>
  <si>
    <t>Portfolio Quality PAR30 + Gross Write offs ratio - LTM / Current GLP &lt; 12%</t>
  </si>
  <si>
    <t>Loan Loss Reserve / PAR30 &gt; 70%</t>
  </si>
  <si>
    <t>Largest Client (top 20) &lt;200%</t>
  </si>
  <si>
    <t>Largest Single Client &lt;20%</t>
  </si>
  <si>
    <t>Loan loss reserve / (PAR 90 + restructured) &gt; 100%</t>
  </si>
  <si>
    <t>PAR90 + Restructured</t>
  </si>
  <si>
    <t xml:space="preserve">Total Assets </t>
  </si>
  <si>
    <t>Net Income LTM / Total Assets &gt; 0%</t>
  </si>
  <si>
    <t>Liquid Assets / Liquid Liabilities</t>
  </si>
  <si>
    <t>Liquid Assets</t>
  </si>
  <si>
    <t>Liquid Liabilities</t>
  </si>
  <si>
    <t>Liquid Assets / Liquid Liabilities &gt; 100%</t>
  </si>
  <si>
    <t>Liquid Assets / Total Assets - Total equity &gt; 15%</t>
  </si>
  <si>
    <t>Current Ratio</t>
  </si>
  <si>
    <t>1.4</t>
  </si>
  <si>
    <t>2.2</t>
  </si>
  <si>
    <t>Loan Amount Written Off LTM/ GLP &lt; 5%</t>
  </si>
  <si>
    <t>2.3</t>
  </si>
  <si>
    <t>2.4</t>
  </si>
  <si>
    <t>2.5</t>
  </si>
  <si>
    <t>2.6</t>
  </si>
  <si>
    <t>2.7</t>
  </si>
  <si>
    <t>3.1</t>
  </si>
  <si>
    <t>3.2</t>
  </si>
  <si>
    <t>2.8</t>
  </si>
  <si>
    <t xml:space="preserve">Leverage </t>
  </si>
  <si>
    <t>3.3</t>
  </si>
  <si>
    <t>3.4</t>
  </si>
  <si>
    <t>Current month GLP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</si>
  <si>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</si>
  <si>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</si>
  <si>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</si>
  <si>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</si>
  <si>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</si>
  <si>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</si>
  <si>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</si>
  <si>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</si>
  <si>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</si>
  <si>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</si>
  <si>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 23</t>
  </si>
  <si>
    <t>Jan 24</t>
  </si>
  <si>
    <t xml:space="preserve"> Feb 24</t>
  </si>
  <si>
    <t>YTD - Feb 23</t>
  </si>
  <si>
    <t>VAT receivable</t>
  </si>
  <si>
    <t xml:space="preserve">Employee tax </t>
  </si>
  <si>
    <t>Provisions and other payables</t>
  </si>
  <si>
    <t>Interest repaid 6 monthly. Capital in 2 installments.</t>
  </si>
  <si>
    <t xml:space="preserve">   Branding</t>
  </si>
  <si>
    <t>Subscription Revenue</t>
  </si>
  <si>
    <t>Transaction Revenue</t>
  </si>
  <si>
    <t>Earned interest</t>
  </si>
  <si>
    <t>Total debtors cost net recoveries (write-offs &amp; provision movement)</t>
  </si>
  <si>
    <t>As per Man Accs</t>
  </si>
  <si>
    <t>L-125788</t>
  </si>
  <si>
    <t>L-126718</t>
  </si>
  <si>
    <t>L-126291</t>
  </si>
  <si>
    <t xml:space="preserve">   Webservice costs: Site Hosting, Security, Leads</t>
  </si>
  <si>
    <t>Loan: Triodos ZAR - 3rd Loan</t>
  </si>
  <si>
    <t>Triodos ZAR - 3rd Loan</t>
  </si>
  <si>
    <t xml:space="preserve">Interest repaid 3 monthly. Capital in one bullet payment. </t>
  </si>
  <si>
    <t>Loan: Symbiotics - Loan 5</t>
  </si>
  <si>
    <t>Loan: ResponsAbility 5</t>
  </si>
  <si>
    <t>ResponsAbility - 5th Loan</t>
  </si>
  <si>
    <t xml:space="preserve">Interest repaid in 6-monthly instalments. Capital in 3 annual installments. </t>
  </si>
  <si>
    <t>Symbiotics - Loan 5</t>
  </si>
  <si>
    <t xml:space="preserve">Amortization </t>
  </si>
  <si>
    <t xml:space="preserve">General admin </t>
  </si>
  <si>
    <t>Rental &amp; communication</t>
  </si>
  <si>
    <t xml:space="preserve">Branding </t>
  </si>
  <si>
    <t xml:space="preserve">Courier and fees </t>
  </si>
  <si>
    <t xml:space="preserve">Marketing </t>
  </si>
  <si>
    <t xml:space="preserve">Initial setup costs </t>
  </si>
  <si>
    <t>Interest on lease</t>
  </si>
  <si>
    <t>Webservice costs: Site Hosting, LMS, Security</t>
  </si>
  <si>
    <t>JIBAR 3M + 5%</t>
  </si>
  <si>
    <t>Interest repaid 3 monthly and capital repaid in 4 installments</t>
  </si>
  <si>
    <t>Loan: Blue Earth</t>
  </si>
  <si>
    <t>Check 1:</t>
  </si>
  <si>
    <t>Card Stock</t>
  </si>
  <si>
    <t>Control Checks:</t>
  </si>
  <si>
    <t>Dec-23</t>
  </si>
  <si>
    <t>Loan: Blue Orchard 2</t>
  </si>
  <si>
    <t>Loan: ResponsAbility Financing for Healthier Lives</t>
  </si>
  <si>
    <t>Blue Orchard 2</t>
  </si>
  <si>
    <t>ResponsAbility Financing for Healthier Lives</t>
  </si>
  <si>
    <t>Interest repaid 6 monthly and capital repaid in 3 installments</t>
  </si>
  <si>
    <t>Interest repaid 6 monthly and capital repaid in 2 installments</t>
  </si>
  <si>
    <t>Jan-24</t>
  </si>
  <si>
    <t>Feb-24</t>
  </si>
  <si>
    <t>Blue Earth 2</t>
  </si>
  <si>
    <t>Loan: Blue Earth 2</t>
  </si>
  <si>
    <t>YTD - Feb 24</t>
  </si>
  <si>
    <t>Mar-24</t>
  </si>
  <si>
    <t>Interchange Revenue</t>
  </si>
  <si>
    <t>Interest expense (Connect)</t>
  </si>
  <si>
    <t>Interest repaid 3 monthly on the 15th of each quarter and capital repaid in 4 installments</t>
  </si>
  <si>
    <t>Q4 - 2025</t>
  </si>
  <si>
    <t>Q1 - 2025</t>
  </si>
  <si>
    <t>Q2 - 2025</t>
  </si>
  <si>
    <t>Q3 - 2025</t>
  </si>
  <si>
    <t>YTD - Feb 25</t>
  </si>
  <si>
    <t xml:space="preserve">   Total Revenue</t>
  </si>
  <si>
    <r>
      <t xml:space="preserve">Total </t>
    </r>
    <r>
      <rPr>
        <b/>
        <sz val="10"/>
        <color rgb="FFFF9999"/>
        <rFont val="Calibri"/>
        <family val="2"/>
      </rPr>
      <t>credit</t>
    </r>
    <r>
      <rPr>
        <b/>
        <sz val="10"/>
        <color theme="1"/>
        <rFont val="Calibri"/>
        <family val="2"/>
      </rPr>
      <t xml:space="preserve"> revenue</t>
    </r>
  </si>
  <si>
    <r>
      <t xml:space="preserve">Lula </t>
    </r>
    <r>
      <rPr>
        <b/>
        <sz val="10"/>
        <color rgb="FFFF9999"/>
        <rFont val="Calibri"/>
        <family val="2"/>
      </rPr>
      <t>Credit</t>
    </r>
    <r>
      <rPr>
        <b/>
        <sz val="10"/>
        <color theme="1"/>
        <rFont val="Calibri"/>
        <family val="2"/>
      </rPr>
      <t xml:space="preserve"> - cost of service</t>
    </r>
  </si>
  <si>
    <r>
      <t xml:space="preserve">Lula </t>
    </r>
    <r>
      <rPr>
        <b/>
        <sz val="10"/>
        <color rgb="FFFF9999"/>
        <rFont val="Calibri"/>
        <family val="2"/>
      </rPr>
      <t>Banking</t>
    </r>
    <r>
      <rPr>
        <b/>
        <sz val="10"/>
        <color theme="1"/>
        <rFont val="Calibri"/>
        <family val="2"/>
      </rPr>
      <t xml:space="preserve"> - cost of service</t>
    </r>
  </si>
  <si>
    <t>Total Other Charges</t>
  </si>
  <si>
    <t>Marketing - direct</t>
  </si>
  <si>
    <t>Total Marketing - direct</t>
  </si>
  <si>
    <t>Payroll</t>
  </si>
  <si>
    <t xml:space="preserve">   Total Payroll </t>
  </si>
  <si>
    <r>
      <t xml:space="preserve">Total </t>
    </r>
    <r>
      <rPr>
        <b/>
        <sz val="10"/>
        <color rgb="FFFF9999"/>
        <rFont val="Calibri"/>
        <family val="2"/>
      </rPr>
      <t>Credit</t>
    </r>
    <r>
      <rPr>
        <b/>
        <sz val="10"/>
        <color theme="1"/>
        <rFont val="Calibri"/>
        <family val="2"/>
      </rPr>
      <t xml:space="preserve"> Operating Expenses</t>
    </r>
  </si>
  <si>
    <r>
      <rPr>
        <b/>
        <sz val="10"/>
        <color rgb="FFFF9999"/>
        <rFont val="Calibri"/>
        <family val="2"/>
      </rPr>
      <t>Credit</t>
    </r>
    <r>
      <rPr>
        <b/>
        <sz val="10"/>
        <color theme="1"/>
        <rFont val="Calibri"/>
        <family val="2"/>
      </rPr>
      <t xml:space="preserve"> Operating Expenses</t>
    </r>
  </si>
  <si>
    <r>
      <rPr>
        <b/>
        <sz val="9"/>
        <color rgb="FFFF9999"/>
        <rFont val="Arial"/>
        <family val="2"/>
      </rPr>
      <t>Non-Credit</t>
    </r>
    <r>
      <rPr>
        <b/>
        <sz val="9"/>
        <color theme="1"/>
        <rFont val="Arial"/>
        <family val="2"/>
      </rPr>
      <t xml:space="preserve"> Operating Expenses</t>
    </r>
  </si>
  <si>
    <r>
      <t xml:space="preserve">Total </t>
    </r>
    <r>
      <rPr>
        <b/>
        <sz val="10"/>
        <color rgb="FFFF9999"/>
        <rFont val="Calibri"/>
        <family val="2"/>
      </rPr>
      <t>non-credit</t>
    </r>
    <r>
      <rPr>
        <b/>
        <sz val="10"/>
        <color theme="1"/>
        <rFont val="Calibri"/>
        <family val="2"/>
      </rPr>
      <t xml:space="preserve"> revenue</t>
    </r>
  </si>
  <si>
    <t>Total -General Admin</t>
  </si>
  <si>
    <t>Monthly fees</t>
  </si>
  <si>
    <r>
      <t xml:space="preserve">Total </t>
    </r>
    <r>
      <rPr>
        <b/>
        <sz val="10"/>
        <color rgb="FFFF9999"/>
        <rFont val="Calibri"/>
        <family val="2"/>
      </rPr>
      <t>Non-Credit</t>
    </r>
    <r>
      <rPr>
        <b/>
        <sz val="10"/>
        <color theme="1"/>
        <rFont val="Calibri"/>
        <family val="2"/>
      </rPr>
      <t xml:space="preserve"> Operating Expenses</t>
    </r>
  </si>
  <si>
    <t>Depreciation</t>
  </si>
  <si>
    <t>Interest on Lease</t>
  </si>
  <si>
    <t>Other</t>
  </si>
  <si>
    <t>Total - Banking (Connect)</t>
  </si>
  <si>
    <t>Amortization</t>
  </si>
  <si>
    <t>Employee Share Incentive Expense</t>
  </si>
  <si>
    <t>Employee Phantom Share Incentive Expense</t>
  </si>
  <si>
    <t>Leave Accrual Movement</t>
  </si>
  <si>
    <t>(Profit)/Loss on Assets Sold</t>
  </si>
  <si>
    <r>
      <rPr>
        <b/>
        <sz val="10"/>
        <color rgb="FFFF9999"/>
        <rFont val="Calibri"/>
        <family val="2"/>
      </rPr>
      <t xml:space="preserve">Credit </t>
    </r>
    <r>
      <rPr>
        <b/>
        <sz val="10"/>
        <color theme="1"/>
        <rFont val="Calibri"/>
        <family val="2"/>
      </rPr>
      <t>Non-operating expenses</t>
    </r>
  </si>
  <si>
    <r>
      <rPr>
        <b/>
        <sz val="10"/>
        <color rgb="FFFF9999"/>
        <rFont val="Calibri"/>
        <family val="2"/>
      </rPr>
      <t>Non-Credit</t>
    </r>
    <r>
      <rPr>
        <b/>
        <sz val="10"/>
        <color theme="1"/>
        <rFont val="Calibri"/>
        <family val="2"/>
      </rPr>
      <t xml:space="preserve"> Non-operating expenses</t>
    </r>
  </si>
  <si>
    <r>
      <t xml:space="preserve">Total </t>
    </r>
    <r>
      <rPr>
        <b/>
        <sz val="10"/>
        <color rgb="FFFF9999"/>
        <rFont val="Calibri"/>
        <family val="2"/>
      </rPr>
      <t>Credi</t>
    </r>
    <r>
      <rPr>
        <b/>
        <sz val="10"/>
        <color theme="1"/>
        <rFont val="Calibri"/>
        <family val="2"/>
      </rPr>
      <t>t Non-operating expenses</t>
    </r>
  </si>
  <si>
    <r>
      <t xml:space="preserve">Total </t>
    </r>
    <r>
      <rPr>
        <b/>
        <sz val="10"/>
        <color rgb="FFFF9999"/>
        <rFont val="Calibri"/>
        <family val="2"/>
      </rPr>
      <t>Non-Credit</t>
    </r>
    <r>
      <rPr>
        <b/>
        <sz val="10"/>
        <color theme="1"/>
        <rFont val="Calibri"/>
        <family val="2"/>
      </rPr>
      <t xml:space="preserve"> Non-operating expenses</t>
    </r>
  </si>
  <si>
    <t>Sense Check</t>
  </si>
  <si>
    <t>EBITDA - Credit</t>
  </si>
  <si>
    <t>EBITDA - Non-Credit</t>
  </si>
  <si>
    <t>Other employment costs</t>
  </si>
  <si>
    <t>Apr-24</t>
  </si>
  <si>
    <t>Apr 24</t>
  </si>
  <si>
    <t>Mar 24</t>
  </si>
  <si>
    <t>May-24</t>
  </si>
  <si>
    <t>Loan: IFC</t>
  </si>
  <si>
    <t>Loan: ResponsAbility 6</t>
  </si>
  <si>
    <t>Loan: Norfund 2</t>
  </si>
  <si>
    <t>Loan: Blue Orchard 3</t>
  </si>
  <si>
    <t>ResponsAbility 6</t>
  </si>
  <si>
    <t>Norfund 2</t>
  </si>
  <si>
    <t>Blue Orchard 3</t>
  </si>
  <si>
    <t>Interest payable bi-annually (13 Nov, 13 May), and capital due in 3 tranches.</t>
  </si>
  <si>
    <t xml:space="preserve"> May 24</t>
  </si>
  <si>
    <t>JIBAR 3M + 5.25%-5.5%</t>
  </si>
  <si>
    <t>Variable, tranched</t>
  </si>
  <si>
    <t>Variable, up to  4 years</t>
  </si>
  <si>
    <t>Interest repaid in 3-monthly instalments and capital as 11 equal installments</t>
  </si>
  <si>
    <t>TBC - legal fees incurred to date only.</t>
  </si>
  <si>
    <t>Interest payable bi-annually (16 January and 16 July). Capital is due in 3 instalments.</t>
  </si>
  <si>
    <t>Jun-24</t>
  </si>
  <si>
    <t xml:space="preserve"> June 24</t>
  </si>
  <si>
    <t>Band exposure - Updated FY2025</t>
  </si>
  <si>
    <t>Band D</t>
  </si>
  <si>
    <t>Band E</t>
  </si>
  <si>
    <t>Band F</t>
  </si>
  <si>
    <t>Band G</t>
  </si>
  <si>
    <t>Band H</t>
  </si>
  <si>
    <t>Band J</t>
  </si>
  <si>
    <t>Band K</t>
  </si>
  <si>
    <t>Band M</t>
  </si>
  <si>
    <t>Band P</t>
  </si>
  <si>
    <t>Band Q</t>
  </si>
  <si>
    <t>Band R</t>
  </si>
  <si>
    <t>Band S</t>
  </si>
  <si>
    <t>Band T</t>
  </si>
  <si>
    <t>Band V</t>
  </si>
  <si>
    <t>Band W</t>
  </si>
  <si>
    <t>Band X</t>
  </si>
  <si>
    <t>Band Y</t>
  </si>
  <si>
    <t>Band Z</t>
  </si>
  <si>
    <t>Band LP</t>
  </si>
  <si>
    <t>Band LL</t>
  </si>
  <si>
    <t xml:space="preserve">Note that bands were updated during FY 2025 to allow for more variability with pricing decisions and clearer classification of the scoring decision. Existing advances have been retro-scored for comparability. </t>
  </si>
  <si>
    <t>EBITDA</t>
  </si>
  <si>
    <t>Jul-24</t>
  </si>
  <si>
    <t>Transactional write offs</t>
  </si>
  <si>
    <t>Loan: Triodos - 2nd loan</t>
  </si>
  <si>
    <t>Loan: Norfund facility B</t>
  </si>
  <si>
    <t>Loan: Responsibility - 4th loan</t>
  </si>
  <si>
    <t>Loan: Triple Jump BV</t>
  </si>
  <si>
    <t xml:space="preserve"> July 24</t>
  </si>
  <si>
    <t>Aug-24</t>
  </si>
  <si>
    <t xml:space="preserve"> August 24</t>
  </si>
  <si>
    <t>Sep-24</t>
  </si>
  <si>
    <t xml:space="preserve"> September 24</t>
  </si>
  <si>
    <t>Oct-24</t>
  </si>
  <si>
    <t xml:space="preserve"> October 24</t>
  </si>
  <si>
    <t>Interest payable bi-annually (15 April and 15 October). Capital is repaid in 4 instalments</t>
  </si>
  <si>
    <t>Triple Jump GSSF</t>
  </si>
  <si>
    <r>
      <rPr>
        <b/>
        <sz val="11"/>
        <color theme="1"/>
        <rFont val="Calibri"/>
        <family val="2"/>
      </rPr>
      <t>Lulapay</t>
    </r>
    <r>
      <rPr>
        <sz val="11"/>
        <color theme="1"/>
        <rFont val="Calibri"/>
        <family val="2"/>
      </rPr>
      <t xml:space="preserve"> - 6 month</t>
    </r>
  </si>
  <si>
    <t>Nov-24</t>
  </si>
  <si>
    <t xml:space="preserve"> November 24</t>
  </si>
  <si>
    <t>Phantom share liability</t>
  </si>
  <si>
    <t>Dec-24</t>
  </si>
  <si>
    <t xml:space="preserve"> December 24</t>
  </si>
  <si>
    <t>18 month - CF</t>
  </si>
  <si>
    <t>PAR 30 days + Restructured Loans / Gross Loan Portfolio &lt; 10%</t>
  </si>
  <si>
    <t>Jan-25</t>
  </si>
  <si>
    <t>Feb-25</t>
  </si>
  <si>
    <t xml:space="preserve"> January 25</t>
  </si>
  <si>
    <t xml:space="preserve"> February 2025</t>
  </si>
  <si>
    <t>Accounts Payable</t>
  </si>
  <si>
    <t>Loan: FMO</t>
  </si>
  <si>
    <t>FMO</t>
  </si>
  <si>
    <t>Prepayments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</si>
  <si>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</si>
  <si>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</si>
  <si>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</si>
  <si>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</si>
  <si>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</si>
  <si>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</si>
  <si>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</si>
  <si>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</si>
  <si>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</si>
  <si>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</si>
  <si>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</si>
  <si>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</si>
  <si>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YTD - Feb 26</t>
  </si>
  <si>
    <t xml:space="preserve"> March 2025</t>
  </si>
  <si>
    <t>April 2025</t>
  </si>
  <si>
    <t>Loan: Convertible loan</t>
  </si>
  <si>
    <t>Convertible Debt</t>
  </si>
  <si>
    <t>USD</t>
  </si>
  <si>
    <t>Yes</t>
  </si>
  <si>
    <t>Forex movement / FEC (expense)/income</t>
  </si>
  <si>
    <t>May 2025</t>
  </si>
  <si>
    <t>Debtors Cost</t>
  </si>
  <si>
    <t>Bad debts recovered</t>
  </si>
  <si>
    <t>June 2025</t>
  </si>
  <si>
    <t>July 2025</t>
  </si>
  <si>
    <t>August 2025</t>
  </si>
  <si>
    <t>Suspense: Access Bank</t>
  </si>
  <si>
    <t>Loan: Symbiotics 6</t>
  </si>
  <si>
    <t>Symbiotics - Loan 6</t>
  </si>
  <si>
    <t>Due to IFRS9 implementation</t>
  </si>
  <si>
    <t>Loan: Triple Jump GGSF Fund</t>
  </si>
  <si>
    <t>September 2025</t>
  </si>
  <si>
    <t>Loan: Blue Earth 3</t>
  </si>
  <si>
    <t>Blue Earth Loan 3</t>
  </si>
  <si>
    <t>Blue Earth 3</t>
  </si>
  <si>
    <t>6 month - CFF loan</t>
  </si>
  <si>
    <t>9 month - CFF loan</t>
  </si>
  <si>
    <t>12 month - CFF loan</t>
  </si>
  <si>
    <t>18 month - CFF loan</t>
  </si>
  <si>
    <t>Check - restated prior periods</t>
  </si>
  <si>
    <t>31 October 2025</t>
  </si>
  <si>
    <t>October 2025</t>
  </si>
  <si>
    <t>3 month - Fixed term funding</t>
  </si>
  <si>
    <t>6 month - Fixed term funding</t>
  </si>
  <si>
    <t>9 month - Fixed term funding</t>
  </si>
  <si>
    <t>12 month - Fixed term funding</t>
  </si>
  <si>
    <t>Cash flow facility</t>
  </si>
  <si>
    <t>4 month - Fixed term funding</t>
  </si>
  <si>
    <t>5 month - Fixed term funding</t>
  </si>
  <si>
    <t>7 month - Fixed term funding</t>
  </si>
  <si>
    <t>8 month - Fixed term funding</t>
  </si>
  <si>
    <t>10 month - Fixed term funding</t>
  </si>
  <si>
    <t>11 month - Fixed term funding</t>
  </si>
  <si>
    <t>For the month ended 31 December 2025</t>
  </si>
  <si>
    <t>As at 31 December 2025</t>
  </si>
  <si>
    <t>November 2025</t>
  </si>
  <si>
    <t>December 2025</t>
  </si>
  <si>
    <t>Key Performance Indicators</t>
  </si>
  <si>
    <t>Q3</t>
  </si>
  <si>
    <t>Q2</t>
  </si>
  <si>
    <t>Q1</t>
  </si>
  <si>
    <t>Q4</t>
  </si>
  <si>
    <t>March 2025</t>
  </si>
  <si>
    <t>December 2024</t>
  </si>
  <si>
    <t>September 2024</t>
  </si>
  <si>
    <t>June 2024</t>
  </si>
  <si>
    <t>March 2024</t>
  </si>
  <si>
    <t>December 2023</t>
  </si>
  <si>
    <t>September 2023</t>
  </si>
  <si>
    <t>June 2023</t>
  </si>
  <si>
    <t>March 2023</t>
  </si>
  <si>
    <t>December 2022</t>
  </si>
  <si>
    <t>Financial Metrics</t>
  </si>
  <si>
    <t>Credit Revenue</t>
  </si>
  <si>
    <t>Operational Metrics</t>
  </si>
  <si>
    <t>2.1</t>
  </si>
  <si>
    <t>Loans Disbursed (number)</t>
  </si>
  <si>
    <t>Loans Financed (value)</t>
  </si>
  <si>
    <t>Average Loan Size Disbursed</t>
  </si>
  <si>
    <t>Net Loan Portfolio</t>
  </si>
  <si>
    <t>Charge offs:</t>
  </si>
  <si>
    <t xml:space="preserve">  2.5.1</t>
  </si>
  <si>
    <t xml:space="preserve">      -Per Quarter</t>
  </si>
  <si>
    <t xml:space="preserve">  2.5.2</t>
  </si>
  <si>
    <t xml:space="preserve">  2.5.3</t>
  </si>
  <si>
    <t xml:space="preserve">      -Since inception</t>
  </si>
  <si>
    <t>Average Annualized Interest Rate</t>
  </si>
  <si>
    <t>Par 30 + Restructured loans</t>
  </si>
  <si>
    <t>Par 90</t>
  </si>
  <si>
    <t>Impact Metrics</t>
  </si>
  <si>
    <t>Total businesses funded - Unique Q3 - '25</t>
  </si>
  <si>
    <t>3.1.1</t>
  </si>
  <si>
    <t xml:space="preserve">     -Total active clients</t>
  </si>
  <si>
    <t>Number of SMEs - Unique to date</t>
  </si>
  <si>
    <t>Fulltime employees (in Lulalend)</t>
  </si>
  <si>
    <t>of which # of female employees</t>
  </si>
  <si>
    <t>3.5</t>
  </si>
  <si>
    <t xml:space="preserve">Countries in operation </t>
  </si>
  <si>
    <t>December  2025</t>
  </si>
  <si>
    <t xml:space="preserve">      -YTD (December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</si>
</sst>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[$R-809]#,##0.00;\-[$R-809]#,##0.00"/>
    <numFmt numFmtId="167" formatCode="_(* #,##0_);_(* \(#,##0\);_(* &quot;-&quot;??_);_(@_)"/>
    <numFmt numFmtId="168" formatCode="[$R-809]#,##0.0;\-[$R-809]#,##0.0"/>
    <numFmt numFmtId="169" formatCode="[$-10409]###,###,##0;\(###,###,##0\);&quot;-&quot;"/>
    <numFmt numFmtId="170" formatCode="0_ ;\-0\ "/>
    <numFmt numFmtId="171" formatCode="&quot;R&quot;#,##0.00_);[Red]\(&quot;R&quot;#,##0.00\)"/>
    <numFmt numFmtId="172" formatCode="_-* #,##0_-;\-* #,##0_-;_-* &quot;-&quot;??_-;_-@"/>
    <numFmt numFmtId="173" formatCode="[$-409]d\-mmm\-yy"/>
    <numFmt numFmtId="174" formatCode="_-* #,##0.00_-;\-* #,##0.00_-;_-* &quot;-&quot;??_-;_-@"/>
    <numFmt numFmtId="175" formatCode="[$-409]d/mmm/yy"/>
    <numFmt numFmtId="176" formatCode="_-* #,##0.0_-;\-* #,##0.0_-;_-* &quot;-&quot;?_-;_-@"/>
    <numFmt numFmtId="177" formatCode="_-* #,##0.000_-;\-* #,##0.000_-;_-* &quot;-&quot;???_-;_-@"/>
    <numFmt numFmtId="178" formatCode="[$-409]mmm\-yy"/>
    <numFmt numFmtId="179" formatCode="_-* #,##0_-;\-* #,##0_-;_-* &quot;-&quot;??_-;_-@_-"/>
    <numFmt numFmtId="180" formatCode="0.0%"/>
    <numFmt numFmtId="181" formatCode="#,##0.00;\(#,##0.00\)"/>
    <numFmt numFmtId="182" formatCode="_-* #,##0.0_-;\-* #,##0.0_-;_-* &quot;-&quot;??_-;_-@_-"/>
  </numFmts>
  <fonts count="92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1"/>
      <name val="Arial"/>
      <family val="2"/>
    </font>
    <font>
      <b/>
      <i/>
      <sz val="10"/>
      <color rgb="FFFF0000"/>
      <name val="Calibri"/>
      <family val="2"/>
    </font>
    <font>
      <i/>
      <sz val="10"/>
      <color rgb="FFFF0000"/>
      <name val="Calibri"/>
      <family val="2"/>
    </font>
    <font>
      <i/>
      <sz val="10"/>
      <color theme="1"/>
      <name val="Calibri"/>
      <family val="2"/>
    </font>
    <font>
      <i/>
      <u/>
      <sz val="10"/>
      <color rgb="FF0000FF"/>
      <name val="Calibri"/>
      <family val="2"/>
    </font>
    <font>
      <i/>
      <u/>
      <sz val="10"/>
      <color rgb="FF0000FF"/>
      <name val="Calibri"/>
      <family val="2"/>
    </font>
    <font>
      <b/>
      <i/>
      <sz val="10"/>
      <color theme="1"/>
      <name val="Calibri"/>
      <family val="2"/>
    </font>
    <font>
      <b/>
      <i/>
      <u/>
      <sz val="10"/>
      <color rgb="FF0000FF"/>
      <name val="Calibri"/>
      <family val="2"/>
    </font>
    <font>
      <b/>
      <i/>
      <u/>
      <sz val="10"/>
      <color rgb="FFFF0000"/>
      <name val="Calibri"/>
      <family val="2"/>
    </font>
    <font>
      <b/>
      <sz val="11"/>
      <color theme="1"/>
      <name val="Calibri"/>
      <family val="2"/>
    </font>
    <font>
      <sz val="10"/>
      <color rgb="FF7F7F7F"/>
      <name val="Calibri"/>
      <family val="2"/>
    </font>
    <font>
      <b/>
      <sz val="10"/>
      <color rgb="FF7F7F7F"/>
      <name val="Calibri"/>
      <family val="2"/>
    </font>
    <font>
      <sz val="10"/>
      <color rgb="FFFF0000"/>
      <name val="Calibri"/>
      <family val="2"/>
    </font>
    <font>
      <b/>
      <sz val="10"/>
      <color rgb="FF3F3F3F"/>
      <name val="Calibri"/>
      <family val="2"/>
    </font>
    <font>
      <sz val="10"/>
      <color rgb="FF3F3F3F"/>
      <name val="Calibri"/>
      <family val="2"/>
    </font>
    <font>
      <u/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Arial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</font>
    <font>
      <sz val="11"/>
      <color rgb="FF7F7F7F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0"/>
      <color theme="1"/>
      <name val="Lato"/>
      <family val="2"/>
    </font>
    <font>
      <b/>
      <sz val="10"/>
      <color theme="4"/>
      <name val="Lato"/>
      <family val="2"/>
    </font>
    <font>
      <sz val="10"/>
      <color theme="1"/>
      <name val="Lato"/>
      <family val="2"/>
    </font>
    <font>
      <sz val="10"/>
      <color theme="0"/>
      <name val="Lato"/>
      <family val="2"/>
    </font>
    <font>
      <b/>
      <sz val="10"/>
      <color theme="0"/>
      <name val="Lato"/>
      <family val="2"/>
    </font>
    <font>
      <sz val="11"/>
      <color rgb="FF2F5496"/>
      <name val="Calibri"/>
      <family val="2"/>
    </font>
    <font>
      <sz val="11"/>
      <color rgb="FF757070"/>
      <name val="Calibri"/>
      <family val="2"/>
    </font>
    <font>
      <sz val="11"/>
      <color rgb="FFAEABAB"/>
      <name val="Calibri"/>
      <family val="2"/>
    </font>
    <font>
      <sz val="11"/>
      <color rgb="FFB4C6E7"/>
      <name val="Calibri"/>
      <family val="2"/>
    </font>
    <font>
      <b/>
      <sz val="11"/>
      <color rgb="FF757070"/>
      <name val="Calibri"/>
      <family val="2"/>
    </font>
    <font>
      <sz val="11"/>
      <color rgb="FF000000"/>
      <name val="Calibri"/>
      <family val="2"/>
    </font>
    <font>
      <b/>
      <sz val="11"/>
      <color rgb="FF2F5496"/>
      <name val="Calibri"/>
      <family val="2"/>
    </font>
    <font>
      <i/>
      <sz val="11"/>
      <color rgb="FFFF0000"/>
      <name val="Calibri"/>
      <family val="2"/>
    </font>
    <font>
      <b/>
      <sz val="11"/>
      <color rgb="FF7F7F7F"/>
      <name val="Calibri"/>
      <family val="2"/>
    </font>
    <font>
      <b/>
      <i/>
      <sz val="11"/>
      <color theme="1"/>
      <name val="Calibri"/>
      <family val="2"/>
    </font>
    <font>
      <b/>
      <sz val="20"/>
      <color theme="1"/>
      <name val="Calibri"/>
      <family val="2"/>
    </font>
    <font>
      <b/>
      <i/>
      <u/>
      <sz val="10"/>
      <color rgb="FFFF0000"/>
      <name val="Calibri"/>
      <family val="2"/>
    </font>
    <font>
      <b/>
      <sz val="11"/>
      <color rgb="FFFF0000"/>
      <name val="Calibri"/>
      <family val="2"/>
    </font>
    <font>
      <u/>
      <sz val="10"/>
      <color rgb="FF3F3F3F"/>
      <name val="Calibri Light"/>
      <family val="2"/>
    </font>
    <font>
      <b/>
      <i/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"/>
      <family val="2"/>
    </font>
    <font>
      <sz val="11"/>
      <color theme="0" tint="-0.499984740745262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1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Calibri"/>
      <family val="2"/>
    </font>
    <font>
      <sz val="11"/>
      <color theme="6"/>
      <name val="Calibri"/>
      <family val="2"/>
    </font>
    <font>
      <b/>
      <sz val="11"/>
      <color theme="6"/>
      <name val="Calibri"/>
      <family val="2"/>
    </font>
    <font>
      <b/>
      <sz val="10"/>
      <color rgb="FFFF9999"/>
      <name val="Calibri"/>
      <family val="2"/>
    </font>
    <font>
      <b/>
      <sz val="9"/>
      <color rgb="FFFF9999"/>
      <name val="Arial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theme="0"/>
      <name val="Calibri"/>
      <family val="2"/>
      <scheme val="major"/>
    </font>
    <font>
      <i/>
      <sz val="11"/>
      <color theme="1"/>
      <name val="Calibri"/>
      <family val="2"/>
      <scheme val="major"/>
    </font>
    <font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FFFFCC"/>
        <bgColor rgb="FFFFFFCC"/>
      </patternFill>
    </fill>
    <fill>
      <patternFill patternType="solid">
        <fgColor rgb="FF009EA9"/>
        <bgColor rgb="FF009EA9"/>
      </patternFill>
    </fill>
    <fill>
      <patternFill patternType="solid">
        <fgColor rgb="FF9BE1D5"/>
        <bgColor rgb="FF9BE1D5"/>
      </patternFill>
    </fill>
    <fill>
      <patternFill patternType="solid">
        <fgColor rgb="FF89BADF"/>
        <bgColor rgb="FF89BADF"/>
      </patternFill>
    </fill>
    <fill>
      <patternFill patternType="solid">
        <fgColor rgb="FFB4C6E7"/>
        <bgColor rgb="FFB4C6E7"/>
      </patternFill>
    </fill>
    <fill>
      <patternFill patternType="solid">
        <fgColor rgb="FFADB9CA"/>
        <bgColor rgb="FFADB9CA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ADB9CA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17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rgb="FF000000"/>
      </left>
      <right style="thin">
        <color theme="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theme="0"/>
      </left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60">
    <xf numFmtId="0" fontId="0" fillId="0" borderId="0"/>
    <xf numFmtId="165" fontId="69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10" fillId="0" borderId="50"/>
    <xf numFmtId="0" fontId="75" fillId="0" borderId="50"/>
    <xf numFmtId="165" fontId="75" fillId="0" borderId="50" applyFont="0" applyFill="0" applyBorder="0" applyAlignment="0" applyProtection="0"/>
    <xf numFmtId="164" fontId="75" fillId="0" borderId="50" applyFont="0" applyFill="0" applyBorder="0" applyAlignment="0" applyProtection="0"/>
    <xf numFmtId="0" fontId="75" fillId="0" borderId="50"/>
    <xf numFmtId="0" fontId="9" fillId="0" borderId="50"/>
    <xf numFmtId="165" fontId="9" fillId="0" borderId="50" applyFont="0" applyFill="0" applyBorder="0" applyAlignment="0" applyProtection="0"/>
    <xf numFmtId="164" fontId="9" fillId="0" borderId="50" applyFont="0" applyFill="0" applyBorder="0" applyAlignment="0" applyProtection="0"/>
    <xf numFmtId="9" fontId="9" fillId="0" borderId="50" applyFont="0" applyFill="0" applyBorder="0" applyAlignment="0" applyProtection="0"/>
    <xf numFmtId="0" fontId="76" fillId="0" borderId="50"/>
    <xf numFmtId="0" fontId="77" fillId="0" borderId="50" applyNumberFormat="0" applyFill="0" applyBorder="0" applyAlignment="0" applyProtection="0"/>
    <xf numFmtId="0" fontId="76" fillId="0" borderId="50">
      <alignment vertical="center"/>
    </xf>
    <xf numFmtId="0" fontId="6" fillId="0" borderId="50"/>
    <xf numFmtId="0" fontId="5" fillId="0" borderId="50"/>
    <xf numFmtId="165" fontId="5" fillId="0" borderId="50" applyFont="0" applyFill="0" applyBorder="0" applyAlignment="0" applyProtection="0"/>
    <xf numFmtId="164" fontId="5" fillId="0" borderId="50" applyFont="0" applyFill="0" applyBorder="0" applyAlignment="0" applyProtection="0"/>
    <xf numFmtId="9" fontId="5" fillId="0" borderId="50" applyFont="0" applyFill="0" applyBorder="0" applyAlignment="0" applyProtection="0"/>
    <xf numFmtId="165" fontId="5" fillId="0" borderId="50" applyFont="0" applyFill="0" applyBorder="0" applyAlignment="0" applyProtection="0"/>
    <xf numFmtId="164" fontId="75" fillId="0" borderId="50" applyFont="0" applyFill="0" applyBorder="0" applyAlignment="0" applyProtection="0"/>
    <xf numFmtId="0" fontId="5" fillId="0" borderId="50"/>
    <xf numFmtId="164" fontId="5" fillId="0" borderId="50" applyFont="0" applyFill="0" applyBorder="0" applyAlignment="0" applyProtection="0"/>
    <xf numFmtId="9" fontId="5" fillId="0" borderId="50" applyFont="0" applyFill="0" applyBorder="0" applyAlignment="0" applyProtection="0"/>
    <xf numFmtId="0" fontId="4" fillId="0" borderId="50"/>
    <xf numFmtId="0" fontId="3" fillId="0" borderId="50"/>
    <xf numFmtId="165" fontId="3" fillId="0" borderId="50" applyFont="0" applyFill="0" applyBorder="0" applyAlignment="0" applyProtection="0"/>
    <xf numFmtId="9" fontId="3" fillId="0" borderId="50" applyFont="0" applyFill="0" applyBorder="0" applyAlignment="0" applyProtection="0"/>
    <xf numFmtId="0" fontId="75" fillId="0" borderId="50"/>
    <xf numFmtId="0" fontId="76" fillId="0" borderId="50">
      <alignment vertical="center"/>
    </xf>
    <xf numFmtId="0" fontId="85" fillId="0" borderId="50"/>
    <xf numFmtId="43" fontId="3" fillId="0" borderId="50" applyFont="0" applyFill="0" applyBorder="0" applyAlignment="0" applyProtection="0"/>
    <xf numFmtId="0" fontId="84" fillId="0" borderId="50"/>
    <xf numFmtId="165" fontId="6" fillId="0" borderId="50" applyFont="0" applyFill="0" applyBorder="0" applyAlignment="0" applyProtection="0"/>
    <xf numFmtId="9" fontId="6" fillId="0" borderId="50" applyFont="0" applyFill="0" applyBorder="0" applyAlignment="0" applyProtection="0"/>
    <xf numFmtId="0" fontId="6" fillId="0" borderId="50"/>
    <xf numFmtId="0" fontId="75" fillId="0" borderId="50"/>
    <xf numFmtId="0" fontId="3" fillId="0" borderId="50"/>
    <xf numFmtId="165" fontId="3" fillId="0" borderId="50" applyFont="0" applyFill="0" applyBorder="0" applyAlignment="0" applyProtection="0"/>
    <xf numFmtId="164" fontId="3" fillId="0" borderId="50" applyFont="0" applyFill="0" applyBorder="0" applyAlignment="0" applyProtection="0"/>
    <xf numFmtId="9" fontId="3" fillId="0" borderId="50" applyFont="0" applyFill="0" applyBorder="0" applyAlignment="0" applyProtection="0"/>
    <xf numFmtId="0" fontId="3" fillId="0" borderId="50"/>
    <xf numFmtId="165" fontId="3" fillId="0" borderId="50" applyFont="0" applyFill="0" applyBorder="0" applyAlignment="0" applyProtection="0"/>
    <xf numFmtId="164" fontId="3" fillId="0" borderId="50" applyFont="0" applyFill="0" applyBorder="0" applyAlignment="0" applyProtection="0"/>
    <xf numFmtId="9" fontId="3" fillId="0" borderId="50" applyFont="0" applyFill="0" applyBorder="0" applyAlignment="0" applyProtection="0"/>
    <xf numFmtId="165" fontId="3" fillId="0" borderId="50" applyFont="0" applyFill="0" applyBorder="0" applyAlignment="0" applyProtection="0"/>
    <xf numFmtId="0" fontId="3" fillId="0" borderId="50"/>
    <xf numFmtId="164" fontId="3" fillId="0" borderId="50" applyFont="0" applyFill="0" applyBorder="0" applyAlignment="0" applyProtection="0"/>
    <xf numFmtId="9" fontId="3" fillId="0" borderId="50" applyFont="0" applyFill="0" applyBorder="0" applyAlignment="0" applyProtection="0"/>
    <xf numFmtId="0" fontId="3" fillId="0" borderId="50"/>
    <xf numFmtId="0" fontId="76" fillId="0" borderId="50"/>
    <xf numFmtId="0" fontId="2" fillId="0" borderId="50"/>
    <xf numFmtId="9" fontId="6" fillId="0" borderId="50" applyFont="0" applyFill="0" applyBorder="0" applyAlignment="0" applyProtection="0"/>
    <xf numFmtId="0" fontId="6" fillId="0" borderId="50"/>
    <xf numFmtId="165" fontId="6" fillId="0" borderId="50" applyFont="0" applyFill="0" applyBorder="0" applyAlignment="0" applyProtection="0"/>
    <xf numFmtId="0" fontId="6" fillId="0" borderId="50"/>
    <xf numFmtId="0" fontId="86" fillId="0" borderId="50"/>
    <xf numFmtId="0" fontId="1" fillId="0" borderId="50"/>
    <xf numFmtId="0" fontId="1" fillId="0" borderId="50"/>
  </cellStyleXfs>
  <cellXfs count="1275">
    <xf numFmtId="0" fontId="0" fillId="0" borderId="0" xfId="0"/>
    <xf numFmtId="166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66" fontId="11" fillId="2" borderId="1" xfId="0" applyNumberFormat="1" applyFont="1" applyFill="1" applyBorder="1" applyAlignment="1">
      <alignment horizontal="center" vertical="center"/>
    </xf>
    <xf numFmtId="167" fontId="12" fillId="2" borderId="1" xfId="0" applyNumberFormat="1" applyFont="1" applyFill="1" applyBorder="1" applyAlignment="1">
      <alignment vertical="center"/>
    </xf>
    <xf numFmtId="166" fontId="13" fillId="2" borderId="1" xfId="0" applyNumberFormat="1" applyFont="1" applyFill="1" applyBorder="1" applyAlignment="1">
      <alignment horizontal="center" vertical="center"/>
    </xf>
    <xf numFmtId="166" fontId="14" fillId="3" borderId="2" xfId="0" applyNumberFormat="1" applyFont="1" applyFill="1" applyBorder="1" applyAlignment="1">
      <alignment horizontal="center" vertical="center"/>
    </xf>
    <xf numFmtId="166" fontId="13" fillId="2" borderId="3" xfId="0" applyNumberFormat="1" applyFont="1" applyFill="1" applyBorder="1" applyAlignment="1">
      <alignment horizontal="center" vertical="center"/>
    </xf>
    <xf numFmtId="166" fontId="13" fillId="2" borderId="3" xfId="0" quotePrefix="1" applyNumberFormat="1" applyFont="1" applyFill="1" applyBorder="1" applyAlignment="1">
      <alignment horizontal="center" vertical="center"/>
    </xf>
    <xf numFmtId="167" fontId="13" fillId="2" borderId="3" xfId="0" quotePrefix="1" applyNumberFormat="1" applyFont="1" applyFill="1" applyBorder="1" applyAlignment="1">
      <alignment horizontal="center" vertical="center"/>
    </xf>
    <xf numFmtId="166" fontId="13" fillId="2" borderId="2" xfId="0" quotePrefix="1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167" fontId="12" fillId="2" borderId="5" xfId="0" applyNumberFormat="1" applyFont="1" applyFill="1" applyBorder="1" applyAlignment="1">
      <alignment vertical="center"/>
    </xf>
    <xf numFmtId="166" fontId="13" fillId="2" borderId="1" xfId="0" applyNumberFormat="1" applyFont="1" applyFill="1" applyBorder="1" applyAlignment="1">
      <alignment vertical="center"/>
    </xf>
    <xf numFmtId="166" fontId="12" fillId="2" borderId="1" xfId="0" applyNumberFormat="1" applyFont="1" applyFill="1" applyBorder="1" applyAlignment="1">
      <alignment vertical="center"/>
    </xf>
    <xf numFmtId="167" fontId="12" fillId="0" borderId="6" xfId="0" applyNumberFormat="1" applyFont="1" applyBorder="1" applyAlignment="1">
      <alignment vertical="center"/>
    </xf>
    <xf numFmtId="167" fontId="12" fillId="0" borderId="7" xfId="0" applyNumberFormat="1" applyFont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13" fillId="2" borderId="9" xfId="0" applyNumberFormat="1" applyFont="1" applyFill="1" applyBorder="1" applyAlignment="1">
      <alignment vertical="center"/>
    </xf>
    <xf numFmtId="167" fontId="13" fillId="2" borderId="8" xfId="0" applyNumberFormat="1" applyFont="1" applyFill="1" applyBorder="1" applyAlignment="1">
      <alignment vertical="center"/>
    </xf>
    <xf numFmtId="167" fontId="13" fillId="2" borderId="10" xfId="0" applyNumberFormat="1" applyFont="1" applyFill="1" applyBorder="1" applyAlignment="1">
      <alignment vertical="center"/>
    </xf>
    <xf numFmtId="167" fontId="12" fillId="4" borderId="5" xfId="0" applyNumberFormat="1" applyFont="1" applyFill="1" applyBorder="1" applyAlignment="1">
      <alignment vertical="center"/>
    </xf>
    <xf numFmtId="167" fontId="13" fillId="0" borderId="11" xfId="0" applyNumberFormat="1" applyFont="1" applyBorder="1" applyAlignment="1">
      <alignment vertical="center"/>
    </xf>
    <xf numFmtId="167" fontId="12" fillId="2" borderId="12" xfId="0" applyNumberFormat="1" applyFont="1" applyFill="1" applyBorder="1" applyAlignment="1">
      <alignment vertical="center"/>
    </xf>
    <xf numFmtId="167" fontId="12" fillId="0" borderId="0" xfId="0" applyNumberFormat="1" applyFont="1" applyAlignment="1">
      <alignment vertical="center"/>
    </xf>
    <xf numFmtId="167" fontId="12" fillId="0" borderId="13" xfId="0" applyNumberFormat="1" applyFont="1" applyBorder="1" applyAlignment="1">
      <alignment vertical="center"/>
    </xf>
    <xf numFmtId="167" fontId="12" fillId="0" borderId="14" xfId="0" applyNumberFormat="1" applyFont="1" applyBorder="1" applyAlignment="1">
      <alignment vertical="center"/>
    </xf>
    <xf numFmtId="167" fontId="13" fillId="2" borderId="15" xfId="0" applyNumberFormat="1" applyFont="1" applyFill="1" applyBorder="1" applyAlignment="1">
      <alignment vertical="center"/>
    </xf>
    <xf numFmtId="167" fontId="13" fillId="0" borderId="16" xfId="0" applyNumberFormat="1" applyFont="1" applyBorder="1" applyAlignment="1">
      <alignment vertical="center"/>
    </xf>
    <xf numFmtId="0" fontId="13" fillId="2" borderId="17" xfId="0" applyFont="1" applyFill="1" applyBorder="1" applyAlignment="1">
      <alignment vertical="center"/>
    </xf>
    <xf numFmtId="167" fontId="13" fillId="2" borderId="18" xfId="0" applyNumberFormat="1" applyFont="1" applyFill="1" applyBorder="1" applyAlignment="1">
      <alignment vertical="center"/>
    </xf>
    <xf numFmtId="167" fontId="13" fillId="2" borderId="17" xfId="0" applyNumberFormat="1" applyFont="1" applyFill="1" applyBorder="1" applyAlignment="1">
      <alignment vertical="center"/>
    </xf>
    <xf numFmtId="167" fontId="13" fillId="2" borderId="19" xfId="0" applyNumberFormat="1" applyFont="1" applyFill="1" applyBorder="1" applyAlignment="1">
      <alignment vertical="center"/>
    </xf>
    <xf numFmtId="167" fontId="13" fillId="0" borderId="20" xfId="0" applyNumberFormat="1" applyFont="1" applyBorder="1" applyAlignment="1">
      <alignment vertical="center"/>
    </xf>
    <xf numFmtId="167" fontId="13" fillId="0" borderId="21" xfId="0" applyNumberFormat="1" applyFont="1" applyBorder="1" applyAlignment="1">
      <alignment vertical="center"/>
    </xf>
    <xf numFmtId="167" fontId="13" fillId="0" borderId="22" xfId="0" applyNumberFormat="1" applyFont="1" applyBorder="1" applyAlignment="1">
      <alignment vertical="center"/>
    </xf>
    <xf numFmtId="168" fontId="12" fillId="2" borderId="1" xfId="0" applyNumberFormat="1" applyFont="1" applyFill="1" applyBorder="1" applyAlignment="1">
      <alignment horizontal="left" vertical="center"/>
    </xf>
    <xf numFmtId="167" fontId="12" fillId="2" borderId="23" xfId="0" applyNumberFormat="1" applyFont="1" applyFill="1" applyBorder="1" applyAlignment="1">
      <alignment vertical="center"/>
    </xf>
    <xf numFmtId="0" fontId="15" fillId="0" borderId="0" xfId="0" applyFont="1"/>
    <xf numFmtId="0" fontId="13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167" fontId="12" fillId="0" borderId="22" xfId="0" applyNumberFormat="1" applyFont="1" applyBorder="1" applyAlignment="1">
      <alignment vertical="center"/>
    </xf>
    <xf numFmtId="167" fontId="12" fillId="2" borderId="18" xfId="0" applyNumberFormat="1" applyFont="1" applyFill="1" applyBorder="1" applyAlignment="1">
      <alignment vertical="center"/>
    </xf>
    <xf numFmtId="166" fontId="13" fillId="5" borderId="1" xfId="0" applyNumberFormat="1" applyFont="1" applyFill="1" applyBorder="1" applyAlignment="1">
      <alignment vertical="center"/>
    </xf>
    <xf numFmtId="166" fontId="12" fillId="5" borderId="1" xfId="0" applyNumberFormat="1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167" fontId="13" fillId="0" borderId="26" xfId="0" applyNumberFormat="1" applyFont="1" applyBorder="1" applyAlignment="1">
      <alignment vertical="center"/>
    </xf>
    <xf numFmtId="167" fontId="13" fillId="0" borderId="27" xfId="0" applyNumberFormat="1" applyFont="1" applyBorder="1" applyAlignment="1">
      <alignment vertical="center"/>
    </xf>
    <xf numFmtId="0" fontId="12" fillId="2" borderId="28" xfId="0" applyFont="1" applyFill="1" applyBorder="1" applyAlignment="1">
      <alignment vertical="center"/>
    </xf>
    <xf numFmtId="167" fontId="12" fillId="2" borderId="28" xfId="0" applyNumberFormat="1" applyFont="1" applyFill="1" applyBorder="1" applyAlignment="1">
      <alignment vertical="center"/>
    </xf>
    <xf numFmtId="169" fontId="16" fillId="2" borderId="1" xfId="0" applyNumberFormat="1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169" fontId="18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vertical="center"/>
    </xf>
    <xf numFmtId="169" fontId="18" fillId="2" borderId="1" xfId="0" applyNumberFormat="1" applyFont="1" applyFill="1" applyBorder="1" applyAlignment="1">
      <alignment vertical="center"/>
    </xf>
    <xf numFmtId="169" fontId="19" fillId="2" borderId="1" xfId="0" applyNumberFormat="1" applyFont="1" applyFill="1" applyBorder="1" applyAlignment="1">
      <alignment vertical="center"/>
    </xf>
    <xf numFmtId="3" fontId="20" fillId="2" borderId="1" xfId="0" applyNumberFormat="1" applyFont="1" applyFill="1" applyBorder="1" applyAlignment="1">
      <alignment vertical="center"/>
    </xf>
    <xf numFmtId="3" fontId="18" fillId="2" borderId="1" xfId="0" applyNumberFormat="1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167" fontId="18" fillId="2" borderId="1" xfId="0" applyNumberFormat="1" applyFont="1" applyFill="1" applyBorder="1" applyAlignment="1">
      <alignment vertical="center"/>
    </xf>
    <xf numFmtId="167" fontId="18" fillId="0" borderId="0" xfId="0" applyNumberFormat="1" applyFont="1" applyAlignment="1">
      <alignment vertical="center"/>
    </xf>
    <xf numFmtId="169" fontId="18" fillId="0" borderId="0" xfId="0" applyNumberFormat="1" applyFont="1" applyAlignment="1">
      <alignment vertical="center"/>
    </xf>
    <xf numFmtId="169" fontId="21" fillId="2" borderId="1" xfId="0" applyNumberFormat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vertical="center"/>
    </xf>
    <xf numFmtId="169" fontId="21" fillId="2" borderId="1" xfId="0" applyNumberFormat="1" applyFont="1" applyFill="1" applyBorder="1" applyAlignment="1">
      <alignment vertical="center"/>
    </xf>
    <xf numFmtId="169" fontId="22" fillId="2" borderId="1" xfId="0" applyNumberFormat="1" applyFont="1" applyFill="1" applyBorder="1" applyAlignment="1">
      <alignment vertical="center"/>
    </xf>
    <xf numFmtId="167" fontId="21" fillId="2" borderId="1" xfId="0" applyNumberFormat="1" applyFont="1" applyFill="1" applyBorder="1" applyAlignment="1">
      <alignment vertical="center"/>
    </xf>
    <xf numFmtId="167" fontId="13" fillId="2" borderId="1" xfId="0" applyNumberFormat="1" applyFont="1" applyFill="1" applyBorder="1" applyAlignment="1">
      <alignment vertical="center"/>
    </xf>
    <xf numFmtId="169" fontId="23" fillId="2" borderId="1" xfId="0" applyNumberFormat="1" applyFont="1" applyFill="1" applyBorder="1" applyAlignment="1">
      <alignment vertical="center"/>
    </xf>
    <xf numFmtId="169" fontId="16" fillId="0" borderId="0" xfId="0" applyNumberFormat="1" applyFont="1" applyAlignment="1">
      <alignment vertical="center"/>
    </xf>
    <xf numFmtId="169" fontId="12" fillId="2" borderId="1" xfId="0" applyNumberFormat="1" applyFont="1" applyFill="1" applyBorder="1" applyAlignment="1">
      <alignment vertical="center"/>
    </xf>
    <xf numFmtId="43" fontId="12" fillId="2" borderId="1" xfId="0" applyNumberFormat="1" applyFont="1" applyFill="1" applyBorder="1" applyAlignment="1">
      <alignment vertical="center"/>
    </xf>
    <xf numFmtId="0" fontId="13" fillId="2" borderId="1" xfId="0" applyFont="1" applyFill="1" applyBorder="1"/>
    <xf numFmtId="169" fontId="13" fillId="2" borderId="1" xfId="0" applyNumberFormat="1" applyFont="1" applyFill="1" applyBorder="1" applyAlignment="1">
      <alignment vertical="center"/>
    </xf>
    <xf numFmtId="166" fontId="24" fillId="2" borderId="1" xfId="0" applyNumberFormat="1" applyFont="1" applyFill="1" applyBorder="1" applyAlignment="1">
      <alignment vertical="center"/>
    </xf>
    <xf numFmtId="166" fontId="24" fillId="0" borderId="0" xfId="0" applyNumberFormat="1" applyFont="1" applyAlignment="1">
      <alignment vertical="center"/>
    </xf>
    <xf numFmtId="0" fontId="12" fillId="2" borderId="1" xfId="0" applyFont="1" applyFill="1" applyBorder="1"/>
    <xf numFmtId="0" fontId="12" fillId="0" borderId="0" xfId="0" applyFont="1"/>
    <xf numFmtId="17" fontId="13" fillId="2" borderId="1" xfId="0" applyNumberFormat="1" applyFont="1" applyFill="1" applyBorder="1" applyAlignment="1">
      <alignment horizontal="center" vertical="center"/>
    </xf>
    <xf numFmtId="17" fontId="13" fillId="0" borderId="0" xfId="0" quotePrefix="1" applyNumberFormat="1" applyFont="1" applyAlignment="1">
      <alignment horizontal="center" vertical="center"/>
    </xf>
    <xf numFmtId="17" fontId="13" fillId="2" borderId="1" xfId="0" quotePrefix="1" applyNumberFormat="1" applyFont="1" applyFill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1" fontId="13" fillId="2" borderId="1" xfId="0" applyNumberFormat="1" applyFont="1" applyFill="1" applyBorder="1" applyAlignment="1">
      <alignment vertical="center"/>
    </xf>
    <xf numFmtId="167" fontId="12" fillId="0" borderId="29" xfId="0" applyNumberFormat="1" applyFont="1" applyBorder="1"/>
    <xf numFmtId="167" fontId="12" fillId="2" borderId="30" xfId="0" applyNumberFormat="1" applyFont="1" applyFill="1" applyBorder="1"/>
    <xf numFmtId="169" fontId="12" fillId="2" borderId="30" xfId="0" applyNumberFormat="1" applyFont="1" applyFill="1" applyBorder="1"/>
    <xf numFmtId="169" fontId="12" fillId="2" borderId="1" xfId="0" applyNumberFormat="1" applyFont="1" applyFill="1" applyBorder="1"/>
    <xf numFmtId="0" fontId="13" fillId="2" borderId="1" xfId="0" quotePrefix="1" applyFont="1" applyFill="1" applyBorder="1" applyAlignment="1">
      <alignment horizontal="center"/>
    </xf>
    <xf numFmtId="167" fontId="12" fillId="0" borderId="3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67" fontId="12" fillId="2" borderId="32" xfId="0" applyNumberFormat="1" applyFont="1" applyFill="1" applyBorder="1" applyAlignment="1">
      <alignment horizontal="center"/>
    </xf>
    <xf numFmtId="167" fontId="12" fillId="2" borderId="32" xfId="0" applyNumberFormat="1" applyFont="1" applyFill="1" applyBorder="1"/>
    <xf numFmtId="169" fontId="12" fillId="2" borderId="32" xfId="0" applyNumberFormat="1" applyFont="1" applyFill="1" applyBorder="1" applyAlignment="1">
      <alignment vertical="center"/>
    </xf>
    <xf numFmtId="167" fontId="12" fillId="0" borderId="31" xfId="0" applyNumberFormat="1" applyFont="1" applyBorder="1" applyAlignment="1">
      <alignment horizontal="right"/>
    </xf>
    <xf numFmtId="167" fontId="12" fillId="2" borderId="32" xfId="0" applyNumberFormat="1" applyFont="1" applyFill="1" applyBorder="1" applyAlignment="1">
      <alignment horizontal="right"/>
    </xf>
    <xf numFmtId="169" fontId="12" fillId="0" borderId="31" xfId="0" applyNumberFormat="1" applyFont="1" applyBorder="1" applyAlignment="1">
      <alignment vertical="center"/>
    </xf>
    <xf numFmtId="0" fontId="25" fillId="2" borderId="1" xfId="0" applyFont="1" applyFill="1" applyBorder="1"/>
    <xf numFmtId="0" fontId="26" fillId="2" borderId="1" xfId="0" applyFont="1" applyFill="1" applyBorder="1" applyAlignment="1">
      <alignment horizontal="center"/>
    </xf>
    <xf numFmtId="167" fontId="26" fillId="4" borderId="32" xfId="0" applyNumberFormat="1" applyFont="1" applyFill="1" applyBorder="1" applyAlignment="1">
      <alignment horizontal="center"/>
    </xf>
    <xf numFmtId="167" fontId="26" fillId="0" borderId="31" xfId="0" applyNumberFormat="1" applyFont="1" applyBorder="1" applyAlignment="1">
      <alignment horizontal="center"/>
    </xf>
    <xf numFmtId="167" fontId="26" fillId="2" borderId="32" xfId="0" applyNumberFormat="1" applyFont="1" applyFill="1" applyBorder="1" applyAlignment="1">
      <alignment horizontal="center"/>
    </xf>
    <xf numFmtId="167" fontId="26" fillId="6" borderId="32" xfId="0" applyNumberFormat="1" applyFont="1" applyFill="1" applyBorder="1" applyAlignment="1">
      <alignment horizontal="center"/>
    </xf>
    <xf numFmtId="169" fontId="25" fillId="2" borderId="30" xfId="0" applyNumberFormat="1" applyFont="1" applyFill="1" applyBorder="1" applyAlignment="1">
      <alignment vertical="center"/>
    </xf>
    <xf numFmtId="169" fontId="25" fillId="2" borderId="1" xfId="0" applyNumberFormat="1" applyFont="1" applyFill="1" applyBorder="1" applyAlignment="1">
      <alignment vertical="center"/>
    </xf>
    <xf numFmtId="169" fontId="25" fillId="2" borderId="33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167" fontId="12" fillId="0" borderId="34" xfId="0" applyNumberFormat="1" applyFont="1" applyBorder="1" applyAlignment="1">
      <alignment horizontal="center"/>
    </xf>
    <xf numFmtId="167" fontId="12" fillId="2" borderId="33" xfId="0" applyNumberFormat="1" applyFont="1" applyFill="1" applyBorder="1" applyAlignment="1">
      <alignment horizontal="center"/>
    </xf>
    <xf numFmtId="169" fontId="12" fillId="2" borderId="33" xfId="0" applyNumberFormat="1" applyFont="1" applyFill="1" applyBorder="1" applyAlignment="1">
      <alignment vertical="center"/>
    </xf>
    <xf numFmtId="169" fontId="12" fillId="2" borderId="33" xfId="0" applyNumberFormat="1" applyFont="1" applyFill="1" applyBorder="1" applyAlignment="1">
      <alignment vertical="center" wrapText="1"/>
    </xf>
    <xf numFmtId="167" fontId="12" fillId="0" borderId="0" xfId="0" applyNumberFormat="1" applyFont="1"/>
    <xf numFmtId="167" fontId="12" fillId="2" borderId="1" xfId="0" applyNumberFormat="1" applyFont="1" applyFill="1" applyBorder="1"/>
    <xf numFmtId="167" fontId="13" fillId="0" borderId="0" xfId="0" applyNumberFormat="1" applyFont="1" applyAlignment="1">
      <alignment vertical="center"/>
    </xf>
    <xf numFmtId="167" fontId="12" fillId="0" borderId="29" xfId="0" applyNumberFormat="1" applyFont="1" applyBorder="1" applyAlignment="1">
      <alignment vertical="center"/>
    </xf>
    <xf numFmtId="167" fontId="12" fillId="2" borderId="30" xfId="0" applyNumberFormat="1" applyFont="1" applyFill="1" applyBorder="1" applyAlignment="1">
      <alignment vertical="center"/>
    </xf>
    <xf numFmtId="167" fontId="13" fillId="2" borderId="30" xfId="0" applyNumberFormat="1" applyFont="1" applyFill="1" applyBorder="1" applyAlignment="1">
      <alignment vertical="center"/>
    </xf>
    <xf numFmtId="169" fontId="13" fillId="2" borderId="30" xfId="0" applyNumberFormat="1" applyFont="1" applyFill="1" applyBorder="1" applyAlignment="1">
      <alignment vertical="center"/>
    </xf>
    <xf numFmtId="169" fontId="12" fillId="2" borderId="30" xfId="0" applyNumberFormat="1" applyFont="1" applyFill="1" applyBorder="1" applyAlignment="1">
      <alignment vertical="center"/>
    </xf>
    <xf numFmtId="167" fontId="12" fillId="0" borderId="31" xfId="0" applyNumberFormat="1" applyFont="1" applyBorder="1"/>
    <xf numFmtId="167" fontId="12" fillId="0" borderId="34" xfId="0" applyNumberFormat="1" applyFont="1" applyBorder="1"/>
    <xf numFmtId="167" fontId="12" fillId="2" borderId="33" xfId="0" applyNumberFormat="1" applyFont="1" applyFill="1" applyBorder="1"/>
    <xf numFmtId="0" fontId="27" fillId="2" borderId="1" xfId="0" applyFont="1" applyFill="1" applyBorder="1"/>
    <xf numFmtId="167" fontId="27" fillId="0" borderId="0" xfId="0" applyNumberFormat="1" applyFont="1"/>
    <xf numFmtId="167" fontId="27" fillId="2" borderId="1" xfId="0" applyNumberFormat="1" applyFont="1" applyFill="1" applyBorder="1"/>
    <xf numFmtId="41" fontId="27" fillId="2" borderId="1" xfId="0" applyNumberFormat="1" applyFont="1" applyFill="1" applyBorder="1"/>
    <xf numFmtId="169" fontId="27" fillId="2" borderId="1" xfId="0" applyNumberFormat="1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167" fontId="28" fillId="2" borderId="1" xfId="0" applyNumberFormat="1" applyFont="1" applyFill="1" applyBorder="1"/>
    <xf numFmtId="167" fontId="29" fillId="2" borderId="1" xfId="0" applyNumberFormat="1" applyFont="1" applyFill="1" applyBorder="1"/>
    <xf numFmtId="41" fontId="29" fillId="2" borderId="1" xfId="0" applyNumberFormat="1" applyFont="1" applyFill="1" applyBorder="1"/>
    <xf numFmtId="169" fontId="29" fillId="2" borderId="1" xfId="0" applyNumberFormat="1" applyFont="1" applyFill="1" applyBorder="1"/>
    <xf numFmtId="167" fontId="29" fillId="2" borderId="30" xfId="0" applyNumberFormat="1" applyFont="1" applyFill="1" applyBorder="1"/>
    <xf numFmtId="167" fontId="29" fillId="0" borderId="29" xfId="0" applyNumberFormat="1" applyFont="1" applyBorder="1"/>
    <xf numFmtId="167" fontId="29" fillId="2" borderId="32" xfId="0" applyNumberFormat="1" applyFont="1" applyFill="1" applyBorder="1"/>
    <xf numFmtId="167" fontId="29" fillId="2" borderId="33" xfId="0" applyNumberFormat="1" applyFont="1" applyFill="1" applyBorder="1"/>
    <xf numFmtId="167" fontId="29" fillId="0" borderId="34" xfId="0" applyNumberFormat="1" applyFont="1" applyBorder="1"/>
    <xf numFmtId="170" fontId="12" fillId="0" borderId="0" xfId="0" applyNumberFormat="1" applyFont="1"/>
    <xf numFmtId="170" fontId="12" fillId="2" borderId="1" xfId="0" applyNumberFormat="1" applyFont="1" applyFill="1" applyBorder="1"/>
    <xf numFmtId="41" fontId="12" fillId="2" borderId="1" xfId="0" applyNumberFormat="1" applyFont="1" applyFill="1" applyBorder="1"/>
    <xf numFmtId="0" fontId="30" fillId="2" borderId="1" xfId="0" applyFont="1" applyFill="1" applyBorder="1"/>
    <xf numFmtId="167" fontId="12" fillId="0" borderId="35" xfId="0" applyNumberFormat="1" applyFont="1" applyBorder="1"/>
    <xf numFmtId="167" fontId="12" fillId="2" borderId="36" xfId="0" applyNumberFormat="1" applyFont="1" applyFill="1" applyBorder="1"/>
    <xf numFmtId="43" fontId="12" fillId="2" borderId="1" xfId="0" applyNumberFormat="1" applyFont="1" applyFill="1" applyBorder="1"/>
    <xf numFmtId="167" fontId="12" fillId="0" borderId="16" xfId="0" applyNumberFormat="1" applyFont="1" applyBorder="1"/>
    <xf numFmtId="167" fontId="12" fillId="2" borderId="8" xfId="0" applyNumberFormat="1" applyFont="1" applyFill="1" applyBorder="1"/>
    <xf numFmtId="167" fontId="12" fillId="0" borderId="37" xfId="0" applyNumberFormat="1" applyFont="1" applyBorder="1"/>
    <xf numFmtId="167" fontId="13" fillId="0" borderId="0" xfId="0" applyNumberFormat="1" applyFont="1"/>
    <xf numFmtId="167" fontId="13" fillId="2" borderId="1" xfId="0" applyNumberFormat="1" applyFont="1" applyFill="1" applyBorder="1"/>
    <xf numFmtId="169" fontId="13" fillId="2" borderId="24" xfId="0" applyNumberFormat="1" applyFont="1" applyFill="1" applyBorder="1" applyAlignment="1">
      <alignment vertical="center"/>
    </xf>
    <xf numFmtId="2" fontId="12" fillId="0" borderId="0" xfId="0" applyNumberFormat="1" applyFont="1"/>
    <xf numFmtId="2" fontId="12" fillId="2" borderId="1" xfId="0" applyNumberFormat="1" applyFont="1" applyFill="1" applyBorder="1"/>
    <xf numFmtId="10" fontId="12" fillId="0" borderId="0" xfId="0" applyNumberFormat="1" applyFont="1"/>
    <xf numFmtId="10" fontId="12" fillId="2" borderId="1" xfId="0" applyNumberFormat="1" applyFont="1" applyFill="1" applyBorder="1"/>
    <xf numFmtId="9" fontId="12" fillId="0" borderId="0" xfId="0" applyNumberFormat="1" applyFont="1"/>
    <xf numFmtId="9" fontId="12" fillId="2" borderId="1" xfId="0" applyNumberFormat="1" applyFont="1" applyFill="1" applyBorder="1"/>
    <xf numFmtId="0" fontId="3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5" fontId="24" fillId="2" borderId="1" xfId="0" quotePrefix="1" applyNumberFormat="1" applyFont="1" applyFill="1" applyBorder="1" applyAlignment="1">
      <alignment horizontal="center"/>
    </xf>
    <xf numFmtId="15" fontId="24" fillId="2" borderId="1" xfId="0" applyNumberFormat="1" applyFont="1" applyFill="1" applyBorder="1" applyAlignment="1">
      <alignment horizontal="center"/>
    </xf>
    <xf numFmtId="15" fontId="24" fillId="2" borderId="1" xfId="0" applyNumberFormat="1" applyFont="1" applyFill="1" applyBorder="1"/>
    <xf numFmtId="171" fontId="0" fillId="0" borderId="38" xfId="0" applyNumberFormat="1" applyBorder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32" fillId="2" borderId="1" xfId="0" applyFont="1" applyFill="1" applyBorder="1"/>
    <xf numFmtId="0" fontId="0" fillId="0" borderId="39" xfId="0" applyBorder="1" applyAlignment="1">
      <alignment vertical="center"/>
    </xf>
    <xf numFmtId="167" fontId="0" fillId="2" borderId="1" xfId="0" applyNumberFormat="1" applyFill="1" applyBorder="1"/>
    <xf numFmtId="167" fontId="0" fillId="0" borderId="0" xfId="0" applyNumberFormat="1"/>
    <xf numFmtId="166" fontId="33" fillId="0" borderId="38" xfId="0" applyNumberFormat="1" applyFont="1" applyBorder="1" applyAlignment="1">
      <alignment vertical="center"/>
    </xf>
    <xf numFmtId="167" fontId="0" fillId="2" borderId="24" xfId="0" applyNumberFormat="1" applyFill="1" applyBorder="1"/>
    <xf numFmtId="166" fontId="33" fillId="0" borderId="39" xfId="0" applyNumberFormat="1" applyFont="1" applyBorder="1" applyAlignment="1">
      <alignment vertical="center"/>
    </xf>
    <xf numFmtId="167" fontId="24" fillId="2" borderId="2" xfId="0" applyNumberFormat="1" applyFont="1" applyFill="1" applyBorder="1"/>
    <xf numFmtId="167" fontId="24" fillId="2" borderId="1" xfId="0" applyNumberFormat="1" applyFont="1" applyFill="1" applyBorder="1"/>
    <xf numFmtId="171" fontId="0" fillId="2" borderId="38" xfId="0" applyNumberFormat="1" applyFill="1" applyBorder="1"/>
    <xf numFmtId="43" fontId="24" fillId="2" borderId="1" xfId="0" applyNumberFormat="1" applyFont="1" applyFill="1" applyBorder="1"/>
    <xf numFmtId="0" fontId="24" fillId="2" borderId="1" xfId="0" applyFont="1" applyFill="1" applyBorder="1" applyAlignment="1">
      <alignment horizontal="center" vertical="center"/>
    </xf>
    <xf numFmtId="167" fontId="34" fillId="2" borderId="1" xfId="0" applyNumberFormat="1" applyFont="1" applyFill="1" applyBorder="1"/>
    <xf numFmtId="166" fontId="0" fillId="2" borderId="1" xfId="0" applyNumberFormat="1" applyFill="1" applyBorder="1"/>
    <xf numFmtId="0" fontId="0" fillId="2" borderId="38" xfId="0" applyFill="1" applyBorder="1"/>
    <xf numFmtId="43" fontId="0" fillId="2" borderId="1" xfId="0" applyNumberFormat="1" applyFill="1" applyBorder="1"/>
    <xf numFmtId="166" fontId="15" fillId="0" borderId="38" xfId="0" applyNumberFormat="1" applyFont="1" applyBorder="1" applyAlignment="1">
      <alignment vertical="center"/>
    </xf>
    <xf numFmtId="0" fontId="0" fillId="0" borderId="38" xfId="0" applyBorder="1" applyAlignment="1">
      <alignment vertical="center"/>
    </xf>
    <xf numFmtId="166" fontId="15" fillId="0" borderId="39" xfId="0" applyNumberFormat="1" applyFont="1" applyBorder="1" applyAlignment="1">
      <alignment vertical="center"/>
    </xf>
    <xf numFmtId="167" fontId="35" fillId="2" borderId="1" xfId="0" applyNumberFormat="1" applyFont="1" applyFill="1" applyBorder="1"/>
    <xf numFmtId="167" fontId="24" fillId="0" borderId="0" xfId="0" applyNumberFormat="1" applyFont="1"/>
    <xf numFmtId="0" fontId="0" fillId="2" borderId="1" xfId="0" quotePrefix="1" applyFill="1" applyBorder="1"/>
    <xf numFmtId="167" fontId="0" fillId="0" borderId="41" xfId="0" applyNumberFormat="1" applyBorder="1"/>
    <xf numFmtId="167" fontId="0" fillId="2" borderId="42" xfId="0" applyNumberFormat="1" applyFill="1" applyBorder="1"/>
    <xf numFmtId="167" fontId="0" fillId="2" borderId="28" xfId="0" applyNumberFormat="1" applyFill="1" applyBorder="1"/>
    <xf numFmtId="167" fontId="0" fillId="0" borderId="43" xfId="0" applyNumberFormat="1" applyBorder="1"/>
    <xf numFmtId="167" fontId="24" fillId="0" borderId="2" xfId="0" applyNumberFormat="1" applyFont="1" applyBorder="1"/>
    <xf numFmtId="3" fontId="0" fillId="2" borderId="1" xfId="0" applyNumberFormat="1" applyFill="1" applyBorder="1"/>
    <xf numFmtId="167" fontId="0" fillId="2" borderId="8" xfId="0" applyNumberFormat="1" applyFill="1" applyBorder="1"/>
    <xf numFmtId="3" fontId="0" fillId="2" borderId="8" xfId="0" applyNumberFormat="1" applyFill="1" applyBorder="1"/>
    <xf numFmtId="167" fontId="0" fillId="0" borderId="35" xfId="0" applyNumberFormat="1" applyBorder="1"/>
    <xf numFmtId="0" fontId="36" fillId="2" borderId="1" xfId="0" applyFont="1" applyFill="1" applyBorder="1" applyAlignment="1">
      <alignment horizontal="right"/>
    </xf>
    <xf numFmtId="0" fontId="0" fillId="2" borderId="44" xfId="0" applyFill="1" applyBorder="1"/>
    <xf numFmtId="4" fontId="0" fillId="7" borderId="44" xfId="0" applyNumberFormat="1" applyFill="1" applyBorder="1"/>
    <xf numFmtId="3" fontId="0" fillId="0" borderId="0" xfId="0" applyNumberFormat="1"/>
    <xf numFmtId="3" fontId="24" fillId="2" borderId="2" xfId="0" applyNumberFormat="1" applyFont="1" applyFill="1" applyBorder="1"/>
    <xf numFmtId="3" fontId="24" fillId="2" borderId="1" xfId="0" applyNumberFormat="1" applyFont="1" applyFill="1" applyBorder="1"/>
    <xf numFmtId="0" fontId="37" fillId="2" borderId="1" xfId="0" applyFont="1" applyFill="1" applyBorder="1" applyAlignment="1">
      <alignment horizontal="center" vertical="center"/>
    </xf>
    <xf numFmtId="0" fontId="38" fillId="2" borderId="1" xfId="0" applyFont="1" applyFill="1" applyBorder="1"/>
    <xf numFmtId="172" fontId="37" fillId="2" borderId="30" xfId="0" applyNumberFormat="1" applyFont="1" applyFill="1" applyBorder="1"/>
    <xf numFmtId="172" fontId="37" fillId="0" borderId="29" xfId="0" applyNumberFormat="1" applyFont="1" applyBorder="1"/>
    <xf numFmtId="0" fontId="37" fillId="2" borderId="1" xfId="0" applyFont="1" applyFill="1" applyBorder="1"/>
    <xf numFmtId="167" fontId="37" fillId="2" borderId="1" xfId="0" applyNumberFormat="1" applyFont="1" applyFill="1" applyBorder="1"/>
    <xf numFmtId="172" fontId="37" fillId="2" borderId="33" xfId="0" applyNumberFormat="1" applyFont="1" applyFill="1" applyBorder="1"/>
    <xf numFmtId="172" fontId="37" fillId="0" borderId="34" xfId="0" applyNumberFormat="1" applyFont="1" applyBorder="1"/>
    <xf numFmtId="167" fontId="39" fillId="2" borderId="1" xfId="0" applyNumberFormat="1" applyFont="1" applyFill="1" applyBorder="1"/>
    <xf numFmtId="172" fontId="39" fillId="2" borderId="1" xfId="0" applyNumberFormat="1" applyFont="1" applyFill="1" applyBorder="1"/>
    <xf numFmtId="1" fontId="0" fillId="2" borderId="1" xfId="0" applyNumberFormat="1" applyFill="1" applyBorder="1"/>
    <xf numFmtId="0" fontId="24" fillId="2" borderId="1" xfId="0" applyFont="1" applyFill="1" applyBorder="1"/>
    <xf numFmtId="3" fontId="0" fillId="2" borderId="36" xfId="0" applyNumberFormat="1" applyFill="1" applyBorder="1"/>
    <xf numFmtId="3" fontId="0" fillId="0" borderId="35" xfId="0" applyNumberFormat="1" applyBorder="1"/>
    <xf numFmtId="3" fontId="0" fillId="0" borderId="45" xfId="0" applyNumberFormat="1" applyBorder="1"/>
    <xf numFmtId="3" fontId="0" fillId="0" borderId="46" xfId="0" applyNumberFormat="1" applyBorder="1"/>
    <xf numFmtId="3" fontId="0" fillId="0" borderId="39" xfId="0" applyNumberFormat="1" applyBorder="1"/>
    <xf numFmtId="3" fontId="24" fillId="0" borderId="47" xfId="0" applyNumberFormat="1" applyFont="1" applyBorder="1"/>
    <xf numFmtId="3" fontId="24" fillId="2" borderId="48" xfId="0" applyNumberFormat="1" applyFont="1" applyFill="1" applyBorder="1"/>
    <xf numFmtId="10" fontId="0" fillId="0" borderId="0" xfId="0" applyNumberFormat="1"/>
    <xf numFmtId="10" fontId="0" fillId="2" borderId="1" xfId="0" applyNumberFormat="1" applyFill="1" applyBorder="1"/>
    <xf numFmtId="0" fontId="24" fillId="0" borderId="0" xfId="0" applyFont="1"/>
    <xf numFmtId="4" fontId="0" fillId="0" borderId="0" xfId="0" applyNumberFormat="1"/>
    <xf numFmtId="0" fontId="0" fillId="2" borderId="1" xfId="0" applyFill="1" applyBorder="1" applyAlignment="1">
      <alignment horizontal="center"/>
    </xf>
    <xf numFmtId="0" fontId="12" fillId="0" borderId="57" xfId="0" applyFont="1" applyBorder="1" applyAlignment="1">
      <alignment horizontal="center" vertical="center"/>
    </xf>
    <xf numFmtId="0" fontId="12" fillId="2" borderId="44" xfId="0" applyFont="1" applyFill="1" applyBorder="1" applyAlignment="1">
      <alignment horizontal="left" vertical="center"/>
    </xf>
    <xf numFmtId="174" fontId="0" fillId="2" borderId="1" xfId="0" applyNumberFormat="1" applyFill="1" applyBorder="1"/>
    <xf numFmtId="4" fontId="0" fillId="2" borderId="1" xfId="0" applyNumberFormat="1" applyFill="1" applyBorder="1"/>
    <xf numFmtId="0" fontId="39" fillId="2" borderId="1" xfId="0" applyFont="1" applyFill="1" applyBorder="1"/>
    <xf numFmtId="0" fontId="24" fillId="2" borderId="1" xfId="0" applyFont="1" applyFill="1" applyBorder="1" applyAlignment="1">
      <alignment horizontal="left"/>
    </xf>
    <xf numFmtId="9" fontId="0" fillId="0" borderId="0" xfId="0" applyNumberFormat="1"/>
    <xf numFmtId="43" fontId="0" fillId="0" borderId="0" xfId="0" applyNumberFormat="1"/>
    <xf numFmtId="0" fontId="51" fillId="0" borderId="0" xfId="0" applyFont="1"/>
    <xf numFmtId="0" fontId="51" fillId="2" borderId="1" xfId="0" applyFont="1" applyFill="1" applyBorder="1"/>
    <xf numFmtId="3" fontId="52" fillId="0" borderId="0" xfId="0" applyNumberFormat="1" applyFont="1"/>
    <xf numFmtId="0" fontId="24" fillId="2" borderId="1" xfId="0" quotePrefix="1" applyFont="1" applyFill="1" applyBorder="1" applyAlignment="1">
      <alignment horizontal="center" vertical="center"/>
    </xf>
    <xf numFmtId="172" fontId="0" fillId="2" borderId="1" xfId="0" applyNumberFormat="1" applyFill="1" applyBorder="1"/>
    <xf numFmtId="16" fontId="24" fillId="2" borderId="1" xfId="0" quotePrefix="1" applyNumberFormat="1" applyFont="1" applyFill="1" applyBorder="1" applyAlignment="1">
      <alignment horizontal="center" vertical="center"/>
    </xf>
    <xf numFmtId="3" fontId="24" fillId="2" borderId="1" xfId="0" quotePrefix="1" applyNumberFormat="1" applyFont="1" applyFill="1" applyBorder="1" applyAlignment="1">
      <alignment horizontal="center" vertical="center"/>
    </xf>
    <xf numFmtId="0" fontId="52" fillId="2" borderId="1" xfId="0" applyFont="1" applyFill="1" applyBorder="1"/>
    <xf numFmtId="3" fontId="52" fillId="2" borderId="1" xfId="0" applyNumberFormat="1" applyFont="1" applyFill="1" applyBorder="1"/>
    <xf numFmtId="0" fontId="0" fillId="2" borderId="1" xfId="0" applyFill="1" applyBorder="1" applyAlignment="1">
      <alignment horizontal="left"/>
    </xf>
    <xf numFmtId="0" fontId="45" fillId="0" borderId="0" xfId="0" applyFont="1"/>
    <xf numFmtId="167" fontId="52" fillId="0" borderId="38" xfId="0" applyNumberFormat="1" applyFont="1" applyBorder="1"/>
    <xf numFmtId="9" fontId="51" fillId="2" borderId="68" xfId="0" applyNumberFormat="1" applyFont="1" applyFill="1" applyBorder="1"/>
    <xf numFmtId="167" fontId="52" fillId="2" borderId="38" xfId="0" applyNumberFormat="1" applyFont="1" applyFill="1" applyBorder="1"/>
    <xf numFmtId="9" fontId="51" fillId="0" borderId="38" xfId="0" applyNumberFormat="1" applyFont="1" applyBorder="1"/>
    <xf numFmtId="9" fontId="51" fillId="2" borderId="38" xfId="0" applyNumberFormat="1" applyFont="1" applyFill="1" applyBorder="1"/>
    <xf numFmtId="3" fontId="52" fillId="0" borderId="38" xfId="0" applyNumberFormat="1" applyFont="1" applyBorder="1" applyAlignment="1">
      <alignment horizontal="center"/>
    </xf>
    <xf numFmtId="167" fontId="52" fillId="0" borderId="49" xfId="0" applyNumberFormat="1" applyFont="1" applyBorder="1"/>
    <xf numFmtId="167" fontId="52" fillId="0" borderId="46" xfId="0" applyNumberFormat="1" applyFont="1" applyBorder="1"/>
    <xf numFmtId="167" fontId="52" fillId="0" borderId="0" xfId="0" applyNumberFormat="1" applyFont="1"/>
    <xf numFmtId="167" fontId="52" fillId="2" borderId="1" xfId="0" applyNumberFormat="1" applyFont="1" applyFill="1" applyBorder="1"/>
    <xf numFmtId="3" fontId="52" fillId="0" borderId="0" xfId="0" applyNumberFormat="1" applyFont="1" applyAlignment="1">
      <alignment horizontal="center"/>
    </xf>
    <xf numFmtId="167" fontId="53" fillId="0" borderId="29" xfId="0" applyNumberFormat="1" applyFont="1" applyBorder="1"/>
    <xf numFmtId="9" fontId="54" fillId="2" borderId="38" xfId="0" applyNumberFormat="1" applyFont="1" applyFill="1" applyBorder="1"/>
    <xf numFmtId="167" fontId="53" fillId="2" borderId="30" xfId="0" applyNumberFormat="1" applyFont="1" applyFill="1" applyBorder="1"/>
    <xf numFmtId="3" fontId="24" fillId="2" borderId="69" xfId="0" applyNumberFormat="1" applyFont="1" applyFill="1" applyBorder="1" applyAlignment="1">
      <alignment horizontal="center"/>
    </xf>
    <xf numFmtId="167" fontId="53" fillId="0" borderId="31" xfId="0" applyNumberFormat="1" applyFont="1" applyBorder="1"/>
    <xf numFmtId="167" fontId="53" fillId="2" borderId="32" xfId="0" applyNumberFormat="1" applyFont="1" applyFill="1" applyBorder="1"/>
    <xf numFmtId="9" fontId="51" fillId="2" borderId="70" xfId="0" applyNumberFormat="1" applyFont="1" applyFill="1" applyBorder="1"/>
    <xf numFmtId="167" fontId="53" fillId="0" borderId="34" xfId="0" applyNumberFormat="1" applyFont="1" applyBorder="1"/>
    <xf numFmtId="167" fontId="53" fillId="2" borderId="33" xfId="0" applyNumberFormat="1" applyFont="1" applyFill="1" applyBorder="1"/>
    <xf numFmtId="172" fontId="24" fillId="2" borderId="69" xfId="0" applyNumberFormat="1" applyFont="1" applyFill="1" applyBorder="1"/>
    <xf numFmtId="172" fontId="24" fillId="2" borderId="1" xfId="0" applyNumberFormat="1" applyFont="1" applyFill="1" applyBorder="1"/>
    <xf numFmtId="0" fontId="24" fillId="2" borderId="71" xfId="0" applyFont="1" applyFill="1" applyBorder="1"/>
    <xf numFmtId="0" fontId="52" fillId="2" borderId="72" xfId="0" applyFont="1" applyFill="1" applyBorder="1"/>
    <xf numFmtId="0" fontId="51" fillId="2" borderId="71" xfId="0" applyFont="1" applyFill="1" applyBorder="1"/>
    <xf numFmtId="0" fontId="39" fillId="0" borderId="0" xfId="0" applyFont="1"/>
    <xf numFmtId="43" fontId="39" fillId="2" borderId="72" xfId="0" applyNumberFormat="1" applyFont="1" applyFill="1" applyBorder="1"/>
    <xf numFmtId="43" fontId="39" fillId="2" borderId="1" xfId="0" applyNumberFormat="1" applyFont="1" applyFill="1" applyBorder="1"/>
    <xf numFmtId="0" fontId="39" fillId="2" borderId="71" xfId="0" applyFont="1" applyFill="1" applyBorder="1"/>
    <xf numFmtId="176" fontId="39" fillId="2" borderId="1" xfId="0" applyNumberFormat="1" applyFont="1" applyFill="1" applyBorder="1"/>
    <xf numFmtId="177" fontId="39" fillId="2" borderId="1" xfId="0" applyNumberFormat="1" applyFont="1" applyFill="1" applyBorder="1"/>
    <xf numFmtId="3" fontId="39" fillId="2" borderId="1" xfId="0" applyNumberFormat="1" applyFont="1" applyFill="1" applyBorder="1"/>
    <xf numFmtId="3" fontId="39" fillId="0" borderId="0" xfId="0" applyNumberFormat="1" applyFont="1"/>
    <xf numFmtId="0" fontId="52" fillId="0" borderId="38" xfId="0" applyFont="1" applyBorder="1"/>
    <xf numFmtId="172" fontId="52" fillId="2" borderId="72" xfId="0" applyNumberFormat="1" applyFont="1" applyFill="1" applyBorder="1"/>
    <xf numFmtId="9" fontId="51" fillId="2" borderId="1" xfId="0" applyNumberFormat="1" applyFont="1" applyFill="1" applyBorder="1"/>
    <xf numFmtId="172" fontId="52" fillId="2" borderId="1" xfId="0" applyNumberFormat="1" applyFont="1" applyFill="1" applyBorder="1"/>
    <xf numFmtId="9" fontId="51" fillId="2" borderId="71" xfId="0" applyNumberFormat="1" applyFont="1" applyFill="1" applyBorder="1"/>
    <xf numFmtId="172" fontId="52" fillId="0" borderId="0" xfId="0" applyNumberFormat="1" applyFont="1"/>
    <xf numFmtId="172" fontId="51" fillId="2" borderId="1" xfId="0" applyNumberFormat="1" applyFont="1" applyFill="1" applyBorder="1"/>
    <xf numFmtId="9" fontId="24" fillId="2" borderId="71" xfId="0" applyNumberFormat="1" applyFont="1" applyFill="1" applyBorder="1"/>
    <xf numFmtId="9" fontId="24" fillId="2" borderId="1" xfId="0" applyNumberFormat="1" applyFont="1" applyFill="1" applyBorder="1"/>
    <xf numFmtId="0" fontId="55" fillId="2" borderId="72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167" fontId="52" fillId="0" borderId="73" xfId="0" applyNumberFormat="1" applyFont="1" applyBorder="1" applyAlignment="1">
      <alignment horizontal="center"/>
    </xf>
    <xf numFmtId="167" fontId="52" fillId="2" borderId="73" xfId="0" applyNumberFormat="1" applyFont="1" applyFill="1" applyBorder="1" applyAlignment="1">
      <alignment horizontal="center"/>
    </xf>
    <xf numFmtId="3" fontId="56" fillId="0" borderId="35" xfId="0" applyNumberFormat="1" applyFont="1" applyBorder="1" applyAlignment="1">
      <alignment horizontal="center"/>
    </xf>
    <xf numFmtId="167" fontId="52" fillId="0" borderId="74" xfId="0" applyNumberFormat="1" applyFont="1" applyBorder="1" applyAlignment="1">
      <alignment horizontal="center"/>
    </xf>
    <xf numFmtId="167" fontId="52" fillId="2" borderId="75" xfId="0" applyNumberFormat="1" applyFont="1" applyFill="1" applyBorder="1" applyAlignment="1">
      <alignment horizontal="center"/>
    </xf>
    <xf numFmtId="0" fontId="51" fillId="2" borderId="76" xfId="0" applyFont="1" applyFill="1" applyBorder="1"/>
    <xf numFmtId="167" fontId="52" fillId="0" borderId="77" xfId="0" applyNumberFormat="1" applyFont="1" applyBorder="1" applyAlignment="1">
      <alignment horizontal="center"/>
    </xf>
    <xf numFmtId="167" fontId="52" fillId="2" borderId="77" xfId="0" applyNumberFormat="1" applyFont="1" applyFill="1" applyBorder="1" applyAlignment="1">
      <alignment horizontal="center"/>
    </xf>
    <xf numFmtId="167" fontId="52" fillId="0" borderId="79" xfId="0" applyNumberFormat="1" applyFont="1" applyBorder="1" applyAlignment="1">
      <alignment horizontal="center"/>
    </xf>
    <xf numFmtId="172" fontId="52" fillId="0" borderId="79" xfId="0" applyNumberFormat="1" applyFont="1" applyBorder="1"/>
    <xf numFmtId="172" fontId="52" fillId="2" borderId="78" xfId="0" applyNumberFormat="1" applyFont="1" applyFill="1" applyBorder="1"/>
    <xf numFmtId="167" fontId="55" fillId="2" borderId="80" xfId="0" applyNumberFormat="1" applyFont="1" applyFill="1" applyBorder="1"/>
    <xf numFmtId="167" fontId="55" fillId="0" borderId="80" xfId="0" applyNumberFormat="1" applyFont="1" applyBorder="1"/>
    <xf numFmtId="3" fontId="56" fillId="0" borderId="0" xfId="0" applyNumberFormat="1" applyFont="1" applyAlignment="1">
      <alignment horizontal="center"/>
    </xf>
    <xf numFmtId="172" fontId="52" fillId="0" borderId="73" xfId="0" applyNumberFormat="1" applyFont="1" applyBorder="1" applyAlignment="1">
      <alignment horizontal="center"/>
    </xf>
    <xf numFmtId="172" fontId="52" fillId="2" borderId="73" xfId="0" applyNumberFormat="1" applyFont="1" applyFill="1" applyBorder="1" applyAlignment="1">
      <alignment horizontal="center"/>
    </xf>
    <xf numFmtId="172" fontId="52" fillId="0" borderId="74" xfId="0" applyNumberFormat="1" applyFont="1" applyBorder="1" applyAlignment="1">
      <alignment horizontal="center"/>
    </xf>
    <xf numFmtId="172" fontId="52" fillId="2" borderId="75" xfId="0" applyNumberFormat="1" applyFont="1" applyFill="1" applyBorder="1" applyAlignment="1">
      <alignment horizontal="center"/>
    </xf>
    <xf numFmtId="167" fontId="52" fillId="2" borderId="78" xfId="0" applyNumberFormat="1" applyFont="1" applyFill="1" applyBorder="1" applyAlignment="1">
      <alignment horizontal="center"/>
    </xf>
    <xf numFmtId="167" fontId="52" fillId="0" borderId="29" xfId="0" applyNumberFormat="1" applyFont="1" applyBorder="1" applyAlignment="1">
      <alignment horizontal="center"/>
    </xf>
    <xf numFmtId="167" fontId="52" fillId="2" borderId="30" xfId="0" applyNumberFormat="1" applyFont="1" applyFill="1" applyBorder="1" applyAlignment="1">
      <alignment horizontal="center"/>
    </xf>
    <xf numFmtId="167" fontId="52" fillId="0" borderId="31" xfId="0" applyNumberFormat="1" applyFont="1" applyBorder="1" applyAlignment="1">
      <alignment horizontal="center"/>
    </xf>
    <xf numFmtId="167" fontId="52" fillId="2" borderId="32" xfId="0" applyNumberFormat="1" applyFont="1" applyFill="1" applyBorder="1" applyAlignment="1">
      <alignment horizontal="center"/>
    </xf>
    <xf numFmtId="167" fontId="52" fillId="0" borderId="34" xfId="0" applyNumberFormat="1" applyFont="1" applyBorder="1" applyAlignment="1">
      <alignment horizontal="center"/>
    </xf>
    <xf numFmtId="167" fontId="52" fillId="2" borderId="33" xfId="0" applyNumberFormat="1" applyFont="1" applyFill="1" applyBorder="1" applyAlignment="1">
      <alignment horizontal="center"/>
    </xf>
    <xf numFmtId="3" fontId="55" fillId="2" borderId="80" xfId="0" applyNumberFormat="1" applyFont="1" applyFill="1" applyBorder="1"/>
    <xf numFmtId="0" fontId="57" fillId="2" borderId="1" xfId="0" applyFont="1" applyFill="1" applyBorder="1"/>
    <xf numFmtId="172" fontId="52" fillId="0" borderId="77" xfId="0" applyNumberFormat="1" applyFont="1" applyBorder="1" applyAlignment="1">
      <alignment horizontal="center"/>
    </xf>
    <xf numFmtId="172" fontId="52" fillId="0" borderId="79" xfId="0" applyNumberFormat="1" applyFont="1" applyBorder="1" applyAlignment="1">
      <alignment horizontal="center"/>
    </xf>
    <xf numFmtId="172" fontId="55" fillId="2" borderId="72" xfId="0" applyNumberFormat="1" applyFont="1" applyFill="1" applyBorder="1"/>
    <xf numFmtId="172" fontId="55" fillId="2" borderId="1" xfId="0" applyNumberFormat="1" applyFont="1" applyFill="1" applyBorder="1"/>
    <xf numFmtId="0" fontId="57" fillId="2" borderId="71" xfId="0" applyFont="1" applyFill="1" applyBorder="1"/>
    <xf numFmtId="0" fontId="55" fillId="2" borderId="72" xfId="0" applyFont="1" applyFill="1" applyBorder="1"/>
    <xf numFmtId="0" fontId="55" fillId="2" borderId="1" xfId="0" applyFont="1" applyFill="1" applyBorder="1"/>
    <xf numFmtId="9" fontId="52" fillId="0" borderId="38" xfId="0" applyNumberFormat="1" applyFont="1" applyBorder="1"/>
    <xf numFmtId="0" fontId="0" fillId="0" borderId="0" xfId="0" applyAlignment="1">
      <alignment horizontal="left"/>
    </xf>
    <xf numFmtId="9" fontId="51" fillId="0" borderId="83" xfId="0" applyNumberFormat="1" applyFont="1" applyBorder="1"/>
    <xf numFmtId="9" fontId="51" fillId="0" borderId="0" xfId="0" applyNumberFormat="1" applyFont="1"/>
    <xf numFmtId="0" fontId="58" fillId="0" borderId="0" xfId="0" applyFont="1"/>
    <xf numFmtId="172" fontId="24" fillId="0" borderId="84" xfId="0" applyNumberFormat="1" applyFont="1" applyBorder="1"/>
    <xf numFmtId="9" fontId="54" fillId="2" borderId="1" xfId="0" applyNumberFormat="1" applyFont="1" applyFill="1" applyBorder="1"/>
    <xf numFmtId="0" fontId="51" fillId="0" borderId="85" xfId="0" applyFont="1" applyBorder="1"/>
    <xf numFmtId="167" fontId="52" fillId="0" borderId="86" xfId="0" applyNumberFormat="1" applyFont="1" applyBorder="1" applyAlignment="1">
      <alignment horizontal="center"/>
    </xf>
    <xf numFmtId="9" fontId="52" fillId="2" borderId="1" xfId="0" applyNumberFormat="1" applyFont="1" applyFill="1" applyBorder="1"/>
    <xf numFmtId="172" fontId="51" fillId="0" borderId="0" xfId="0" applyNumberFormat="1" applyFont="1"/>
    <xf numFmtId="49" fontId="24" fillId="0" borderId="0" xfId="0" applyNumberFormat="1" applyFont="1"/>
    <xf numFmtId="0" fontId="0" fillId="0" borderId="0" xfId="0" applyAlignment="1">
      <alignment horizontal="center"/>
    </xf>
    <xf numFmtId="0" fontId="24" fillId="0" borderId="0" xfId="0" quotePrefix="1" applyFont="1"/>
    <xf numFmtId="49" fontId="24" fillId="0" borderId="0" xfId="0" quotePrefix="1" applyNumberFormat="1" applyFont="1"/>
    <xf numFmtId="2" fontId="0" fillId="2" borderId="1" xfId="0" applyNumberFormat="1" applyFill="1" applyBorder="1" applyAlignment="1">
      <alignment horizontal="center"/>
    </xf>
    <xf numFmtId="0" fontId="43" fillId="0" borderId="0" xfId="0" applyFont="1"/>
    <xf numFmtId="49" fontId="59" fillId="0" borderId="0" xfId="0" applyNumberFormat="1" applyFont="1"/>
    <xf numFmtId="0" fontId="41" fillId="0" borderId="0" xfId="0" applyFont="1"/>
    <xf numFmtId="3" fontId="41" fillId="0" borderId="0" xfId="0" applyNumberFormat="1" applyFont="1" applyAlignment="1">
      <alignment horizontal="right"/>
    </xf>
    <xf numFmtId="3" fontId="41" fillId="2" borderId="1" xfId="0" applyNumberFormat="1" applyFont="1" applyFill="1" applyBorder="1" applyAlignment="1">
      <alignment horizontal="right"/>
    </xf>
    <xf numFmtId="0" fontId="41" fillId="2" borderId="1" xfId="0" applyFont="1" applyFill="1" applyBorder="1"/>
    <xf numFmtId="0" fontId="41" fillId="0" borderId="0" xfId="0" applyFont="1" applyAlignment="1">
      <alignment horizontal="center"/>
    </xf>
    <xf numFmtId="2" fontId="24" fillId="0" borderId="0" xfId="0" applyNumberFormat="1" applyFont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0" fontId="0" fillId="15" borderId="1" xfId="0" applyFill="1" applyBorder="1" applyAlignment="1">
      <alignment horizontal="center"/>
    </xf>
    <xf numFmtId="9" fontId="24" fillId="0" borderId="0" xfId="0" applyNumberFormat="1" applyFont="1" applyAlignment="1">
      <alignment horizontal="right"/>
    </xf>
    <xf numFmtId="9" fontId="24" fillId="2" borderId="1" xfId="0" applyNumberFormat="1" applyFont="1" applyFill="1" applyBorder="1" applyAlignment="1">
      <alignment horizontal="right"/>
    </xf>
    <xf numFmtId="0" fontId="24" fillId="15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59" fillId="0" borderId="0" xfId="0" applyFont="1"/>
    <xf numFmtId="0" fontId="59" fillId="2" borderId="1" xfId="0" applyFont="1" applyFill="1" applyBorder="1"/>
    <xf numFmtId="10" fontId="24" fillId="0" borderId="0" xfId="0" applyNumberFormat="1" applyFont="1" applyAlignment="1">
      <alignment horizontal="right"/>
    </xf>
    <xf numFmtId="10" fontId="24" fillId="2" borderId="1" xfId="0" applyNumberFormat="1" applyFont="1" applyFill="1" applyBorder="1" applyAlignment="1">
      <alignment horizontal="right"/>
    </xf>
    <xf numFmtId="0" fontId="24" fillId="16" borderId="1" xfId="0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60" fillId="0" borderId="0" xfId="0" applyFont="1"/>
    <xf numFmtId="0" fontId="43" fillId="0" borderId="0" xfId="0" quotePrefix="1" applyFont="1"/>
    <xf numFmtId="0" fontId="24" fillId="2" borderId="1" xfId="0" applyFont="1" applyFill="1" applyBorder="1" applyAlignment="1">
      <alignment horizontal="right"/>
    </xf>
    <xf numFmtId="10" fontId="0" fillId="2" borderId="1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7" fontId="41" fillId="0" borderId="0" xfId="0" applyNumberFormat="1" applyFont="1"/>
    <xf numFmtId="0" fontId="24" fillId="2" borderId="1" xfId="0" quotePrefix="1" applyFont="1" applyFill="1" applyBorder="1"/>
    <xf numFmtId="49" fontId="24" fillId="2" borderId="1" xfId="0" applyNumberFormat="1" applyFont="1" applyFill="1" applyBorder="1"/>
    <xf numFmtId="167" fontId="41" fillId="2" borderId="1" xfId="0" applyNumberFormat="1" applyFont="1" applyFill="1" applyBorder="1" applyAlignment="1">
      <alignment horizontal="right"/>
    </xf>
    <xf numFmtId="167" fontId="41" fillId="0" borderId="0" xfId="0" applyNumberFormat="1" applyFont="1" applyAlignment="1">
      <alignment horizontal="right"/>
    </xf>
    <xf numFmtId="17" fontId="61" fillId="0" borderId="44" xfId="0" applyNumberFormat="1" applyFont="1" applyBorder="1" applyAlignment="1">
      <alignment horizontal="center" vertical="center"/>
    </xf>
    <xf numFmtId="0" fontId="24" fillId="17" borderId="44" xfId="0" applyFont="1" applyFill="1" applyBorder="1" applyAlignment="1">
      <alignment horizontal="center" vertical="center" wrapText="1"/>
    </xf>
    <xf numFmtId="167" fontId="24" fillId="17" borderId="44" xfId="0" applyNumberFormat="1" applyFont="1" applyFill="1" applyBorder="1" applyAlignment="1">
      <alignment horizontal="center" vertical="center" wrapText="1"/>
    </xf>
    <xf numFmtId="0" fontId="24" fillId="17" borderId="44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/>
    </xf>
    <xf numFmtId="178" fontId="0" fillId="15" borderId="1" xfId="0" applyNumberFormat="1" applyFill="1" applyBorder="1" applyAlignment="1">
      <alignment horizontal="center"/>
    </xf>
    <xf numFmtId="167" fontId="24" fillId="15" borderId="1" xfId="0" applyNumberFormat="1" applyFont="1" applyFill="1" applyBorder="1"/>
    <xf numFmtId="167" fontId="0" fillId="15" borderId="1" xfId="0" applyNumberFormat="1" applyFill="1" applyBorder="1"/>
    <xf numFmtId="9" fontId="0" fillId="15" borderId="1" xfId="0" applyNumberFormat="1" applyFill="1" applyBorder="1"/>
    <xf numFmtId="0" fontId="0" fillId="15" borderId="1" xfId="0" applyFill="1" applyBorder="1"/>
    <xf numFmtId="172" fontId="0" fillId="15" borderId="1" xfId="0" applyNumberFormat="1" applyFill="1" applyBorder="1"/>
    <xf numFmtId="172" fontId="0" fillId="0" borderId="0" xfId="0" applyNumberFormat="1"/>
    <xf numFmtId="3" fontId="24" fillId="0" borderId="0" xfId="0" applyNumberFormat="1" applyFont="1"/>
    <xf numFmtId="178" fontId="0" fillId="0" borderId="0" xfId="0" quotePrefix="1" applyNumberFormat="1" applyAlignment="1">
      <alignment horizontal="center"/>
    </xf>
    <xf numFmtId="0" fontId="24" fillId="15" borderId="1" xfId="0" applyFont="1" applyFill="1" applyBorder="1"/>
    <xf numFmtId="3" fontId="24" fillId="15" borderId="1" xfId="0" applyNumberFormat="1" applyFont="1" applyFill="1" applyBorder="1"/>
    <xf numFmtId="3" fontId="0" fillId="15" borderId="1" xfId="0" applyNumberFormat="1" applyFill="1" applyBorder="1"/>
    <xf numFmtId="167" fontId="24" fillId="0" borderId="87" xfId="0" applyNumberFormat="1" applyFont="1" applyBorder="1"/>
    <xf numFmtId="167" fontId="0" fillId="0" borderId="87" xfId="0" applyNumberFormat="1" applyBorder="1"/>
    <xf numFmtId="3" fontId="0" fillId="0" borderId="88" xfId="0" applyNumberFormat="1" applyBorder="1"/>
    <xf numFmtId="3" fontId="16" fillId="0" borderId="0" xfId="0" applyNumberFormat="1" applyFont="1" applyAlignment="1">
      <alignment vertical="center"/>
    </xf>
    <xf numFmtId="3" fontId="62" fillId="2" borderId="1" xfId="0" applyNumberFormat="1" applyFont="1" applyFill="1" applyBorder="1" applyAlignment="1">
      <alignment vertical="center"/>
    </xf>
    <xf numFmtId="3" fontId="56" fillId="0" borderId="0" xfId="0" applyNumberFormat="1" applyFont="1"/>
    <xf numFmtId="3" fontId="16" fillId="2" borderId="1" xfId="0" applyNumberFormat="1" applyFont="1" applyFill="1" applyBorder="1" applyAlignment="1">
      <alignment vertical="center"/>
    </xf>
    <xf numFmtId="0" fontId="12" fillId="2" borderId="50" xfId="0" applyFont="1" applyFill="1" applyBorder="1" applyAlignment="1">
      <alignment vertical="center"/>
    </xf>
    <xf numFmtId="0" fontId="12" fillId="2" borderId="54" xfId="0" applyFont="1" applyFill="1" applyBorder="1" applyAlignment="1">
      <alignment vertical="center"/>
    </xf>
    <xf numFmtId="167" fontId="12" fillId="2" borderId="54" xfId="0" applyNumberFormat="1" applyFont="1" applyFill="1" applyBorder="1" applyAlignment="1">
      <alignment vertical="center"/>
    </xf>
    <xf numFmtId="167" fontId="13" fillId="2" borderId="11" xfId="0" applyNumberFormat="1" applyFont="1" applyFill="1" applyBorder="1" applyAlignment="1">
      <alignment vertical="center"/>
    </xf>
    <xf numFmtId="43" fontId="12" fillId="2" borderId="50" xfId="0" applyNumberFormat="1" applyFont="1" applyFill="1" applyBorder="1" applyAlignment="1">
      <alignment vertical="center"/>
    </xf>
    <xf numFmtId="169" fontId="12" fillId="2" borderId="50" xfId="0" applyNumberFormat="1" applyFont="1" applyFill="1" applyBorder="1" applyAlignment="1">
      <alignment vertical="center"/>
    </xf>
    <xf numFmtId="166" fontId="24" fillId="2" borderId="50" xfId="0" applyNumberFormat="1" applyFont="1" applyFill="1" applyBorder="1" applyAlignment="1">
      <alignment vertical="center"/>
    </xf>
    <xf numFmtId="0" fontId="12" fillId="2" borderId="50" xfId="0" applyFont="1" applyFill="1" applyBorder="1"/>
    <xf numFmtId="166" fontId="13" fillId="2" borderId="50" xfId="0" applyNumberFormat="1" applyFont="1" applyFill="1" applyBorder="1" applyAlignment="1">
      <alignment vertical="center"/>
    </xf>
    <xf numFmtId="0" fontId="13" fillId="2" borderId="50" xfId="0" applyFont="1" applyFill="1" applyBorder="1"/>
    <xf numFmtId="0" fontId="27" fillId="2" borderId="50" xfId="0" applyFont="1" applyFill="1" applyBorder="1"/>
    <xf numFmtId="0" fontId="29" fillId="2" borderId="50" xfId="0" applyFont="1" applyFill="1" applyBorder="1"/>
    <xf numFmtId="17" fontId="13" fillId="2" borderId="50" xfId="0" applyNumberFormat="1" applyFont="1" applyFill="1" applyBorder="1" applyAlignment="1">
      <alignment horizontal="center" vertical="center"/>
    </xf>
    <xf numFmtId="0" fontId="13" fillId="2" borderId="50" xfId="0" quotePrefix="1" applyFont="1" applyFill="1" applyBorder="1" applyAlignment="1">
      <alignment horizontal="center"/>
    </xf>
    <xf numFmtId="0" fontId="26" fillId="2" borderId="50" xfId="0" applyFont="1" applyFill="1" applyBorder="1" applyAlignment="1">
      <alignment horizontal="center"/>
    </xf>
    <xf numFmtId="0" fontId="13" fillId="2" borderId="50" xfId="0" applyFont="1" applyFill="1" applyBorder="1" applyAlignment="1">
      <alignment horizontal="center"/>
    </xf>
    <xf numFmtId="0" fontId="0" fillId="2" borderId="50" xfId="0" applyFill="1" applyBorder="1"/>
    <xf numFmtId="0" fontId="32" fillId="2" borderId="50" xfId="0" applyFont="1" applyFill="1" applyBorder="1"/>
    <xf numFmtId="166" fontId="0" fillId="2" borderId="50" xfId="0" applyNumberFormat="1" applyFill="1" applyBorder="1"/>
    <xf numFmtId="0" fontId="0" fillId="2" borderId="50" xfId="0" quotePrefix="1" applyFill="1" applyBorder="1"/>
    <xf numFmtId="0" fontId="38" fillId="2" borderId="50" xfId="0" applyFont="1" applyFill="1" applyBorder="1"/>
    <xf numFmtId="0" fontId="24" fillId="2" borderId="50" xfId="0" applyFont="1" applyFill="1" applyBorder="1"/>
    <xf numFmtId="167" fontId="68" fillId="0" borderId="0" xfId="0" applyNumberFormat="1" applyFont="1"/>
    <xf numFmtId="0" fontId="68" fillId="0" borderId="0" xfId="0" applyFont="1"/>
    <xf numFmtId="167" fontId="0" fillId="18" borderId="0" xfId="0" applyNumberFormat="1" applyFill="1"/>
    <xf numFmtId="167" fontId="0" fillId="18" borderId="41" xfId="0" applyNumberFormat="1" applyFill="1" applyBorder="1"/>
    <xf numFmtId="167" fontId="52" fillId="0" borderId="1" xfId="0" applyNumberFormat="1" applyFont="1" applyBorder="1"/>
    <xf numFmtId="167" fontId="53" fillId="0" borderId="30" xfId="0" applyNumberFormat="1" applyFont="1" applyBorder="1"/>
    <xf numFmtId="167" fontId="53" fillId="0" borderId="32" xfId="0" applyNumberFormat="1" applyFont="1" applyBorder="1"/>
    <xf numFmtId="167" fontId="53" fillId="0" borderId="33" xfId="0" applyNumberFormat="1" applyFont="1" applyBorder="1"/>
    <xf numFmtId="172" fontId="52" fillId="0" borderId="1" xfId="0" applyNumberFormat="1" applyFont="1" applyBorder="1"/>
    <xf numFmtId="0" fontId="51" fillId="0" borderId="1" xfId="0" applyFont="1" applyBorder="1"/>
    <xf numFmtId="172" fontId="52" fillId="0" borderId="75" xfId="0" applyNumberFormat="1" applyFont="1" applyBorder="1" applyAlignment="1">
      <alignment horizontal="center"/>
    </xf>
    <xf numFmtId="167" fontId="52" fillId="0" borderId="75" xfId="0" applyNumberFormat="1" applyFont="1" applyBorder="1" applyAlignment="1">
      <alignment horizontal="center"/>
    </xf>
    <xf numFmtId="172" fontId="37" fillId="0" borderId="30" xfId="0" applyNumberFormat="1" applyFont="1" applyBorder="1"/>
    <xf numFmtId="172" fontId="37" fillId="0" borderId="33" xfId="0" applyNumberFormat="1" applyFont="1" applyBorder="1"/>
    <xf numFmtId="167" fontId="12" fillId="0" borderId="54" xfId="0" applyNumberFormat="1" applyFont="1" applyBorder="1" applyAlignment="1">
      <alignment vertical="center"/>
    </xf>
    <xf numFmtId="167" fontId="12" fillId="18" borderId="35" xfId="0" applyNumberFormat="1" applyFont="1" applyFill="1" applyBorder="1"/>
    <xf numFmtId="167" fontId="32" fillId="2" borderId="1" xfId="0" applyNumberFormat="1" applyFont="1" applyFill="1" applyBorder="1"/>
    <xf numFmtId="167" fontId="18" fillId="2" borderId="50" xfId="0" applyNumberFormat="1" applyFont="1" applyFill="1" applyBorder="1" applyAlignment="1">
      <alignment vertical="center"/>
    </xf>
    <xf numFmtId="167" fontId="13" fillId="2" borderId="50" xfId="0" applyNumberFormat="1" applyFont="1" applyFill="1" applyBorder="1" applyAlignment="1">
      <alignment vertical="center"/>
    </xf>
    <xf numFmtId="169" fontId="16" fillId="2" borderId="50" xfId="0" applyNumberFormat="1" applyFont="1" applyFill="1" applyBorder="1" applyAlignment="1">
      <alignment vertical="center"/>
    </xf>
    <xf numFmtId="0" fontId="51" fillId="2" borderId="50" xfId="0" applyFont="1" applyFill="1" applyBorder="1"/>
    <xf numFmtId="172" fontId="0" fillId="2" borderId="50" xfId="0" applyNumberFormat="1" applyFill="1" applyBorder="1"/>
    <xf numFmtId="9" fontId="51" fillId="2" borderId="50" xfId="0" applyNumberFormat="1" applyFont="1" applyFill="1" applyBorder="1"/>
    <xf numFmtId="9" fontId="51" fillId="2" borderId="83" xfId="0" applyNumberFormat="1" applyFont="1" applyFill="1" applyBorder="1"/>
    <xf numFmtId="9" fontId="51" fillId="0" borderId="50" xfId="0" applyNumberFormat="1" applyFont="1" applyBorder="1"/>
    <xf numFmtId="0" fontId="39" fillId="2" borderId="50" xfId="0" applyFont="1" applyFill="1" applyBorder="1"/>
    <xf numFmtId="9" fontId="54" fillId="2" borderId="50" xfId="0" applyNumberFormat="1" applyFont="1" applyFill="1" applyBorder="1"/>
    <xf numFmtId="9" fontId="24" fillId="2" borderId="50" xfId="0" applyNumberFormat="1" applyFont="1" applyFill="1" applyBorder="1"/>
    <xf numFmtId="0" fontId="57" fillId="2" borderId="50" xfId="0" applyFont="1" applyFill="1" applyBorder="1"/>
    <xf numFmtId="167" fontId="67" fillId="0" borderId="0" xfId="0" applyNumberFormat="1" applyFont="1"/>
    <xf numFmtId="0" fontId="0" fillId="2" borderId="50" xfId="0" applyFill="1" applyBorder="1" applyAlignment="1">
      <alignment horizontal="center" vertical="center"/>
    </xf>
    <xf numFmtId="3" fontId="0" fillId="2" borderId="50" xfId="0" applyNumberFormat="1" applyFill="1" applyBorder="1"/>
    <xf numFmtId="167" fontId="0" fillId="2" borderId="50" xfId="0" applyNumberFormat="1" applyFill="1" applyBorder="1"/>
    <xf numFmtId="43" fontId="0" fillId="2" borderId="50" xfId="0" applyNumberFormat="1" applyFill="1" applyBorder="1"/>
    <xf numFmtId="0" fontId="0" fillId="0" borderId="40" xfId="0" applyBorder="1" applyAlignment="1">
      <alignment vertical="center"/>
    </xf>
    <xf numFmtId="167" fontId="42" fillId="0" borderId="0" xfId="0" applyNumberFormat="1" applyFont="1"/>
    <xf numFmtId="167" fontId="0" fillId="0" borderId="28" xfId="0" applyNumberFormat="1" applyBorder="1"/>
    <xf numFmtId="0" fontId="0" fillId="2" borderId="50" xfId="0" applyFill="1" applyBorder="1" applyAlignment="1">
      <alignment horizontal="center"/>
    </xf>
    <xf numFmtId="167" fontId="13" fillId="2" borderId="22" xfId="0" applyNumberFormat="1" applyFont="1" applyFill="1" applyBorder="1" applyAlignment="1">
      <alignment vertical="center"/>
    </xf>
    <xf numFmtId="0" fontId="12" fillId="2" borderId="50" xfId="0" applyFont="1" applyFill="1" applyBorder="1" applyAlignment="1">
      <alignment horizontal="left" vertical="center"/>
    </xf>
    <xf numFmtId="167" fontId="12" fillId="2" borderId="50" xfId="0" applyNumberFormat="1" applyFont="1" applyFill="1" applyBorder="1" applyAlignment="1">
      <alignment vertical="center"/>
    </xf>
    <xf numFmtId="9" fontId="0" fillId="0" borderId="0" xfId="2" applyFont="1" applyFill="1"/>
    <xf numFmtId="167" fontId="27" fillId="18" borderId="0" xfId="0" applyNumberFormat="1" applyFont="1" applyFill="1"/>
    <xf numFmtId="9" fontId="38" fillId="2" borderId="50" xfId="2" applyFont="1" applyFill="1" applyBorder="1"/>
    <xf numFmtId="3" fontId="41" fillId="0" borderId="1" xfId="0" applyNumberFormat="1" applyFont="1" applyBorder="1" applyAlignment="1">
      <alignment horizontal="right"/>
    </xf>
    <xf numFmtId="167" fontId="74" fillId="0" borderId="31" xfId="0" applyNumberFormat="1" applyFont="1" applyBorder="1"/>
    <xf numFmtId="0" fontId="10" fillId="0" borderId="50" xfId="3"/>
    <xf numFmtId="43" fontId="10" fillId="0" borderId="50" xfId="3" applyNumberFormat="1"/>
    <xf numFmtId="0" fontId="46" fillId="0" borderId="50" xfId="3" applyFont="1"/>
    <xf numFmtId="175" fontId="47" fillId="11" borderId="50" xfId="3" applyNumberFormat="1" applyFont="1" applyFill="1" applyAlignment="1">
      <alignment vertical="center" wrapText="1"/>
    </xf>
    <xf numFmtId="0" fontId="48" fillId="0" borderId="50" xfId="3" applyFont="1"/>
    <xf numFmtId="0" fontId="49" fillId="0" borderId="50" xfId="3" applyFont="1"/>
    <xf numFmtId="0" fontId="50" fillId="12" borderId="16" xfId="3" applyFont="1" applyFill="1" applyBorder="1" applyAlignment="1">
      <alignment horizontal="center" vertical="center" wrapText="1"/>
    </xf>
    <xf numFmtId="15" fontId="49" fillId="12" borderId="50" xfId="3" applyNumberFormat="1" applyFont="1" applyFill="1" applyAlignment="1">
      <alignment horizontal="center" vertical="center" wrapText="1"/>
    </xf>
    <xf numFmtId="167" fontId="46" fillId="2" borderId="44" xfId="3" applyNumberFormat="1" applyFont="1" applyFill="1" applyBorder="1"/>
    <xf numFmtId="167" fontId="39" fillId="0" borderId="50" xfId="3" applyNumberFormat="1" applyFont="1"/>
    <xf numFmtId="167" fontId="10" fillId="0" borderId="50" xfId="3" applyNumberFormat="1"/>
    <xf numFmtId="0" fontId="46" fillId="2" borderId="88" xfId="3" applyFont="1" applyFill="1" applyBorder="1"/>
    <xf numFmtId="167" fontId="48" fillId="2" borderId="44" xfId="3" applyNumberFormat="1" applyFont="1" applyFill="1" applyBorder="1"/>
    <xf numFmtId="0" fontId="48" fillId="13" borderId="88" xfId="3" applyFont="1" applyFill="1" applyBorder="1"/>
    <xf numFmtId="167" fontId="48" fillId="13" borderId="88" xfId="3" applyNumberFormat="1" applyFont="1" applyFill="1" applyBorder="1"/>
    <xf numFmtId="167" fontId="48" fillId="0" borderId="50" xfId="3" applyNumberFormat="1" applyFont="1"/>
    <xf numFmtId="0" fontId="48" fillId="13" borderId="89" xfId="3" applyFont="1" applyFill="1" applyBorder="1"/>
    <xf numFmtId="167" fontId="48" fillId="13" borderId="89" xfId="3" applyNumberFormat="1" applyFont="1" applyFill="1" applyBorder="1"/>
    <xf numFmtId="0" fontId="48" fillId="13" borderId="48" xfId="3" applyFont="1" applyFill="1" applyBorder="1"/>
    <xf numFmtId="10" fontId="48" fillId="13" borderId="48" xfId="3" applyNumberFormat="1" applyFont="1" applyFill="1" applyBorder="1"/>
    <xf numFmtId="43" fontId="48" fillId="13" borderId="48" xfId="3" applyNumberFormat="1" applyFont="1" applyFill="1" applyBorder="1"/>
    <xf numFmtId="0" fontId="48" fillId="14" borderId="16" xfId="3" applyFont="1" applyFill="1" applyBorder="1"/>
    <xf numFmtId="167" fontId="48" fillId="14" borderId="16" xfId="3" applyNumberFormat="1" applyFont="1" applyFill="1" applyBorder="1"/>
    <xf numFmtId="43" fontId="48" fillId="14" borderId="16" xfId="3" applyNumberFormat="1" applyFont="1" applyFill="1" applyBorder="1"/>
    <xf numFmtId="0" fontId="48" fillId="14" borderId="89" xfId="3" applyFont="1" applyFill="1" applyBorder="1"/>
    <xf numFmtId="10" fontId="48" fillId="14" borderId="89" xfId="3" applyNumberFormat="1" applyFont="1" applyFill="1" applyBorder="1"/>
    <xf numFmtId="43" fontId="48" fillId="14" borderId="89" xfId="3" applyNumberFormat="1" applyFont="1" applyFill="1" applyBorder="1"/>
    <xf numFmtId="167" fontId="10" fillId="0" borderId="0" xfId="0" applyNumberFormat="1" applyFont="1"/>
    <xf numFmtId="167" fontId="12" fillId="0" borderId="5" xfId="0" applyNumberFormat="1" applyFont="1" applyBorder="1" applyAlignment="1">
      <alignment vertical="center"/>
    </xf>
    <xf numFmtId="167" fontId="18" fillId="0" borderId="50" xfId="0" applyNumberFormat="1" applyFont="1" applyBorder="1" applyAlignment="1">
      <alignment vertical="center"/>
    </xf>
    <xf numFmtId="167" fontId="13" fillId="0" borderId="1" xfId="0" applyNumberFormat="1" applyFont="1" applyBorder="1" applyAlignment="1">
      <alignment vertical="center"/>
    </xf>
    <xf numFmtId="169" fontId="16" fillId="0" borderId="1" xfId="0" applyNumberFormat="1" applyFont="1" applyBorder="1" applyAlignment="1">
      <alignment vertical="center"/>
    </xf>
    <xf numFmtId="167" fontId="13" fillId="18" borderId="9" xfId="0" applyNumberFormat="1" applyFont="1" applyFill="1" applyBorder="1" applyAlignment="1">
      <alignment vertical="center"/>
    </xf>
    <xf numFmtId="3" fontId="41" fillId="18" borderId="0" xfId="0" applyNumberFormat="1" applyFont="1" applyFill="1" applyAlignment="1">
      <alignment horizontal="right"/>
    </xf>
    <xf numFmtId="3" fontId="41" fillId="18" borderId="1" xfId="0" applyNumberFormat="1" applyFont="1" applyFill="1" applyBorder="1" applyAlignment="1">
      <alignment horizontal="right"/>
    </xf>
    <xf numFmtId="167" fontId="52" fillId="0" borderId="50" xfId="0" applyNumberFormat="1" applyFont="1" applyBorder="1"/>
    <xf numFmtId="167" fontId="53" fillId="0" borderId="53" xfId="0" applyNumberFormat="1" applyFont="1" applyBorder="1"/>
    <xf numFmtId="16" fontId="24" fillId="0" borderId="1" xfId="0" quotePrefix="1" applyNumberFormat="1" applyFont="1" applyBorder="1" applyAlignment="1">
      <alignment horizontal="center" vertical="center"/>
    </xf>
    <xf numFmtId="0" fontId="52" fillId="0" borderId="1" xfId="0" applyFont="1" applyBorder="1"/>
    <xf numFmtId="0" fontId="0" fillId="0" borderId="1" xfId="0" applyBorder="1"/>
    <xf numFmtId="167" fontId="52" fillId="0" borderId="30" xfId="0" applyNumberFormat="1" applyFont="1" applyBorder="1" applyAlignment="1">
      <alignment horizontal="center"/>
    </xf>
    <xf numFmtId="167" fontId="52" fillId="0" borderId="32" xfId="0" applyNumberFormat="1" applyFont="1" applyBorder="1" applyAlignment="1">
      <alignment horizontal="center"/>
    </xf>
    <xf numFmtId="167" fontId="52" fillId="0" borderId="33" xfId="0" applyNumberFormat="1" applyFont="1" applyBorder="1" applyAlignment="1">
      <alignment horizontal="center"/>
    </xf>
    <xf numFmtId="0" fontId="57" fillId="0" borderId="1" xfId="0" applyFont="1" applyBorder="1"/>
    <xf numFmtId="43" fontId="39" fillId="0" borderId="1" xfId="0" applyNumberFormat="1" applyFont="1" applyBorder="1"/>
    <xf numFmtId="172" fontId="24" fillId="0" borderId="69" xfId="0" applyNumberFormat="1" applyFont="1" applyBorder="1"/>
    <xf numFmtId="179" fontId="0" fillId="0" borderId="0" xfId="0" applyNumberFormat="1"/>
    <xf numFmtId="9" fontId="51" fillId="2" borderId="72" xfId="0" applyNumberFormat="1" applyFont="1" applyFill="1" applyBorder="1"/>
    <xf numFmtId="167" fontId="26" fillId="0" borderId="32" xfId="0" applyNumberFormat="1" applyFont="1" applyBorder="1" applyAlignment="1">
      <alignment horizontal="center"/>
    </xf>
    <xf numFmtId="0" fontId="0" fillId="0" borderId="50" xfId="0" applyBorder="1"/>
    <xf numFmtId="0" fontId="44" fillId="8" borderId="93" xfId="0" applyFont="1" applyFill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/>
    </xf>
    <xf numFmtId="167" fontId="0" fillId="2" borderId="34" xfId="0" applyNumberFormat="1" applyFill="1" applyBorder="1"/>
    <xf numFmtId="0" fontId="14" fillId="8" borderId="105" xfId="0" applyFont="1" applyFill="1" applyBorder="1" applyAlignment="1">
      <alignment horizontal="center" vertical="center" wrapText="1"/>
    </xf>
    <xf numFmtId="0" fontId="14" fillId="8" borderId="108" xfId="0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left" vertical="center"/>
    </xf>
    <xf numFmtId="3" fontId="12" fillId="0" borderId="111" xfId="0" applyNumberFormat="1" applyFont="1" applyBorder="1" applyAlignment="1">
      <alignment horizontal="center" vertical="center"/>
    </xf>
    <xf numFmtId="167" fontId="0" fillId="2" borderId="63" xfId="0" applyNumberFormat="1" applyFill="1" applyBorder="1"/>
    <xf numFmtId="0" fontId="42" fillId="0" borderId="50" xfId="0" applyFont="1" applyBorder="1"/>
    <xf numFmtId="0" fontId="74" fillId="0" borderId="66" xfId="0" applyFont="1" applyBorder="1" applyAlignment="1">
      <alignment horizontal="left" vertical="center"/>
    </xf>
    <xf numFmtId="3" fontId="74" fillId="0" borderId="97" xfId="0" applyNumberFormat="1" applyFont="1" applyBorder="1" applyAlignment="1">
      <alignment horizontal="center" vertical="center"/>
    </xf>
    <xf numFmtId="167" fontId="42" fillId="0" borderId="113" xfId="0" applyNumberFormat="1" applyFont="1" applyBorder="1"/>
    <xf numFmtId="0" fontId="42" fillId="0" borderId="0" xfId="0" applyFont="1"/>
    <xf numFmtId="172" fontId="74" fillId="0" borderId="92" xfId="0" applyNumberFormat="1" applyFont="1" applyBorder="1" applyAlignment="1">
      <alignment horizontal="center" vertical="center"/>
    </xf>
    <xf numFmtId="173" fontId="74" fillId="0" borderId="92" xfId="0" applyNumberFormat="1" applyFont="1" applyBorder="1" applyAlignment="1">
      <alignment horizontal="center" vertical="center"/>
    </xf>
    <xf numFmtId="10" fontId="74" fillId="0" borderId="92" xfId="0" applyNumberFormat="1" applyFont="1" applyBorder="1" applyAlignment="1">
      <alignment horizontal="center" vertical="center"/>
    </xf>
    <xf numFmtId="0" fontId="74" fillId="0" borderId="100" xfId="0" applyFont="1" applyBorder="1"/>
    <xf numFmtId="167" fontId="42" fillId="0" borderId="114" xfId="0" applyNumberFormat="1" applyFont="1" applyBorder="1"/>
    <xf numFmtId="167" fontId="42" fillId="0" borderId="115" xfId="0" applyNumberFormat="1" applyFont="1" applyBorder="1"/>
    <xf numFmtId="167" fontId="42" fillId="0" borderId="116" xfId="0" applyNumberFormat="1" applyFont="1" applyBorder="1"/>
    <xf numFmtId="167" fontId="42" fillId="0" borderId="117" xfId="0" applyNumberFormat="1" applyFont="1" applyBorder="1"/>
    <xf numFmtId="167" fontId="42" fillId="0" borderId="118" xfId="0" applyNumberFormat="1" applyFont="1" applyBorder="1"/>
    <xf numFmtId="167" fontId="13" fillId="0" borderId="9" xfId="0" applyNumberFormat="1" applyFont="1" applyBorder="1" applyAlignment="1">
      <alignment vertical="center"/>
    </xf>
    <xf numFmtId="167" fontId="0" fillId="0" borderId="1" xfId="0" applyNumberFormat="1" applyBorder="1"/>
    <xf numFmtId="3" fontId="0" fillId="0" borderId="1" xfId="0" applyNumberFormat="1" applyBorder="1"/>
    <xf numFmtId="166" fontId="12" fillId="2" borderId="50" xfId="0" applyNumberFormat="1" applyFont="1" applyFill="1" applyBorder="1" applyAlignment="1">
      <alignment vertical="center"/>
    </xf>
    <xf numFmtId="167" fontId="12" fillId="0" borderId="50" xfId="0" applyNumberFormat="1" applyFont="1" applyBorder="1" applyAlignment="1">
      <alignment vertical="center"/>
    </xf>
    <xf numFmtId="0" fontId="13" fillId="2" borderId="50" xfId="0" applyFont="1" applyFill="1" applyBorder="1" applyAlignment="1">
      <alignment vertical="center"/>
    </xf>
    <xf numFmtId="166" fontId="13" fillId="2" borderId="120" xfId="0" applyNumberFormat="1" applyFont="1" applyFill="1" applyBorder="1" applyAlignment="1">
      <alignment vertical="center"/>
    </xf>
    <xf numFmtId="0" fontId="12" fillId="2" borderId="91" xfId="0" applyFont="1" applyFill="1" applyBorder="1" applyAlignment="1">
      <alignment vertical="center"/>
    </xf>
    <xf numFmtId="0" fontId="12" fillId="2" borderId="120" xfId="0" applyFont="1" applyFill="1" applyBorder="1" applyAlignment="1">
      <alignment vertical="center"/>
    </xf>
    <xf numFmtId="167" fontId="12" fillId="2" borderId="120" xfId="0" applyNumberFormat="1" applyFont="1" applyFill="1" applyBorder="1" applyAlignment="1">
      <alignment vertical="center"/>
    </xf>
    <xf numFmtId="167" fontId="12" fillId="2" borderId="91" xfId="0" applyNumberFormat="1" applyFont="1" applyFill="1" applyBorder="1" applyAlignment="1">
      <alignment vertical="center"/>
    </xf>
    <xf numFmtId="0" fontId="0" fillId="18" borderId="50" xfId="0" applyFill="1" applyBorder="1"/>
    <xf numFmtId="0" fontId="0" fillId="18" borderId="0" xfId="0" applyFill="1"/>
    <xf numFmtId="3" fontId="0" fillId="18" borderId="0" xfId="0" applyNumberFormat="1" applyFill="1"/>
    <xf numFmtId="9" fontId="24" fillId="0" borderId="1" xfId="0" applyNumberFormat="1" applyFont="1" applyBorder="1"/>
    <xf numFmtId="166" fontId="14" fillId="2" borderId="4" xfId="0" quotePrefix="1" applyNumberFormat="1" applyFont="1" applyFill="1" applyBorder="1" applyAlignment="1">
      <alignment horizontal="center" vertical="center"/>
    </xf>
    <xf numFmtId="166" fontId="14" fillId="2" borderId="2" xfId="0" quotePrefix="1" applyNumberFormat="1" applyFont="1" applyFill="1" applyBorder="1" applyAlignment="1">
      <alignment horizontal="center" vertical="center"/>
    </xf>
    <xf numFmtId="9" fontId="51" fillId="2" borderId="85" xfId="0" applyNumberFormat="1" applyFont="1" applyFill="1" applyBorder="1"/>
    <xf numFmtId="172" fontId="24" fillId="0" borderId="124" xfId="0" applyNumberFormat="1" applyFont="1" applyBorder="1"/>
    <xf numFmtId="167" fontId="53" fillId="0" borderId="125" xfId="0" applyNumberFormat="1" applyFont="1" applyBorder="1"/>
    <xf numFmtId="167" fontId="53" fillId="0" borderId="126" xfId="0" applyNumberFormat="1" applyFont="1" applyBorder="1"/>
    <xf numFmtId="167" fontId="53" fillId="0" borderId="127" xfId="0" applyNumberFormat="1" applyFont="1" applyBorder="1"/>
    <xf numFmtId="172" fontId="38" fillId="2" borderId="50" xfId="0" applyNumberFormat="1" applyFont="1" applyFill="1" applyBorder="1"/>
    <xf numFmtId="3" fontId="41" fillId="2" borderId="50" xfId="0" applyNumberFormat="1" applyFont="1" applyFill="1" applyBorder="1" applyAlignment="1">
      <alignment horizontal="right"/>
    </xf>
    <xf numFmtId="9" fontId="24" fillId="2" borderId="50" xfId="0" applyNumberFormat="1" applyFont="1" applyFill="1" applyBorder="1" applyAlignment="1">
      <alignment horizontal="right"/>
    </xf>
    <xf numFmtId="10" fontId="24" fillId="2" borderId="50" xfId="0" applyNumberFormat="1" applyFont="1" applyFill="1" applyBorder="1" applyAlignment="1">
      <alignment horizontal="right"/>
    </xf>
    <xf numFmtId="3" fontId="41" fillId="18" borderId="50" xfId="0" applyNumberFormat="1" applyFont="1" applyFill="1" applyBorder="1" applyAlignment="1">
      <alignment horizontal="right"/>
    </xf>
    <xf numFmtId="3" fontId="41" fillId="0" borderId="50" xfId="0" applyNumberFormat="1" applyFont="1" applyBorder="1" applyAlignment="1">
      <alignment horizontal="right"/>
    </xf>
    <xf numFmtId="167" fontId="41" fillId="2" borderId="50" xfId="0" applyNumberFormat="1" applyFont="1" applyFill="1" applyBorder="1" applyAlignment="1">
      <alignment horizontal="right"/>
    </xf>
    <xf numFmtId="9" fontId="24" fillId="0" borderId="50" xfId="0" applyNumberFormat="1" applyFont="1" applyBorder="1"/>
    <xf numFmtId="167" fontId="41" fillId="0" borderId="1" xfId="0" applyNumberFormat="1" applyFont="1" applyBorder="1" applyAlignment="1">
      <alignment horizontal="right"/>
    </xf>
    <xf numFmtId="172" fontId="52" fillId="2" borderId="50" xfId="0" applyNumberFormat="1" applyFont="1" applyFill="1" applyBorder="1"/>
    <xf numFmtId="172" fontId="52" fillId="0" borderId="50" xfId="0" applyNumberFormat="1" applyFont="1" applyBorder="1"/>
    <xf numFmtId="0" fontId="7" fillId="2" borderId="50" xfId="0" applyFont="1" applyFill="1" applyBorder="1" applyAlignment="1">
      <alignment horizontal="left"/>
    </xf>
    <xf numFmtId="9" fontId="54" fillId="2" borderId="40" xfId="0" applyNumberFormat="1" applyFont="1" applyFill="1" applyBorder="1"/>
    <xf numFmtId="0" fontId="7" fillId="0" borderId="0" xfId="0" applyFont="1"/>
    <xf numFmtId="167" fontId="0" fillId="18" borderId="28" xfId="0" applyNumberFormat="1" applyFill="1" applyBorder="1"/>
    <xf numFmtId="9" fontId="0" fillId="0" borderId="0" xfId="2" applyFont="1"/>
    <xf numFmtId="0" fontId="6" fillId="2" borderId="1" xfId="0" applyFont="1" applyFill="1" applyBorder="1"/>
    <xf numFmtId="180" fontId="24" fillId="2" borderId="50" xfId="0" applyNumberFormat="1" applyFont="1" applyFill="1" applyBorder="1" applyAlignment="1">
      <alignment horizontal="right"/>
    </xf>
    <xf numFmtId="167" fontId="41" fillId="0" borderId="50" xfId="0" applyNumberFormat="1" applyFont="1" applyBorder="1" applyAlignment="1">
      <alignment horizontal="right"/>
    </xf>
    <xf numFmtId="9" fontId="51" fillId="0" borderId="68" xfId="0" applyNumberFormat="1" applyFont="1" applyBorder="1"/>
    <xf numFmtId="172" fontId="52" fillId="0" borderId="129" xfId="0" applyNumberFormat="1" applyFont="1" applyBorder="1" applyAlignment="1">
      <alignment horizontal="center"/>
    </xf>
    <xf numFmtId="179" fontId="0" fillId="0" borderId="126" xfId="0" applyNumberFormat="1" applyBorder="1"/>
    <xf numFmtId="167" fontId="52" fillId="0" borderId="129" xfId="0" applyNumberFormat="1" applyFont="1" applyBorder="1" applyAlignment="1">
      <alignment horizontal="center"/>
    </xf>
    <xf numFmtId="167" fontId="12" fillId="2" borderId="128" xfId="0" applyNumberFormat="1" applyFont="1" applyFill="1" applyBorder="1" applyAlignment="1">
      <alignment vertical="center"/>
    </xf>
    <xf numFmtId="0" fontId="51" fillId="0" borderId="50" xfId="0" applyFont="1" applyBorder="1"/>
    <xf numFmtId="0" fontId="57" fillId="0" borderId="50" xfId="0" applyFont="1" applyBorder="1"/>
    <xf numFmtId="0" fontId="6" fillId="2" borderId="50" xfId="0" applyFont="1" applyFill="1" applyBorder="1"/>
    <xf numFmtId="3" fontId="74" fillId="0" borderId="112" xfId="0" applyNumberFormat="1" applyFont="1" applyBorder="1" applyAlignment="1">
      <alignment horizontal="center" vertical="center"/>
    </xf>
    <xf numFmtId="0" fontId="0" fillId="19" borderId="0" xfId="0" applyFill="1"/>
    <xf numFmtId="0" fontId="24" fillId="20" borderId="1" xfId="0" applyFont="1" applyFill="1" applyBorder="1" applyAlignment="1">
      <alignment horizontal="left"/>
    </xf>
    <xf numFmtId="0" fontId="45" fillId="19" borderId="0" xfId="0" applyFont="1" applyFill="1"/>
    <xf numFmtId="0" fontId="24" fillId="20" borderId="1" xfId="0" applyFont="1" applyFill="1" applyBorder="1"/>
    <xf numFmtId="167" fontId="43" fillId="0" borderId="0" xfId="0" applyNumberFormat="1" applyFont="1"/>
    <xf numFmtId="167" fontId="51" fillId="0" borderId="1" xfId="0" applyNumberFormat="1" applyFont="1" applyBorder="1"/>
    <xf numFmtId="167" fontId="51" fillId="0" borderId="50" xfId="0" applyNumberFormat="1" applyFont="1" applyBorder="1"/>
    <xf numFmtId="165" fontId="0" fillId="0" borderId="0" xfId="1" applyFont="1"/>
    <xf numFmtId="165" fontId="0" fillId="18" borderId="50" xfId="0" applyNumberFormat="1" applyFill="1" applyBorder="1"/>
    <xf numFmtId="167" fontId="42" fillId="0" borderId="136" xfId="0" applyNumberFormat="1" applyFont="1" applyBorder="1"/>
    <xf numFmtId="172" fontId="0" fillId="0" borderId="1" xfId="0" applyNumberFormat="1" applyBorder="1"/>
    <xf numFmtId="0" fontId="6" fillId="2" borderId="1" xfId="0" applyFont="1" applyFill="1" applyBorder="1" applyAlignment="1">
      <alignment horizontal="left"/>
    </xf>
    <xf numFmtId="15" fontId="72" fillId="2" borderId="1" xfId="0" quotePrefix="1" applyNumberFormat="1" applyFont="1" applyFill="1" applyBorder="1" applyAlignment="1">
      <alignment horizontal="center"/>
    </xf>
    <xf numFmtId="167" fontId="0" fillId="2" borderId="1" xfId="2" applyNumberFormat="1" applyFont="1" applyFill="1" applyBorder="1"/>
    <xf numFmtId="166" fontId="78" fillId="2" borderId="2" xfId="0" quotePrefix="1" applyNumberFormat="1" applyFont="1" applyFill="1" applyBorder="1" applyAlignment="1">
      <alignment horizontal="center" vertical="center"/>
    </xf>
    <xf numFmtId="167" fontId="13" fillId="0" borderId="50" xfId="0" applyNumberFormat="1" applyFont="1" applyBorder="1" applyAlignment="1">
      <alignment vertical="center"/>
    </xf>
    <xf numFmtId="169" fontId="16" fillId="0" borderId="50" xfId="0" applyNumberFormat="1" applyFont="1" applyBorder="1" applyAlignment="1">
      <alignment vertical="center"/>
    </xf>
    <xf numFmtId="15" fontId="72" fillId="2" borderId="50" xfId="0" quotePrefix="1" applyNumberFormat="1" applyFont="1" applyFill="1" applyBorder="1" applyAlignment="1">
      <alignment horizontal="center"/>
    </xf>
    <xf numFmtId="16" fontId="24" fillId="0" borderId="50" xfId="0" quotePrefix="1" applyNumberFormat="1" applyFont="1" applyBorder="1" applyAlignment="1">
      <alignment horizontal="center" vertical="center"/>
    </xf>
    <xf numFmtId="172" fontId="0" fillId="0" borderId="50" xfId="0" applyNumberFormat="1" applyBorder="1"/>
    <xf numFmtId="0" fontId="52" fillId="0" borderId="50" xfId="0" applyFont="1" applyBorder="1"/>
    <xf numFmtId="9" fontId="51" fillId="0" borderId="85" xfId="0" applyNumberFormat="1" applyFont="1" applyBorder="1"/>
    <xf numFmtId="0" fontId="24" fillId="0" borderId="50" xfId="0" applyFont="1" applyBorder="1"/>
    <xf numFmtId="43" fontId="39" fillId="0" borderId="50" xfId="0" applyNumberFormat="1" applyFont="1" applyBorder="1"/>
    <xf numFmtId="0" fontId="39" fillId="0" borderId="50" xfId="0" applyFont="1" applyBorder="1"/>
    <xf numFmtId="9" fontId="54" fillId="0" borderId="40" xfId="0" applyNumberFormat="1" applyFont="1" applyBorder="1"/>
    <xf numFmtId="167" fontId="52" fillId="0" borderId="53" xfId="0" applyNumberFormat="1" applyFont="1" applyBorder="1" applyAlignment="1">
      <alignment horizontal="center"/>
    </xf>
    <xf numFmtId="3" fontId="24" fillId="0" borderId="69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/>
    <xf numFmtId="3" fontId="0" fillId="0" borderId="50" xfId="0" applyNumberFormat="1" applyBorder="1"/>
    <xf numFmtId="167" fontId="0" fillId="0" borderId="65" xfId="0" applyNumberFormat="1" applyBorder="1"/>
    <xf numFmtId="3" fontId="74" fillId="0" borderId="137" xfId="0" applyNumberFormat="1" applyFont="1" applyBorder="1" applyAlignment="1">
      <alignment horizontal="center" vertical="center"/>
    </xf>
    <xf numFmtId="172" fontId="74" fillId="0" borderId="138" xfId="0" applyNumberFormat="1" applyFont="1" applyBorder="1" applyAlignment="1">
      <alignment horizontal="center" vertical="center"/>
    </xf>
    <xf numFmtId="173" fontId="12" fillId="0" borderId="53" xfId="0" applyNumberFormat="1" applyFont="1" applyBorder="1" applyAlignment="1">
      <alignment horizontal="center" vertical="center"/>
    </xf>
    <xf numFmtId="10" fontId="12" fillId="0" borderId="65" xfId="0" applyNumberFormat="1" applyFont="1" applyBorder="1" applyAlignment="1">
      <alignment horizontal="center" vertical="center"/>
    </xf>
    <xf numFmtId="0" fontId="12" fillId="2" borderId="30" xfId="0" applyFont="1" applyFill="1" applyBorder="1" applyAlignment="1">
      <alignment horizontal="left" vertical="center"/>
    </xf>
    <xf numFmtId="0" fontId="12" fillId="0" borderId="141" xfId="0" applyFont="1" applyBorder="1"/>
    <xf numFmtId="167" fontId="0" fillId="0" borderId="53" xfId="0" applyNumberFormat="1" applyBorder="1"/>
    <xf numFmtId="167" fontId="0" fillId="0" borderId="64" xfId="0" applyNumberFormat="1" applyBorder="1"/>
    <xf numFmtId="167" fontId="0" fillId="0" borderId="142" xfId="0" applyNumberFormat="1" applyBorder="1"/>
    <xf numFmtId="174" fontId="0" fillId="2" borderId="50" xfId="0" applyNumberFormat="1" applyFill="1" applyBorder="1"/>
    <xf numFmtId="9" fontId="54" fillId="0" borderId="50" xfId="0" applyNumberFormat="1" applyFont="1" applyBorder="1"/>
    <xf numFmtId="0" fontId="51" fillId="2" borderId="0" xfId="0" applyFont="1" applyFill="1"/>
    <xf numFmtId="0" fontId="17" fillId="2" borderId="50" xfId="0" applyFont="1" applyFill="1" applyBorder="1"/>
    <xf numFmtId="0" fontId="58" fillId="2" borderId="50" xfId="0" applyFont="1" applyFill="1" applyBorder="1"/>
    <xf numFmtId="0" fontId="58" fillId="2" borderId="1" xfId="0" applyFont="1" applyFill="1" applyBorder="1"/>
    <xf numFmtId="4" fontId="12" fillId="2" borderId="1" xfId="0" applyNumberFormat="1" applyFont="1" applyFill="1" applyBorder="1" applyAlignment="1">
      <alignment vertical="center"/>
    </xf>
    <xf numFmtId="4" fontId="12" fillId="2" borderId="50" xfId="0" applyNumberFormat="1" applyFont="1" applyFill="1" applyBorder="1" applyAlignment="1">
      <alignment vertical="center"/>
    </xf>
    <xf numFmtId="167" fontId="13" fillId="18" borderId="50" xfId="0" applyNumberFormat="1" applyFont="1" applyFill="1" applyBorder="1" applyAlignment="1">
      <alignment vertical="center"/>
    </xf>
    <xf numFmtId="167" fontId="0" fillId="0" borderId="1" xfId="2" applyNumberFormat="1" applyFont="1" applyFill="1" applyBorder="1"/>
    <xf numFmtId="167" fontId="32" fillId="0" borderId="1" xfId="0" applyNumberFormat="1" applyFont="1" applyBorder="1"/>
    <xf numFmtId="167" fontId="0" fillId="0" borderId="24" xfId="0" applyNumberFormat="1" applyBorder="1"/>
    <xf numFmtId="43" fontId="24" fillId="0" borderId="1" xfId="0" applyNumberFormat="1" applyFont="1" applyBorder="1"/>
    <xf numFmtId="167" fontId="24" fillId="0" borderId="1" xfId="0" applyNumberFormat="1" applyFont="1" applyBorder="1"/>
    <xf numFmtId="0" fontId="32" fillId="0" borderId="1" xfId="0" applyFont="1" applyBorder="1"/>
    <xf numFmtId="167" fontId="6" fillId="0" borderId="1" xfId="0" applyNumberFormat="1" applyFont="1" applyBorder="1"/>
    <xf numFmtId="167" fontId="34" fillId="0" borderId="1" xfId="0" applyNumberFormat="1" applyFont="1" applyBorder="1"/>
    <xf numFmtId="167" fontId="0" fillId="0" borderId="8" xfId="0" applyNumberFormat="1" applyBorder="1"/>
    <xf numFmtId="167" fontId="39" fillId="0" borderId="1" xfId="0" applyNumberFormat="1" applyFont="1" applyBorder="1"/>
    <xf numFmtId="167" fontId="12" fillId="0" borderId="50" xfId="0" applyNumberFormat="1" applyFont="1" applyBorder="1"/>
    <xf numFmtId="1" fontId="0" fillId="0" borderId="1" xfId="0" applyNumberFormat="1" applyBorder="1"/>
    <xf numFmtId="3" fontId="0" fillId="0" borderId="36" xfId="0" applyNumberFormat="1" applyBorder="1"/>
    <xf numFmtId="165" fontId="0" fillId="0" borderId="0" xfId="1" applyFont="1" applyFill="1"/>
    <xf numFmtId="165" fontId="24" fillId="0" borderId="47" xfId="1" applyFont="1" applyFill="1" applyBorder="1"/>
    <xf numFmtId="172" fontId="39" fillId="0" borderId="0" xfId="0" applyNumberFormat="1" applyFont="1"/>
    <xf numFmtId="166" fontId="24" fillId="0" borderId="1" xfId="0" applyNumberFormat="1" applyFont="1" applyBorder="1" applyAlignment="1">
      <alignment vertical="center"/>
    </xf>
    <xf numFmtId="0" fontId="12" fillId="0" borderId="1" xfId="0" applyFont="1" applyBorder="1"/>
    <xf numFmtId="167" fontId="28" fillId="0" borderId="1" xfId="0" applyNumberFormat="1" applyFont="1" applyBorder="1"/>
    <xf numFmtId="167" fontId="29" fillId="0" borderId="30" xfId="0" applyNumberFormat="1" applyFont="1" applyBorder="1"/>
    <xf numFmtId="167" fontId="29" fillId="0" borderId="32" xfId="0" applyNumberFormat="1" applyFont="1" applyBorder="1"/>
    <xf numFmtId="167" fontId="29" fillId="0" borderId="33" xfId="0" applyNumberFormat="1" applyFont="1" applyBorder="1"/>
    <xf numFmtId="167" fontId="29" fillId="0" borderId="1" xfId="0" applyNumberFormat="1" applyFont="1" applyBorder="1"/>
    <xf numFmtId="2" fontId="24" fillId="2" borderId="50" xfId="0" applyNumberFormat="1" applyFont="1" applyFill="1" applyBorder="1" applyAlignment="1">
      <alignment horizontal="right"/>
    </xf>
    <xf numFmtId="0" fontId="72" fillId="2" borderId="1" xfId="0" quotePrefix="1" applyFont="1" applyFill="1" applyBorder="1" applyAlignment="1">
      <alignment horizontal="center"/>
    </xf>
    <xf numFmtId="0" fontId="42" fillId="2" borderId="1" xfId="0" applyFont="1" applyFill="1" applyBorder="1"/>
    <xf numFmtId="0" fontId="72" fillId="0" borderId="0" xfId="0" quotePrefix="1" applyFont="1" applyAlignment="1">
      <alignment horizontal="center"/>
    </xf>
    <xf numFmtId="0" fontId="72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2" fontId="42" fillId="2" borderId="1" xfId="0" applyNumberFormat="1" applyFont="1" applyFill="1" applyBorder="1" applyAlignment="1">
      <alignment horizontal="center"/>
    </xf>
    <xf numFmtId="2" fontId="42" fillId="0" borderId="0" xfId="0" applyNumberFormat="1" applyFont="1" applyAlignment="1">
      <alignment horizontal="center"/>
    </xf>
    <xf numFmtId="2" fontId="42" fillId="0" borderId="0" xfId="0" applyNumberFormat="1" applyFont="1"/>
    <xf numFmtId="3" fontId="42" fillId="2" borderId="1" xfId="0" applyNumberFormat="1" applyFont="1" applyFill="1" applyBorder="1" applyAlignment="1">
      <alignment horizontal="right"/>
    </xf>
    <xf numFmtId="3" fontId="42" fillId="0" borderId="0" xfId="0" applyNumberFormat="1" applyFont="1" applyAlignment="1">
      <alignment horizontal="right"/>
    </xf>
    <xf numFmtId="3" fontId="42" fillId="0" borderId="0" xfId="0" applyNumberFormat="1" applyFont="1" applyAlignment="1">
      <alignment horizontal="center"/>
    </xf>
    <xf numFmtId="2" fontId="72" fillId="2" borderId="1" xfId="0" applyNumberFormat="1" applyFont="1" applyFill="1" applyBorder="1" applyAlignment="1">
      <alignment horizontal="right"/>
    </xf>
    <xf numFmtId="2" fontId="72" fillId="0" borderId="0" xfId="0" applyNumberFormat="1" applyFont="1" applyAlignment="1">
      <alignment horizontal="right"/>
    </xf>
    <xf numFmtId="2" fontId="42" fillId="0" borderId="0" xfId="0" applyNumberFormat="1" applyFont="1" applyAlignment="1">
      <alignment horizontal="right"/>
    </xf>
    <xf numFmtId="0" fontId="42" fillId="0" borderId="0" xfId="0" applyFont="1" applyAlignment="1">
      <alignment horizontal="right"/>
    </xf>
    <xf numFmtId="9" fontId="72" fillId="2" borderId="1" xfId="0" applyNumberFormat="1" applyFont="1" applyFill="1" applyBorder="1" applyAlignment="1">
      <alignment horizontal="right"/>
    </xf>
    <xf numFmtId="9" fontId="72" fillId="0" borderId="0" xfId="0" applyNumberFormat="1" applyFont="1" applyAlignment="1">
      <alignment horizontal="right"/>
    </xf>
    <xf numFmtId="9" fontId="42" fillId="0" borderId="0" xfId="0" applyNumberFormat="1" applyFont="1" applyAlignment="1">
      <alignment horizontal="right"/>
    </xf>
    <xf numFmtId="0" fontId="72" fillId="2" borderId="1" xfId="0" applyFont="1" applyFill="1" applyBorder="1" applyAlignment="1">
      <alignment horizontal="center"/>
    </xf>
    <xf numFmtId="0" fontId="72" fillId="2" borderId="1" xfId="0" applyFont="1" applyFill="1" applyBorder="1"/>
    <xf numFmtId="0" fontId="72" fillId="0" borderId="0" xfId="0" applyFont="1"/>
    <xf numFmtId="9" fontId="72" fillId="0" borderId="0" xfId="0" applyNumberFormat="1" applyFont="1" applyAlignment="1">
      <alignment horizontal="center"/>
    </xf>
    <xf numFmtId="9" fontId="72" fillId="0" borderId="0" xfId="0" applyNumberFormat="1" applyFont="1"/>
    <xf numFmtId="0" fontId="42" fillId="2" borderId="1" xfId="0" applyFont="1" applyFill="1" applyBorder="1" applyAlignment="1">
      <alignment horizontal="center"/>
    </xf>
    <xf numFmtId="9" fontId="42" fillId="0" borderId="0" xfId="0" applyNumberFormat="1" applyFont="1" applyAlignment="1">
      <alignment horizontal="center"/>
    </xf>
    <xf numFmtId="9" fontId="42" fillId="0" borderId="0" xfId="0" applyNumberFormat="1" applyFont="1"/>
    <xf numFmtId="10" fontId="72" fillId="2" borderId="1" xfId="0" applyNumberFormat="1" applyFont="1" applyFill="1" applyBorder="1" applyAlignment="1">
      <alignment horizontal="right"/>
    </xf>
    <xf numFmtId="10" fontId="72" fillId="0" borderId="0" xfId="0" applyNumberFormat="1" applyFont="1" applyAlignment="1">
      <alignment horizontal="right"/>
    </xf>
    <xf numFmtId="0" fontId="72" fillId="0" borderId="0" xfId="0" applyFont="1" applyAlignment="1">
      <alignment horizontal="right"/>
    </xf>
    <xf numFmtId="10" fontId="42" fillId="2" borderId="1" xfId="0" applyNumberFormat="1" applyFont="1" applyFill="1" applyBorder="1"/>
    <xf numFmtId="10" fontId="42" fillId="0" borderId="0" xfId="0" applyNumberFormat="1" applyFont="1"/>
    <xf numFmtId="9" fontId="42" fillId="2" borderId="1" xfId="0" applyNumberFormat="1" applyFont="1" applyFill="1" applyBorder="1" applyAlignment="1">
      <alignment horizontal="center"/>
    </xf>
    <xf numFmtId="9" fontId="72" fillId="2" borderId="1" xfId="0" applyNumberFormat="1" applyFont="1" applyFill="1" applyBorder="1"/>
    <xf numFmtId="0" fontId="42" fillId="2" borderId="1" xfId="0" applyFont="1" applyFill="1" applyBorder="1" applyAlignment="1">
      <alignment horizontal="right"/>
    </xf>
    <xf numFmtId="10" fontId="42" fillId="2" borderId="1" xfId="0" applyNumberFormat="1" applyFont="1" applyFill="1" applyBorder="1" applyAlignment="1">
      <alignment horizontal="right"/>
    </xf>
    <xf numFmtId="10" fontId="42" fillId="0" borderId="0" xfId="0" applyNumberFormat="1" applyFont="1" applyAlignment="1">
      <alignment horizontal="right"/>
    </xf>
    <xf numFmtId="0" fontId="72" fillId="2" borderId="1" xfId="0" applyFont="1" applyFill="1" applyBorder="1" applyAlignment="1">
      <alignment horizontal="right"/>
    </xf>
    <xf numFmtId="167" fontId="42" fillId="2" borderId="1" xfId="0" applyNumberFormat="1" applyFont="1" applyFill="1" applyBorder="1" applyAlignment="1">
      <alignment horizontal="right"/>
    </xf>
    <xf numFmtId="0" fontId="42" fillId="2" borderId="50" xfId="0" applyFont="1" applyFill="1" applyBorder="1"/>
    <xf numFmtId="9" fontId="24" fillId="0" borderId="50" xfId="0" applyNumberFormat="1" applyFont="1" applyBorder="1" applyAlignment="1">
      <alignment horizontal="right"/>
    </xf>
    <xf numFmtId="9" fontId="72" fillId="0" borderId="50" xfId="0" applyNumberFormat="1" applyFont="1" applyBorder="1" applyAlignment="1">
      <alignment horizontal="right"/>
    </xf>
    <xf numFmtId="0" fontId="0" fillId="0" borderId="50" xfId="0" applyBorder="1" applyAlignment="1">
      <alignment horizontal="center"/>
    </xf>
    <xf numFmtId="0" fontId="24" fillId="0" borderId="50" xfId="0" applyFont="1" applyBorder="1" applyAlignment="1">
      <alignment horizontal="center"/>
    </xf>
    <xf numFmtId="2" fontId="72" fillId="2" borderId="50" xfId="0" applyNumberFormat="1" applyFont="1" applyFill="1" applyBorder="1" applyAlignment="1">
      <alignment horizontal="right"/>
    </xf>
    <xf numFmtId="10" fontId="72" fillId="2" borderId="50" xfId="0" applyNumberFormat="1" applyFont="1" applyFill="1" applyBorder="1" applyAlignment="1">
      <alignment horizontal="right"/>
    </xf>
    <xf numFmtId="0" fontId="72" fillId="2" borderId="50" xfId="0" applyFont="1" applyFill="1" applyBorder="1"/>
    <xf numFmtId="0" fontId="24" fillId="16" borderId="50" xfId="0" applyFont="1" applyFill="1" applyBorder="1" applyAlignment="1">
      <alignment horizontal="center"/>
    </xf>
    <xf numFmtId="10" fontId="0" fillId="2" borderId="50" xfId="0" applyNumberFormat="1" applyFill="1" applyBorder="1"/>
    <xf numFmtId="10" fontId="42" fillId="2" borderId="50" xfId="0" applyNumberFormat="1" applyFont="1" applyFill="1" applyBorder="1"/>
    <xf numFmtId="0" fontId="24" fillId="18" borderId="0" xfId="0" quotePrefix="1" applyFont="1" applyFill="1"/>
    <xf numFmtId="0" fontId="24" fillId="18" borderId="0" xfId="0" applyFont="1" applyFill="1"/>
    <xf numFmtId="9" fontId="72" fillId="18" borderId="0" xfId="0" applyNumberFormat="1" applyFont="1" applyFill="1" applyAlignment="1">
      <alignment horizontal="right"/>
    </xf>
    <xf numFmtId="0" fontId="42" fillId="18" borderId="0" xfId="0" applyFont="1" applyFill="1"/>
    <xf numFmtId="0" fontId="0" fillId="18" borderId="0" xfId="0" applyFill="1" applyAlignment="1">
      <alignment horizontal="center"/>
    </xf>
    <xf numFmtId="49" fontId="24" fillId="18" borderId="0" xfId="0" applyNumberFormat="1" applyFont="1" applyFill="1"/>
    <xf numFmtId="0" fontId="43" fillId="18" borderId="0" xfId="0" applyFont="1" applyFill="1"/>
    <xf numFmtId="0" fontId="39" fillId="18" borderId="0" xfId="0" applyFont="1" applyFill="1"/>
    <xf numFmtId="0" fontId="41" fillId="18" borderId="0" xfId="0" applyFont="1" applyFill="1"/>
    <xf numFmtId="49" fontId="59" fillId="18" borderId="0" xfId="0" applyNumberFormat="1" applyFont="1" applyFill="1"/>
    <xf numFmtId="3" fontId="42" fillId="18" borderId="0" xfId="0" applyNumberFormat="1" applyFont="1" applyFill="1" applyAlignment="1">
      <alignment horizontal="right"/>
    </xf>
    <xf numFmtId="0" fontId="41" fillId="18" borderId="0" xfId="0" applyFont="1" applyFill="1" applyAlignment="1">
      <alignment horizontal="center"/>
    </xf>
    <xf numFmtId="0" fontId="72" fillId="18" borderId="0" xfId="0" applyFont="1" applyFill="1"/>
    <xf numFmtId="0" fontId="24" fillId="18" borderId="0" xfId="0" applyFont="1" applyFill="1" applyAlignment="1">
      <alignment horizontal="center"/>
    </xf>
    <xf numFmtId="0" fontId="24" fillId="21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179" fontId="0" fillId="18" borderId="0" xfId="1" applyNumberFormat="1" applyFont="1" applyFill="1"/>
    <xf numFmtId="0" fontId="42" fillId="0" borderId="1" xfId="0" applyFont="1" applyBorder="1"/>
    <xf numFmtId="179" fontId="0" fillId="0" borderId="0" xfId="1" applyNumberFormat="1" applyFont="1" applyFill="1"/>
    <xf numFmtId="173" fontId="74" fillId="0" borderId="130" xfId="0" applyNumberFormat="1" applyFont="1" applyBorder="1" applyAlignment="1">
      <alignment horizontal="center" vertical="center"/>
    </xf>
    <xf numFmtId="173" fontId="12" fillId="0" borderId="65" xfId="0" applyNumberFormat="1" applyFont="1" applyBorder="1" applyAlignment="1">
      <alignment horizontal="center" vertical="center"/>
    </xf>
    <xf numFmtId="172" fontId="0" fillId="0" borderId="30" xfId="0" applyNumberFormat="1" applyBorder="1"/>
    <xf numFmtId="167" fontId="6" fillId="0" borderId="0" xfId="0" applyNumberFormat="1" applyFont="1"/>
    <xf numFmtId="10" fontId="79" fillId="2" borderId="1" xfId="0" applyNumberFormat="1" applyFont="1" applyFill="1" applyBorder="1" applyAlignment="1">
      <alignment horizontal="right"/>
    </xf>
    <xf numFmtId="0" fontId="80" fillId="0" borderId="0" xfId="0" applyFont="1"/>
    <xf numFmtId="10" fontId="79" fillId="2" borderId="50" xfId="0" applyNumberFormat="1" applyFont="1" applyFill="1" applyBorder="1" applyAlignment="1">
      <alignment horizontal="right"/>
    </xf>
    <xf numFmtId="0" fontId="79" fillId="0" borderId="0" xfId="0" applyFont="1"/>
    <xf numFmtId="3" fontId="79" fillId="0" borderId="0" xfId="0" applyNumberFormat="1" applyFont="1"/>
    <xf numFmtId="167" fontId="0" fillId="2" borderId="1" xfId="0" applyNumberFormat="1" applyFill="1" applyBorder="1" applyAlignment="1">
      <alignment horizontal="center" vertical="center"/>
    </xf>
    <xf numFmtId="172" fontId="12" fillId="0" borderId="58" xfId="0" applyNumberFormat="1" applyFont="1" applyBorder="1" applyAlignment="1">
      <alignment horizontal="center" vertical="center"/>
    </xf>
    <xf numFmtId="3" fontId="12" fillId="0" borderId="58" xfId="0" applyNumberFormat="1" applyFont="1" applyBorder="1" applyAlignment="1">
      <alignment horizontal="center" vertical="center"/>
    </xf>
    <xf numFmtId="167" fontId="12" fillId="0" borderId="98" xfId="0" applyNumberFormat="1" applyFont="1" applyBorder="1" applyAlignment="1">
      <alignment horizontal="center" vertical="center"/>
    </xf>
    <xf numFmtId="167" fontId="12" fillId="0" borderId="133" xfId="0" applyNumberFormat="1" applyFont="1" applyBorder="1" applyAlignment="1">
      <alignment horizontal="center" vertical="center"/>
    </xf>
    <xf numFmtId="172" fontId="12" fillId="0" borderId="126" xfId="0" applyNumberFormat="1" applyFont="1" applyBorder="1" applyAlignment="1">
      <alignment horizontal="center" vertical="center"/>
    </xf>
    <xf numFmtId="3" fontId="12" fillId="0" borderId="139" xfId="0" applyNumberFormat="1" applyFont="1" applyBorder="1" applyAlignment="1">
      <alignment horizontal="center" vertical="center"/>
    </xf>
    <xf numFmtId="167" fontId="12" fillId="0" borderId="137" xfId="0" applyNumberFormat="1" applyFont="1" applyBorder="1" applyAlignment="1">
      <alignment horizontal="center" vertical="center"/>
    </xf>
    <xf numFmtId="3" fontId="6" fillId="0" borderId="0" xfId="0" applyNumberFormat="1" applyFont="1"/>
    <xf numFmtId="172" fontId="74" fillId="0" borderId="143" xfId="0" applyNumberFormat="1" applyFont="1" applyBorder="1" applyAlignment="1">
      <alignment horizontal="center" vertical="center"/>
    </xf>
    <xf numFmtId="173" fontId="74" fillId="0" borderId="144" xfId="0" applyNumberFormat="1" applyFont="1" applyBorder="1" applyAlignment="1">
      <alignment horizontal="center" vertical="center"/>
    </xf>
    <xf numFmtId="173" fontId="74" fillId="0" borderId="135" xfId="0" applyNumberFormat="1" applyFont="1" applyBorder="1" applyAlignment="1">
      <alignment horizontal="center" vertical="center"/>
    </xf>
    <xf numFmtId="10" fontId="74" fillId="0" borderId="144" xfId="0" applyNumberFormat="1" applyFont="1" applyBorder="1" applyAlignment="1">
      <alignment horizontal="center" vertical="center"/>
    </xf>
    <xf numFmtId="0" fontId="74" fillId="0" borderId="145" xfId="0" applyFont="1" applyBorder="1"/>
    <xf numFmtId="167" fontId="42" fillId="0" borderId="112" xfId="0" applyNumberFormat="1" applyFont="1" applyBorder="1"/>
    <xf numFmtId="167" fontId="42" fillId="0" borderId="119" xfId="0" applyNumberFormat="1" applyFont="1" applyBorder="1"/>
    <xf numFmtId="167" fontId="42" fillId="0" borderId="144" xfId="0" applyNumberFormat="1" applyFont="1" applyBorder="1"/>
    <xf numFmtId="167" fontId="42" fillId="0" borderId="135" xfId="0" applyNumberFormat="1" applyFont="1" applyBorder="1"/>
    <xf numFmtId="0" fontId="42" fillId="0" borderId="146" xfId="0" applyFont="1" applyBorder="1"/>
    <xf numFmtId="167" fontId="42" fillId="0" borderId="147" xfId="0" applyNumberFormat="1" applyFont="1" applyBorder="1"/>
    <xf numFmtId="17" fontId="61" fillId="0" borderId="89" xfId="0" applyNumberFormat="1" applyFont="1" applyBorder="1" applyAlignment="1">
      <alignment horizontal="center" vertical="center"/>
    </xf>
    <xf numFmtId="167" fontId="74" fillId="0" borderId="132" xfId="0" applyNumberFormat="1" applyFont="1" applyBorder="1" applyAlignment="1">
      <alignment horizontal="center" vertical="center"/>
    </xf>
    <xf numFmtId="167" fontId="74" fillId="0" borderId="134" xfId="0" applyNumberFormat="1" applyFont="1" applyBorder="1" applyAlignment="1">
      <alignment horizontal="center" vertical="center"/>
    </xf>
    <xf numFmtId="167" fontId="74" fillId="0" borderId="140" xfId="0" applyNumberFormat="1" applyFont="1" applyBorder="1" applyAlignment="1">
      <alignment horizontal="center" vertical="center"/>
    </xf>
    <xf numFmtId="167" fontId="0" fillId="0" borderId="50" xfId="0" applyNumberFormat="1" applyBorder="1"/>
    <xf numFmtId="166" fontId="6" fillId="2" borderId="50" xfId="0" applyNumberFormat="1" applyFont="1" applyFill="1" applyBorder="1"/>
    <xf numFmtId="9" fontId="24" fillId="0" borderId="0" xfId="2" applyFont="1" applyFill="1"/>
    <xf numFmtId="167" fontId="13" fillId="2" borderId="54" xfId="0" applyNumberFormat="1" applyFont="1" applyFill="1" applyBorder="1" applyAlignment="1">
      <alignment vertical="center"/>
    </xf>
    <xf numFmtId="167" fontId="12" fillId="0" borderId="25" xfId="0" applyNumberFormat="1" applyFont="1" applyBorder="1" applyAlignment="1">
      <alignment vertical="center"/>
    </xf>
    <xf numFmtId="167" fontId="12" fillId="2" borderId="11" xfId="0" applyNumberFormat="1" applyFont="1" applyFill="1" applyBorder="1" applyAlignment="1">
      <alignment vertical="center"/>
    </xf>
    <xf numFmtId="3" fontId="15" fillId="0" borderId="0" xfId="0" applyNumberFormat="1" applyFont="1"/>
    <xf numFmtId="179" fontId="0" fillId="0" borderId="0" xfId="1" applyNumberFormat="1" applyFont="1"/>
    <xf numFmtId="167" fontId="12" fillId="0" borderId="51" xfId="0" applyNumberFormat="1" applyFont="1" applyBorder="1" applyAlignment="1">
      <alignment vertical="center"/>
    </xf>
    <xf numFmtId="167" fontId="12" fillId="0" borderId="149" xfId="0" applyNumberFormat="1" applyFont="1" applyBorder="1" applyAlignment="1">
      <alignment vertical="center"/>
    </xf>
    <xf numFmtId="167" fontId="12" fillId="0" borderId="128" xfId="0" applyNumberFormat="1" applyFont="1" applyBorder="1" applyAlignment="1">
      <alignment vertical="center"/>
    </xf>
    <xf numFmtId="167" fontId="12" fillId="0" borderId="150" xfId="0" applyNumberFormat="1" applyFont="1" applyBorder="1" applyAlignment="1">
      <alignment vertical="center"/>
    </xf>
    <xf numFmtId="167" fontId="12" fillId="2" borderId="151" xfId="0" applyNumberFormat="1" applyFont="1" applyFill="1" applyBorder="1" applyAlignment="1">
      <alignment vertical="center"/>
    </xf>
    <xf numFmtId="178" fontId="0" fillId="23" borderId="0" xfId="0" applyNumberFormat="1" applyFill="1" applyAlignment="1">
      <alignment horizontal="center"/>
    </xf>
    <xf numFmtId="167" fontId="24" fillId="23" borderId="0" xfId="0" applyNumberFormat="1" applyFont="1" applyFill="1"/>
    <xf numFmtId="167" fontId="6" fillId="23" borderId="0" xfId="0" applyNumberFormat="1" applyFont="1" applyFill="1"/>
    <xf numFmtId="172" fontId="0" fillId="23" borderId="0" xfId="0" applyNumberFormat="1" applyFill="1"/>
    <xf numFmtId="9" fontId="0" fillId="23" borderId="0" xfId="0" applyNumberFormat="1" applyFill="1"/>
    <xf numFmtId="3" fontId="24" fillId="23" borderId="0" xfId="0" applyNumberFormat="1" applyFont="1" applyFill="1"/>
    <xf numFmtId="3" fontId="0" fillId="23" borderId="50" xfId="0" applyNumberFormat="1" applyFill="1" applyBorder="1"/>
    <xf numFmtId="3" fontId="0" fillId="23" borderId="0" xfId="0" applyNumberFormat="1" applyFill="1"/>
    <xf numFmtId="0" fontId="58" fillId="2" borderId="50" xfId="0" applyFont="1" applyFill="1" applyBorder="1" applyAlignment="1">
      <alignment horizontal="left"/>
    </xf>
    <xf numFmtId="0" fontId="58" fillId="2" borderId="72" xfId="0" applyFont="1" applyFill="1" applyBorder="1"/>
    <xf numFmtId="0" fontId="58" fillId="2" borderId="71" xfId="0" applyFont="1" applyFill="1" applyBorder="1"/>
    <xf numFmtId="3" fontId="58" fillId="0" borderId="0" xfId="0" applyNumberFormat="1" applyFont="1"/>
    <xf numFmtId="0" fontId="58" fillId="0" borderId="1" xfId="0" applyFont="1" applyBorder="1"/>
    <xf numFmtId="0" fontId="58" fillId="0" borderId="50" xfId="0" applyFont="1" applyBorder="1"/>
    <xf numFmtId="172" fontId="58" fillId="0" borderId="50" xfId="0" applyNumberFormat="1" applyFont="1" applyBorder="1"/>
    <xf numFmtId="179" fontId="58" fillId="0" borderId="50" xfId="1" applyNumberFormat="1" applyFont="1" applyFill="1" applyBorder="1"/>
    <xf numFmtId="167" fontId="58" fillId="0" borderId="50" xfId="0" applyNumberFormat="1" applyFont="1" applyBorder="1"/>
    <xf numFmtId="0" fontId="58" fillId="2" borderId="81" xfId="0" applyFont="1" applyFill="1" applyBorder="1"/>
    <xf numFmtId="0" fontId="58" fillId="2" borderId="36" xfId="0" applyFont="1" applyFill="1" applyBorder="1"/>
    <xf numFmtId="0" fontId="58" fillId="2" borderId="82" xfId="0" applyFont="1" applyFill="1" applyBorder="1"/>
    <xf numFmtId="3" fontId="24" fillId="2" borderId="69" xfId="0" applyNumberFormat="1" applyFont="1" applyFill="1" applyBorder="1" applyAlignment="1">
      <alignment horizontal="right"/>
    </xf>
    <xf numFmtId="0" fontId="12" fillId="2" borderId="153" xfId="0" applyFont="1" applyFill="1" applyBorder="1" applyAlignment="1">
      <alignment horizontal="left" vertical="center"/>
    </xf>
    <xf numFmtId="0" fontId="8" fillId="2" borderId="50" xfId="0" applyFont="1" applyFill="1" applyBorder="1"/>
    <xf numFmtId="0" fontId="0" fillId="0" borderId="50" xfId="0" quotePrefix="1" applyBorder="1"/>
    <xf numFmtId="0" fontId="74" fillId="0" borderId="50" xfId="0" applyFont="1" applyBorder="1" applyAlignment="1">
      <alignment horizontal="left" vertical="center"/>
    </xf>
    <xf numFmtId="172" fontId="12" fillId="0" borderId="154" xfId="0" applyNumberFormat="1" applyFont="1" applyBorder="1" applyAlignment="1">
      <alignment horizontal="center" vertical="center"/>
    </xf>
    <xf numFmtId="3" fontId="12" fillId="0" borderId="152" xfId="0" applyNumberFormat="1" applyFont="1" applyBorder="1" applyAlignment="1">
      <alignment horizontal="center" vertical="center"/>
    </xf>
    <xf numFmtId="3" fontId="12" fillId="0" borderId="60" xfId="0" applyNumberFormat="1" applyFont="1" applyBorder="1" applyAlignment="1">
      <alignment horizontal="center" vertical="center"/>
    </xf>
    <xf numFmtId="167" fontId="42" fillId="0" borderId="156" xfId="0" applyNumberFormat="1" applyFont="1" applyBorder="1"/>
    <xf numFmtId="167" fontId="42" fillId="0" borderId="157" xfId="0" applyNumberFormat="1" applyFont="1" applyBorder="1"/>
    <xf numFmtId="167" fontId="42" fillId="0" borderId="155" xfId="0" applyNumberFormat="1" applyFont="1" applyBorder="1"/>
    <xf numFmtId="167" fontId="42" fillId="0" borderId="158" xfId="0" applyNumberFormat="1" applyFont="1" applyBorder="1"/>
    <xf numFmtId="167" fontId="0" fillId="2" borderId="53" xfId="0" applyNumberFormat="1" applyFill="1" applyBorder="1"/>
    <xf numFmtId="0" fontId="74" fillId="0" borderId="159" xfId="0" applyFont="1" applyBorder="1" applyAlignment="1">
      <alignment horizontal="left" vertical="center"/>
    </xf>
    <xf numFmtId="167" fontId="51" fillId="2" borderId="50" xfId="0" applyNumberFormat="1" applyFont="1" applyFill="1" applyBorder="1"/>
    <xf numFmtId="0" fontId="44" fillId="0" borderId="0" xfId="0" applyFont="1"/>
    <xf numFmtId="2" fontId="44" fillId="0" borderId="0" xfId="0" applyNumberFormat="1" applyFont="1"/>
    <xf numFmtId="0" fontId="45" fillId="18" borderId="0" xfId="0" applyFont="1" applyFill="1"/>
    <xf numFmtId="0" fontId="44" fillId="18" borderId="0" xfId="0" applyFont="1" applyFill="1"/>
    <xf numFmtId="165" fontId="0" fillId="2" borderId="50" xfId="1" applyFont="1" applyFill="1" applyBorder="1"/>
    <xf numFmtId="165" fontId="0" fillId="18" borderId="0" xfId="1" applyFont="1" applyFill="1"/>
    <xf numFmtId="167" fontId="52" fillId="18" borderId="73" xfId="0" applyNumberFormat="1" applyFont="1" applyFill="1" applyBorder="1" applyAlignment="1">
      <alignment horizontal="center"/>
    </xf>
    <xf numFmtId="167" fontId="52" fillId="18" borderId="74" xfId="0" applyNumberFormat="1" applyFont="1" applyFill="1" applyBorder="1" applyAlignment="1">
      <alignment horizontal="center"/>
    </xf>
    <xf numFmtId="167" fontId="52" fillId="18" borderId="86" xfId="0" applyNumberFormat="1" applyFont="1" applyFill="1" applyBorder="1" applyAlignment="1">
      <alignment horizontal="center"/>
    </xf>
    <xf numFmtId="172" fontId="52" fillId="18" borderId="79" xfId="0" applyNumberFormat="1" applyFont="1" applyFill="1" applyBorder="1"/>
    <xf numFmtId="167" fontId="55" fillId="18" borderId="80" xfId="0" applyNumberFormat="1" applyFont="1" applyFill="1" applyBorder="1"/>
    <xf numFmtId="0" fontId="52" fillId="18" borderId="1" xfId="0" applyFont="1" applyFill="1" applyBorder="1"/>
    <xf numFmtId="172" fontId="52" fillId="18" borderId="73" xfId="0" applyNumberFormat="1" applyFont="1" applyFill="1" applyBorder="1" applyAlignment="1">
      <alignment horizontal="center"/>
    </xf>
    <xf numFmtId="172" fontId="52" fillId="18" borderId="75" xfId="0" applyNumberFormat="1" applyFont="1" applyFill="1" applyBorder="1" applyAlignment="1">
      <alignment horizontal="center"/>
    </xf>
    <xf numFmtId="167" fontId="52" fillId="18" borderId="75" xfId="0" applyNumberFormat="1" applyFont="1" applyFill="1" applyBorder="1" applyAlignment="1">
      <alignment horizontal="center"/>
    </xf>
    <xf numFmtId="167" fontId="52" fillId="18" borderId="30" xfId="0" applyNumberFormat="1" applyFont="1" applyFill="1" applyBorder="1" applyAlignment="1">
      <alignment horizontal="center"/>
    </xf>
    <xf numFmtId="167" fontId="52" fillId="18" borderId="32" xfId="0" applyNumberFormat="1" applyFont="1" applyFill="1" applyBorder="1" applyAlignment="1">
      <alignment horizontal="center"/>
    </xf>
    <xf numFmtId="167" fontId="52" fillId="18" borderId="33" xfId="0" applyNumberFormat="1" applyFont="1" applyFill="1" applyBorder="1" applyAlignment="1">
      <alignment horizontal="center"/>
    </xf>
    <xf numFmtId="0" fontId="0" fillId="18" borderId="1" xfId="0" applyFill="1" applyBorder="1"/>
    <xf numFmtId="167" fontId="48" fillId="18" borderId="44" xfId="3" applyNumberFormat="1" applyFont="1" applyFill="1" applyBorder="1"/>
    <xf numFmtId="167" fontId="0" fillId="0" borderId="50" xfId="2" applyNumberFormat="1" applyFont="1" applyFill="1" applyBorder="1"/>
    <xf numFmtId="167" fontId="31" fillId="0" borderId="50" xfId="0" applyNumberFormat="1" applyFont="1" applyBorder="1"/>
    <xf numFmtId="43" fontId="24" fillId="0" borderId="50" xfId="0" applyNumberFormat="1" applyFont="1" applyBorder="1"/>
    <xf numFmtId="167" fontId="24" fillId="0" borderId="50" xfId="0" applyNumberFormat="1" applyFont="1" applyBorder="1"/>
    <xf numFmtId="0" fontId="31" fillId="0" borderId="50" xfId="0" applyFont="1" applyBorder="1"/>
    <xf numFmtId="167" fontId="6" fillId="0" borderId="50" xfId="0" applyNumberFormat="1" applyFont="1" applyBorder="1"/>
    <xf numFmtId="167" fontId="0" fillId="0" borderId="16" xfId="0" applyNumberFormat="1" applyBorder="1"/>
    <xf numFmtId="167" fontId="39" fillId="0" borderId="50" xfId="0" applyNumberFormat="1" applyFont="1" applyBorder="1"/>
    <xf numFmtId="1" fontId="0" fillId="0" borderId="50" xfId="0" applyNumberFormat="1" applyBorder="1"/>
    <xf numFmtId="165" fontId="24" fillId="0" borderId="48" xfId="1" applyFont="1" applyFill="1" applyBorder="1"/>
    <xf numFmtId="165" fontId="0" fillId="2" borderId="50" xfId="0" applyNumberFormat="1" applyFill="1" applyBorder="1"/>
    <xf numFmtId="167" fontId="0" fillId="18" borderId="50" xfId="0" applyNumberFormat="1" applyFill="1" applyBorder="1"/>
    <xf numFmtId="0" fontId="0" fillId="0" borderId="50" xfId="0" applyBorder="1" applyAlignment="1">
      <alignment horizontal="center" vertical="center"/>
    </xf>
    <xf numFmtId="166" fontId="0" fillId="0" borderId="1" xfId="0" applyNumberFormat="1" applyBorder="1"/>
    <xf numFmtId="3" fontId="12" fillId="0" borderId="160" xfId="0" applyNumberFormat="1" applyFont="1" applyBorder="1" applyAlignment="1">
      <alignment horizontal="center" vertical="center"/>
    </xf>
    <xf numFmtId="0" fontId="63" fillId="2" borderId="50" xfId="0" applyFont="1" applyFill="1" applyBorder="1"/>
    <xf numFmtId="167" fontId="27" fillId="2" borderId="50" xfId="0" applyNumberFormat="1" applyFont="1" applyFill="1" applyBorder="1"/>
    <xf numFmtId="41" fontId="27" fillId="2" borderId="50" xfId="0" applyNumberFormat="1" applyFont="1" applyFill="1" applyBorder="1"/>
    <xf numFmtId="169" fontId="27" fillId="2" borderId="50" xfId="0" applyNumberFormat="1" applyFont="1" applyFill="1" applyBorder="1"/>
    <xf numFmtId="0" fontId="40" fillId="2" borderId="50" xfId="0" applyFont="1" applyFill="1" applyBorder="1" applyAlignment="1">
      <alignment horizontal="left"/>
    </xf>
    <xf numFmtId="0" fontId="41" fillId="2" borderId="50" xfId="0" applyFont="1" applyFill="1" applyBorder="1" applyAlignment="1">
      <alignment vertical="center"/>
    </xf>
    <xf numFmtId="0" fontId="45" fillId="2" borderId="50" xfId="0" applyFont="1" applyFill="1" applyBorder="1"/>
    <xf numFmtId="43" fontId="44" fillId="18" borderId="50" xfId="0" applyNumberFormat="1" applyFont="1" applyFill="1" applyBorder="1" applyAlignment="1">
      <alignment horizontal="right"/>
    </xf>
    <xf numFmtId="0" fontId="0" fillId="2" borderId="50" xfId="0" applyFill="1" applyBorder="1" applyAlignment="1">
      <alignment vertical="center"/>
    </xf>
    <xf numFmtId="179" fontId="0" fillId="2" borderId="50" xfId="1" applyNumberFormat="1" applyFont="1" applyFill="1" applyBorder="1"/>
    <xf numFmtId="0" fontId="35" fillId="2" borderId="50" xfId="0" applyFont="1" applyFill="1" applyBorder="1" applyAlignment="1">
      <alignment horizontal="left" vertical="center"/>
    </xf>
    <xf numFmtId="0" fontId="43" fillId="2" borderId="50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vertical="center"/>
    </xf>
    <xf numFmtId="167" fontId="42" fillId="0" borderId="161" xfId="0" applyNumberFormat="1" applyFont="1" applyBorder="1"/>
    <xf numFmtId="167" fontId="0" fillId="0" borderId="118" xfId="0" applyNumberFormat="1" applyBorder="1"/>
    <xf numFmtId="167" fontId="42" fillId="0" borderId="138" xfId="0" applyNumberFormat="1" applyFont="1" applyBorder="1"/>
    <xf numFmtId="167" fontId="0" fillId="0" borderId="34" xfId="0" applyNumberFormat="1" applyBorder="1"/>
    <xf numFmtId="174" fontId="0" fillId="0" borderId="50" xfId="0" applyNumberFormat="1" applyBorder="1"/>
    <xf numFmtId="0" fontId="6" fillId="0" borderId="50" xfId="0" applyFont="1" applyBorder="1"/>
    <xf numFmtId="179" fontId="0" fillId="2" borderId="50" xfId="0" applyNumberFormat="1" applyFill="1" applyBorder="1"/>
    <xf numFmtId="4" fontId="0" fillId="0" borderId="50" xfId="0" applyNumberFormat="1" applyBorder="1"/>
    <xf numFmtId="16" fontId="6" fillId="2" borderId="50" xfId="0" quotePrefix="1" applyNumberFormat="1" applyFont="1" applyFill="1" applyBorder="1"/>
    <xf numFmtId="0" fontId="6" fillId="2" borderId="50" xfId="0" quotePrefix="1" applyFont="1" applyFill="1" applyBorder="1"/>
    <xf numFmtId="0" fontId="24" fillId="2" borderId="50" xfId="0" applyFont="1" applyFill="1" applyBorder="1" applyAlignment="1">
      <alignment horizontal="left"/>
    </xf>
    <xf numFmtId="172" fontId="0" fillId="0" borderId="34" xfId="0" applyNumberFormat="1" applyBorder="1"/>
    <xf numFmtId="167" fontId="39" fillId="2" borderId="50" xfId="0" applyNumberFormat="1" applyFont="1" applyFill="1" applyBorder="1"/>
    <xf numFmtId="167" fontId="58" fillId="2" borderId="50" xfId="0" applyNumberFormat="1" applyFont="1" applyFill="1" applyBorder="1"/>
    <xf numFmtId="0" fontId="10" fillId="18" borderId="50" xfId="3" applyFill="1"/>
    <xf numFmtId="0" fontId="48" fillId="18" borderId="44" xfId="3" applyFont="1" applyFill="1" applyBorder="1"/>
    <xf numFmtId="165" fontId="27" fillId="0" borderId="0" xfId="1" applyFont="1"/>
    <xf numFmtId="179" fontId="6" fillId="0" borderId="0" xfId="0" applyNumberFormat="1" applyFont="1"/>
    <xf numFmtId="167" fontId="12" fillId="2" borderId="50" xfId="0" applyNumberFormat="1" applyFont="1" applyFill="1" applyBorder="1"/>
    <xf numFmtId="0" fontId="17" fillId="2" borderId="1" xfId="0" applyFont="1" applyFill="1" applyBorder="1"/>
    <xf numFmtId="165" fontId="6" fillId="0" borderId="0" xfId="1" applyFont="1"/>
    <xf numFmtId="167" fontId="0" fillId="2" borderId="59" xfId="0" applyNumberFormat="1" applyFill="1" applyBorder="1"/>
    <xf numFmtId="167" fontId="0" fillId="0" borderId="59" xfId="0" applyNumberFormat="1" applyBorder="1"/>
    <xf numFmtId="167" fontId="0" fillId="2" borderId="92" xfId="0" applyNumberFormat="1" applyFill="1" applyBorder="1"/>
    <xf numFmtId="167" fontId="0" fillId="0" borderId="92" xfId="0" applyNumberFormat="1" applyBorder="1"/>
    <xf numFmtId="179" fontId="6" fillId="0" borderId="0" xfId="1" applyNumberFormat="1" applyFont="1"/>
    <xf numFmtId="166" fontId="24" fillId="0" borderId="50" xfId="0" applyNumberFormat="1" applyFont="1" applyBorder="1" applyAlignment="1">
      <alignment vertical="center"/>
    </xf>
    <xf numFmtId="0" fontId="12" fillId="0" borderId="50" xfId="0" applyFont="1" applyBorder="1"/>
    <xf numFmtId="167" fontId="12" fillId="0" borderId="30" xfId="0" applyNumberFormat="1" applyFont="1" applyBorder="1"/>
    <xf numFmtId="167" fontId="12" fillId="0" borderId="53" xfId="0" applyNumberFormat="1" applyFont="1" applyBorder="1" applyAlignment="1">
      <alignment horizontal="center"/>
    </xf>
    <xf numFmtId="167" fontId="12" fillId="0" borderId="53" xfId="0" applyNumberFormat="1" applyFont="1" applyBorder="1" applyAlignment="1">
      <alignment horizontal="right"/>
    </xf>
    <xf numFmtId="167" fontId="26" fillId="0" borderId="53" xfId="0" applyNumberFormat="1" applyFont="1" applyBorder="1" applyAlignment="1">
      <alignment horizontal="center"/>
    </xf>
    <xf numFmtId="167" fontId="12" fillId="0" borderId="30" xfId="0" applyNumberFormat="1" applyFont="1" applyBorder="1" applyAlignment="1">
      <alignment vertical="center"/>
    </xf>
    <xf numFmtId="167" fontId="12" fillId="0" borderId="53" xfId="0" applyNumberFormat="1" applyFont="1" applyBorder="1"/>
    <xf numFmtId="167" fontId="28" fillId="0" borderId="50" xfId="0" applyNumberFormat="1" applyFont="1" applyBorder="1"/>
    <xf numFmtId="167" fontId="29" fillId="0" borderId="53" xfId="0" applyNumberFormat="1" applyFont="1" applyBorder="1"/>
    <xf numFmtId="167" fontId="29" fillId="0" borderId="50" xfId="0" applyNumberFormat="1" applyFont="1" applyBorder="1"/>
    <xf numFmtId="167" fontId="12" fillId="0" borderId="36" xfId="0" applyNumberFormat="1" applyFont="1" applyBorder="1"/>
    <xf numFmtId="172" fontId="24" fillId="0" borderId="50" xfId="0" applyNumberFormat="1" applyFont="1" applyBorder="1"/>
    <xf numFmtId="17" fontId="48" fillId="0" borderId="50" xfId="3" applyNumberFormat="1" applyFont="1"/>
    <xf numFmtId="17" fontId="46" fillId="24" borderId="50" xfId="3" applyNumberFormat="1" applyFont="1" applyFill="1"/>
    <xf numFmtId="167" fontId="46" fillId="18" borderId="44" xfId="3" applyNumberFormat="1" applyFont="1" applyFill="1" applyBorder="1"/>
    <xf numFmtId="167" fontId="46" fillId="18" borderId="67" xfId="3" applyNumberFormat="1" applyFont="1" applyFill="1" applyBorder="1"/>
    <xf numFmtId="0" fontId="48" fillId="18" borderId="92" xfId="3" applyFont="1" applyFill="1" applyBorder="1"/>
    <xf numFmtId="167" fontId="48" fillId="18" borderId="90" xfId="3" applyNumberFormat="1" applyFont="1" applyFill="1" applyBorder="1"/>
    <xf numFmtId="0" fontId="48" fillId="18" borderId="34" xfId="3" applyFont="1" applyFill="1" applyBorder="1"/>
    <xf numFmtId="167" fontId="12" fillId="2" borderId="54" xfId="0" applyNumberFormat="1" applyFont="1" applyFill="1" applyBorder="1" applyAlignment="1">
      <alignment vertical="center" wrapText="1"/>
    </xf>
    <xf numFmtId="167" fontId="13" fillId="0" borderId="54" xfId="0" applyNumberFormat="1" applyFont="1" applyBorder="1" applyAlignment="1">
      <alignment vertical="center"/>
    </xf>
    <xf numFmtId="0" fontId="12" fillId="0" borderId="44" xfId="0" applyFont="1" applyBorder="1" applyAlignment="1">
      <alignment horizontal="left" vertical="center"/>
    </xf>
    <xf numFmtId="165" fontId="6" fillId="0" borderId="0" xfId="1" applyFont="1" applyFill="1"/>
    <xf numFmtId="0" fontId="13" fillId="2" borderId="155" xfId="0" applyFont="1" applyFill="1" applyBorder="1" applyAlignment="1">
      <alignment horizontal="left" vertical="center"/>
    </xf>
    <xf numFmtId="167" fontId="13" fillId="2" borderId="149" xfId="0" applyNumberFormat="1" applyFont="1" applyFill="1" applyBorder="1" applyAlignment="1">
      <alignment vertical="center"/>
    </xf>
    <xf numFmtId="167" fontId="13" fillId="2" borderId="155" xfId="0" applyNumberFormat="1" applyFont="1" applyFill="1" applyBorder="1" applyAlignment="1">
      <alignment vertical="center"/>
    </xf>
    <xf numFmtId="165" fontId="27" fillId="2" borderId="1" xfId="1" applyFont="1" applyFill="1" applyBorder="1" applyAlignment="1">
      <alignment vertical="center"/>
    </xf>
    <xf numFmtId="165" fontId="27" fillId="2" borderId="50" xfId="1" applyFont="1" applyFill="1" applyBorder="1" applyAlignment="1">
      <alignment vertical="center"/>
    </xf>
    <xf numFmtId="165" fontId="16" fillId="0" borderId="50" xfId="1" applyFont="1" applyBorder="1" applyAlignment="1">
      <alignment vertical="center"/>
    </xf>
    <xf numFmtId="165" fontId="39" fillId="0" borderId="0" xfId="1" applyFont="1"/>
    <xf numFmtId="0" fontId="17" fillId="2" borderId="50" xfId="0" applyFont="1" applyFill="1" applyBorder="1" applyAlignment="1">
      <alignment vertical="center"/>
    </xf>
    <xf numFmtId="167" fontId="12" fillId="18" borderId="54" xfId="0" applyNumberFormat="1" applyFont="1" applyFill="1" applyBorder="1" applyAlignment="1">
      <alignment vertical="center"/>
    </xf>
    <xf numFmtId="166" fontId="13" fillId="2" borderId="1" xfId="0" applyNumberFormat="1" applyFont="1" applyFill="1" applyBorder="1" applyAlignment="1">
      <alignment horizontal="left" vertical="center" indent="1"/>
    </xf>
    <xf numFmtId="0" fontId="13" fillId="2" borderId="8" xfId="0" applyFont="1" applyFill="1" applyBorder="1" applyAlignment="1">
      <alignment horizontal="left" vertical="center" indent="1"/>
    </xf>
    <xf numFmtId="0" fontId="0" fillId="0" borderId="170" xfId="0" applyBorder="1"/>
    <xf numFmtId="0" fontId="0" fillId="0" borderId="155" xfId="0" applyBorder="1"/>
    <xf numFmtId="0" fontId="24" fillId="0" borderId="155" xfId="0" applyFont="1" applyBorder="1" applyAlignment="1">
      <alignment horizontal="center"/>
    </xf>
    <xf numFmtId="0" fontId="24" fillId="0" borderId="171" xfId="0" applyFont="1" applyBorder="1" applyAlignment="1">
      <alignment horizontal="center"/>
    </xf>
    <xf numFmtId="0" fontId="0" fillId="2" borderId="172" xfId="0" applyFill="1" applyBorder="1"/>
    <xf numFmtId="167" fontId="0" fillId="2" borderId="173" xfId="0" applyNumberFormat="1" applyFill="1" applyBorder="1"/>
    <xf numFmtId="0" fontId="6" fillId="2" borderId="172" xfId="0" applyFont="1" applyFill="1" applyBorder="1"/>
    <xf numFmtId="167" fontId="0" fillId="0" borderId="173" xfId="0" applyNumberFormat="1" applyBorder="1"/>
    <xf numFmtId="0" fontId="0" fillId="0" borderId="174" xfId="0" applyBorder="1"/>
    <xf numFmtId="0" fontId="0" fillId="0" borderId="120" xfId="0" applyBorder="1"/>
    <xf numFmtId="167" fontId="24" fillId="2" borderId="120" xfId="0" applyNumberFormat="1" applyFont="1" applyFill="1" applyBorder="1"/>
    <xf numFmtId="167" fontId="24" fillId="2" borderId="175" xfId="0" applyNumberFormat="1" applyFont="1" applyFill="1" applyBorder="1"/>
    <xf numFmtId="0" fontId="12" fillId="2" borderId="51" xfId="0" applyFont="1" applyFill="1" applyBorder="1" applyAlignment="1">
      <alignment vertical="center"/>
    </xf>
    <xf numFmtId="0" fontId="12" fillId="2" borderId="151" xfId="0" applyFont="1" applyFill="1" applyBorder="1" applyAlignment="1">
      <alignment vertical="center"/>
    </xf>
    <xf numFmtId="167" fontId="13" fillId="2" borderId="51" xfId="0" applyNumberFormat="1" applyFont="1" applyFill="1" applyBorder="1" applyAlignment="1">
      <alignment vertical="center"/>
    </xf>
    <xf numFmtId="167" fontId="12" fillId="0" borderId="176" xfId="0" applyNumberFormat="1" applyFont="1" applyBorder="1" applyAlignment="1">
      <alignment vertical="center"/>
    </xf>
    <xf numFmtId="167" fontId="12" fillId="2" borderId="177" xfId="0" applyNumberFormat="1" applyFont="1" applyFill="1" applyBorder="1" applyAlignment="1">
      <alignment vertical="center"/>
    </xf>
    <xf numFmtId="167" fontId="13" fillId="2" borderId="177" xfId="0" applyNumberFormat="1" applyFont="1" applyFill="1" applyBorder="1" applyAlignment="1">
      <alignment vertical="center"/>
    </xf>
    <xf numFmtId="167" fontId="12" fillId="2" borderId="51" xfId="0" applyNumberFormat="1" applyFont="1" applyFill="1" applyBorder="1" applyAlignment="1">
      <alignment vertical="center"/>
    </xf>
    <xf numFmtId="167" fontId="13" fillId="0" borderId="177" xfId="0" applyNumberFormat="1" applyFont="1" applyBorder="1" applyAlignment="1">
      <alignment vertical="center"/>
    </xf>
    <xf numFmtId="167" fontId="12" fillId="2" borderId="51" xfId="0" applyNumberFormat="1" applyFont="1" applyFill="1" applyBorder="1" applyAlignment="1">
      <alignment vertical="center" wrapText="1"/>
    </xf>
    <xf numFmtId="0" fontId="12" fillId="2" borderId="42" xfId="0" applyFont="1" applyFill="1" applyBorder="1" applyAlignment="1">
      <alignment vertical="center"/>
    </xf>
    <xf numFmtId="0" fontId="0" fillId="0" borderId="54" xfId="0" applyBorder="1"/>
    <xf numFmtId="167" fontId="13" fillId="2" borderId="50" xfId="0" quotePrefix="1" applyNumberFormat="1" applyFont="1" applyFill="1" applyBorder="1" applyAlignment="1">
      <alignment horizontal="center"/>
    </xf>
    <xf numFmtId="41" fontId="13" fillId="2" borderId="50" xfId="0" quotePrefix="1" applyNumberFormat="1" applyFont="1" applyFill="1" applyBorder="1" applyAlignment="1">
      <alignment horizontal="center"/>
    </xf>
    <xf numFmtId="167" fontId="0" fillId="2" borderId="1" xfId="2" applyNumberFormat="1" applyFont="1" applyFill="1" applyBorder="1" applyAlignment="1">
      <alignment horizontal="center" vertical="center"/>
    </xf>
    <xf numFmtId="172" fontId="52" fillId="0" borderId="126" xfId="0" applyNumberFormat="1" applyFont="1" applyBorder="1" applyAlignment="1">
      <alignment horizontal="center"/>
    </xf>
    <xf numFmtId="167" fontId="12" fillId="0" borderId="44" xfId="0" applyNumberFormat="1" applyFont="1" applyBorder="1" applyAlignment="1">
      <alignment horizontal="center" vertical="center"/>
    </xf>
    <xf numFmtId="167" fontId="12" fillId="0" borderId="34" xfId="0" applyNumberFormat="1" applyFont="1" applyBorder="1" applyAlignment="1">
      <alignment horizontal="center" vertical="center"/>
    </xf>
    <xf numFmtId="167" fontId="6" fillId="0" borderId="1" xfId="2" applyNumberFormat="1" applyFont="1" applyFill="1" applyBorder="1"/>
    <xf numFmtId="0" fontId="52" fillId="2" borderId="50" xfId="0" applyFont="1" applyFill="1" applyBorder="1"/>
    <xf numFmtId="179" fontId="42" fillId="0" borderId="50" xfId="1" applyNumberFormat="1" applyFont="1" applyBorder="1"/>
    <xf numFmtId="179" fontId="72" fillId="0" borderId="50" xfId="0" applyNumberFormat="1" applyFont="1" applyBorder="1"/>
    <xf numFmtId="9" fontId="51" fillId="0" borderId="50" xfId="2" applyFont="1" applyBorder="1"/>
    <xf numFmtId="167" fontId="0" fillId="0" borderId="54" xfId="0" applyNumberFormat="1" applyBorder="1"/>
    <xf numFmtId="0" fontId="43" fillId="2" borderId="50" xfId="0" applyFont="1" applyFill="1" applyBorder="1"/>
    <xf numFmtId="10" fontId="24" fillId="0" borderId="1" xfId="2" applyNumberFormat="1" applyFont="1" applyBorder="1"/>
    <xf numFmtId="10" fontId="0" fillId="2" borderId="50" xfId="2" applyNumberFormat="1" applyFont="1" applyFill="1" applyBorder="1"/>
    <xf numFmtId="167" fontId="57" fillId="0" borderId="50" xfId="0" applyNumberFormat="1" applyFont="1" applyBorder="1"/>
    <xf numFmtId="167" fontId="6" fillId="0" borderId="1" xfId="0" applyNumberFormat="1" applyFont="1" applyBorder="1" applyAlignment="1">
      <alignment wrapText="1"/>
    </xf>
    <xf numFmtId="167" fontId="6" fillId="0" borderId="0" xfId="0" applyNumberFormat="1" applyFont="1" applyAlignment="1">
      <alignment wrapText="1"/>
    </xf>
    <xf numFmtId="179" fontId="7" fillId="23" borderId="0" xfId="1" applyNumberFormat="1" applyFont="1" applyFill="1"/>
    <xf numFmtId="179" fontId="7" fillId="0" borderId="0" xfId="1" applyNumberFormat="1" applyFont="1"/>
    <xf numFmtId="0" fontId="48" fillId="0" borderId="44" xfId="3" applyFont="1" applyBorder="1"/>
    <xf numFmtId="167" fontId="48" fillId="0" borderId="44" xfId="3" applyNumberFormat="1" applyFont="1" applyBorder="1"/>
    <xf numFmtId="179" fontId="51" fillId="0" borderId="50" xfId="0" applyNumberFormat="1" applyFont="1" applyBorder="1"/>
    <xf numFmtId="179" fontId="6" fillId="0" borderId="0" xfId="1" applyNumberFormat="1" applyFont="1" applyFill="1"/>
    <xf numFmtId="0" fontId="12" fillId="0" borderId="50" xfId="0" applyFont="1" applyBorder="1" applyAlignment="1">
      <alignment vertical="center"/>
    </xf>
    <xf numFmtId="166" fontId="13" fillId="0" borderId="2" xfId="0" quotePrefix="1" applyNumberFormat="1" applyFont="1" applyBorder="1" applyAlignment="1">
      <alignment horizontal="center" vertical="center"/>
    </xf>
    <xf numFmtId="0" fontId="12" fillId="0" borderId="51" xfId="0" applyFont="1" applyBorder="1" applyAlignment="1">
      <alignment vertical="center"/>
    </xf>
    <xf numFmtId="0" fontId="12" fillId="0" borderId="151" xfId="0" applyFont="1" applyBorder="1" applyAlignment="1">
      <alignment vertical="center"/>
    </xf>
    <xf numFmtId="167" fontId="13" fillId="0" borderId="51" xfId="0" applyNumberFormat="1" applyFont="1" applyBorder="1" applyAlignment="1">
      <alignment vertical="center"/>
    </xf>
    <xf numFmtId="167" fontId="12" fillId="0" borderId="177" xfId="0" applyNumberFormat="1" applyFont="1" applyBorder="1" applyAlignment="1">
      <alignment vertical="center"/>
    </xf>
    <xf numFmtId="167" fontId="13" fillId="0" borderId="149" xfId="0" applyNumberFormat="1" applyFont="1" applyBorder="1" applyAlignment="1">
      <alignment vertical="center"/>
    </xf>
    <xf numFmtId="169" fontId="12" fillId="0" borderId="50" xfId="0" applyNumberFormat="1" applyFont="1" applyBorder="1" applyAlignment="1">
      <alignment vertical="center"/>
    </xf>
    <xf numFmtId="181" fontId="12" fillId="0" borderId="51" xfId="0" applyNumberFormat="1" applyFont="1" applyBorder="1" applyAlignment="1">
      <alignment vertical="center"/>
    </xf>
    <xf numFmtId="179" fontId="7" fillId="0" borderId="0" xfId="1" applyNumberFormat="1" applyFont="1" applyFill="1"/>
    <xf numFmtId="179" fontId="0" fillId="25" borderId="0" xfId="0" applyNumberFormat="1" applyFill="1"/>
    <xf numFmtId="0" fontId="12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2" borderId="92" xfId="0" applyFill="1" applyBorder="1" applyAlignment="1">
      <alignment horizontal="center"/>
    </xf>
    <xf numFmtId="0" fontId="24" fillId="2" borderId="92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167" fontId="0" fillId="26" borderId="0" xfId="0" applyNumberFormat="1" applyFill="1"/>
    <xf numFmtId="167" fontId="0" fillId="26" borderId="50" xfId="0" applyNumberFormat="1" applyFill="1" applyBorder="1"/>
    <xf numFmtId="165" fontId="78" fillId="2" borderId="177" xfId="1" applyFont="1" applyFill="1" applyBorder="1" applyAlignment="1">
      <alignment vertical="center"/>
    </xf>
    <xf numFmtId="165" fontId="78" fillId="0" borderId="177" xfId="1" applyFont="1" applyBorder="1" applyAlignment="1">
      <alignment vertical="center"/>
    </xf>
    <xf numFmtId="167" fontId="0" fillId="18" borderId="1" xfId="0" applyNumberFormat="1" applyFill="1" applyBorder="1"/>
    <xf numFmtId="167" fontId="0" fillId="18" borderId="24" xfId="0" applyNumberFormat="1" applyFill="1" applyBorder="1"/>
    <xf numFmtId="167" fontId="6" fillId="18" borderId="1" xfId="0" applyNumberFormat="1" applyFont="1" applyFill="1" applyBorder="1" applyAlignment="1">
      <alignment wrapText="1"/>
    </xf>
    <xf numFmtId="167" fontId="24" fillId="18" borderId="2" xfId="0" applyNumberFormat="1" applyFont="1" applyFill="1" applyBorder="1"/>
    <xf numFmtId="10" fontId="24" fillId="18" borderId="1" xfId="2" applyNumberFormat="1" applyFont="1" applyFill="1" applyBorder="1"/>
    <xf numFmtId="167" fontId="24" fillId="18" borderId="1" xfId="0" applyNumberFormat="1" applyFont="1" applyFill="1" applyBorder="1"/>
    <xf numFmtId="167" fontId="42" fillId="18" borderId="0" xfId="0" applyNumberFormat="1" applyFont="1" applyFill="1"/>
    <xf numFmtId="167" fontId="6" fillId="18" borderId="1" xfId="0" applyNumberFormat="1" applyFont="1" applyFill="1" applyBorder="1"/>
    <xf numFmtId="167" fontId="34" fillId="18" borderId="1" xfId="0" applyNumberFormat="1" applyFont="1" applyFill="1" applyBorder="1"/>
    <xf numFmtId="167" fontId="10" fillId="18" borderId="0" xfId="0" applyNumberFormat="1" applyFont="1" applyFill="1"/>
    <xf numFmtId="167" fontId="6" fillId="18" borderId="0" xfId="0" applyNumberFormat="1" applyFont="1" applyFill="1"/>
    <xf numFmtId="167" fontId="6" fillId="18" borderId="0" xfId="0" applyNumberFormat="1" applyFont="1" applyFill="1" applyAlignment="1">
      <alignment wrapText="1"/>
    </xf>
    <xf numFmtId="167" fontId="0" fillId="0" borderId="0" xfId="2" applyNumberFormat="1" applyFont="1"/>
    <xf numFmtId="165" fontId="24" fillId="0" borderId="2" xfId="1" applyFont="1" applyBorder="1"/>
    <xf numFmtId="0" fontId="24" fillId="2" borderId="148" xfId="0" applyFont="1" applyFill="1" applyBorder="1" applyAlignment="1">
      <alignment horizontal="center"/>
    </xf>
    <xf numFmtId="167" fontId="0" fillId="0" borderId="148" xfId="0" applyNumberFormat="1" applyBorder="1" applyAlignment="1">
      <alignment horizontal="center"/>
    </xf>
    <xf numFmtId="0" fontId="24" fillId="2" borderId="50" xfId="0" applyFont="1" applyFill="1" applyBorder="1" applyAlignment="1">
      <alignment horizontal="center"/>
    </xf>
    <xf numFmtId="43" fontId="0" fillId="2" borderId="50" xfId="0" applyNumberFormat="1" applyFill="1" applyBorder="1" applyAlignment="1">
      <alignment horizontal="center"/>
    </xf>
    <xf numFmtId="167" fontId="0" fillId="2" borderId="50" xfId="0" applyNumberFormat="1" applyFill="1" applyBorder="1" applyAlignment="1">
      <alignment horizontal="center"/>
    </xf>
    <xf numFmtId="0" fontId="6" fillId="2" borderId="50" xfId="0" applyFont="1" applyFill="1" applyBorder="1" applyAlignment="1">
      <alignment horizontal="left"/>
    </xf>
    <xf numFmtId="167" fontId="53" fillId="0" borderId="50" xfId="0" applyNumberFormat="1" applyFont="1" applyBorder="1"/>
    <xf numFmtId="9" fontId="54" fillId="2" borderId="71" xfId="0" applyNumberFormat="1" applyFont="1" applyFill="1" applyBorder="1"/>
    <xf numFmtId="167" fontId="53" fillId="2" borderId="50" xfId="0" applyNumberFormat="1" applyFont="1" applyFill="1" applyBorder="1"/>
    <xf numFmtId="49" fontId="72" fillId="0" borderId="0" xfId="0" applyNumberFormat="1" applyFont="1"/>
    <xf numFmtId="17" fontId="78" fillId="0" borderId="0" xfId="0" quotePrefix="1" applyNumberFormat="1" applyFont="1" applyAlignment="1">
      <alignment horizontal="center" vertical="center"/>
    </xf>
    <xf numFmtId="166" fontId="78" fillId="0" borderId="2" xfId="0" quotePrefix="1" applyNumberFormat="1" applyFont="1" applyBorder="1" applyAlignment="1">
      <alignment horizontal="center" vertical="center"/>
    </xf>
    <xf numFmtId="9" fontId="12" fillId="2" borderId="54" xfId="2" applyFont="1" applyFill="1" applyBorder="1" applyAlignment="1">
      <alignment vertical="center"/>
    </xf>
    <xf numFmtId="0" fontId="24" fillId="0" borderId="1" xfId="0" applyFont="1" applyBorder="1" applyAlignment="1">
      <alignment horizontal="left"/>
    </xf>
    <xf numFmtId="167" fontId="46" fillId="0" borderId="44" xfId="3" applyNumberFormat="1" applyFont="1" applyBorder="1"/>
    <xf numFmtId="0" fontId="12" fillId="0" borderId="178" xfId="0" applyFont="1" applyBorder="1"/>
    <xf numFmtId="3" fontId="39" fillId="0" borderId="50" xfId="0" applyNumberFormat="1" applyFont="1" applyBorder="1"/>
    <xf numFmtId="3" fontId="63" fillId="0" borderId="50" xfId="0" applyNumberFormat="1" applyFont="1" applyBorder="1"/>
    <xf numFmtId="3" fontId="51" fillId="0" borderId="50" xfId="0" applyNumberFormat="1" applyFont="1" applyBorder="1"/>
    <xf numFmtId="4" fontId="51" fillId="0" borderId="50" xfId="0" applyNumberFormat="1" applyFont="1" applyBorder="1"/>
    <xf numFmtId="10" fontId="51" fillId="0" borderId="83" xfId="0" applyNumberFormat="1" applyFont="1" applyBorder="1"/>
    <xf numFmtId="167" fontId="52" fillId="18" borderId="50" xfId="0" applyNumberFormat="1" applyFont="1" applyFill="1" applyBorder="1"/>
    <xf numFmtId="0" fontId="52" fillId="18" borderId="50" xfId="0" applyFont="1" applyFill="1" applyBorder="1"/>
    <xf numFmtId="172" fontId="52" fillId="18" borderId="129" xfId="0" applyNumberFormat="1" applyFont="1" applyFill="1" applyBorder="1" applyAlignment="1">
      <alignment horizontal="center"/>
    </xf>
    <xf numFmtId="172" fontId="52" fillId="18" borderId="126" xfId="0" applyNumberFormat="1" applyFont="1" applyFill="1" applyBorder="1" applyAlignment="1">
      <alignment horizontal="center"/>
    </xf>
    <xf numFmtId="167" fontId="52" fillId="18" borderId="53" xfId="0" applyNumberFormat="1" applyFont="1" applyFill="1" applyBorder="1" applyAlignment="1">
      <alignment horizontal="center"/>
    </xf>
    <xf numFmtId="167" fontId="52" fillId="18" borderId="34" xfId="0" applyNumberFormat="1" applyFont="1" applyFill="1" applyBorder="1" applyAlignment="1">
      <alignment horizontal="center"/>
    </xf>
    <xf numFmtId="3" fontId="0" fillId="18" borderId="50" xfId="0" applyNumberFormat="1" applyFill="1" applyBorder="1"/>
    <xf numFmtId="179" fontId="3" fillId="0" borderId="50" xfId="46" applyNumberFormat="1" applyFont="1"/>
    <xf numFmtId="3" fontId="0" fillId="2" borderId="50" xfId="0" applyNumberFormat="1" applyFill="1" applyBorder="1" applyAlignment="1">
      <alignment horizontal="center" vertical="center"/>
    </xf>
    <xf numFmtId="0" fontId="0" fillId="2" borderId="50" xfId="0" applyFill="1" applyBorder="1" applyAlignment="1">
      <alignment horizontal="left"/>
    </xf>
    <xf numFmtId="172" fontId="52" fillId="0" borderId="86" xfId="0" applyNumberFormat="1" applyFont="1" applyBorder="1" applyAlignment="1">
      <alignment horizontal="center"/>
    </xf>
    <xf numFmtId="172" fontId="51" fillId="2" borderId="50" xfId="0" applyNumberFormat="1" applyFont="1" applyFill="1" applyBorder="1"/>
    <xf numFmtId="172" fontId="52" fillId="2" borderId="86" xfId="0" applyNumberFormat="1" applyFont="1" applyFill="1" applyBorder="1" applyAlignment="1">
      <alignment horizontal="center"/>
    </xf>
    <xf numFmtId="172" fontId="52" fillId="18" borderId="86" xfId="0" applyNumberFormat="1" applyFont="1" applyFill="1" applyBorder="1" applyAlignment="1">
      <alignment horizontal="center"/>
    </xf>
    <xf numFmtId="165" fontId="0" fillId="0" borderId="0" xfId="0" applyNumberFormat="1"/>
    <xf numFmtId="179" fontId="3" fillId="0" borderId="50" xfId="46" applyNumberFormat="1" applyFont="1" applyFill="1"/>
    <xf numFmtId="43" fontId="51" fillId="0" borderId="50" xfId="0" applyNumberFormat="1" applyFont="1" applyBorder="1"/>
    <xf numFmtId="0" fontId="51" fillId="18" borderId="50" xfId="0" applyFont="1" applyFill="1" applyBorder="1"/>
    <xf numFmtId="16" fontId="24" fillId="18" borderId="50" xfId="0" quotePrefix="1" applyNumberFormat="1" applyFont="1" applyFill="1" applyBorder="1" applyAlignment="1">
      <alignment horizontal="center" vertical="center"/>
    </xf>
    <xf numFmtId="167" fontId="52" fillId="18" borderId="38" xfId="0" applyNumberFormat="1" applyFont="1" applyFill="1" applyBorder="1"/>
    <xf numFmtId="167" fontId="52" fillId="18" borderId="0" xfId="0" applyNumberFormat="1" applyFont="1" applyFill="1"/>
    <xf numFmtId="167" fontId="53" fillId="18" borderId="125" xfId="0" applyNumberFormat="1" applyFont="1" applyFill="1" applyBorder="1"/>
    <xf numFmtId="167" fontId="53" fillId="18" borderId="126" xfId="0" applyNumberFormat="1" applyFont="1" applyFill="1" applyBorder="1"/>
    <xf numFmtId="167" fontId="53" fillId="18" borderId="127" xfId="0" applyNumberFormat="1" applyFont="1" applyFill="1" applyBorder="1"/>
    <xf numFmtId="172" fontId="24" fillId="18" borderId="124" xfId="0" applyNumberFormat="1" applyFont="1" applyFill="1" applyBorder="1"/>
    <xf numFmtId="172" fontId="0" fillId="18" borderId="50" xfId="0" applyNumberFormat="1" applyFill="1" applyBorder="1"/>
    <xf numFmtId="43" fontId="39" fillId="18" borderId="50" xfId="0" applyNumberFormat="1" applyFont="1" applyFill="1" applyBorder="1"/>
    <xf numFmtId="167" fontId="52" fillId="18" borderId="49" xfId="0" applyNumberFormat="1" applyFont="1" applyFill="1" applyBorder="1"/>
    <xf numFmtId="167" fontId="53" fillId="18" borderId="30" xfId="0" applyNumberFormat="1" applyFont="1" applyFill="1" applyBorder="1"/>
    <xf numFmtId="167" fontId="53" fillId="18" borderId="53" xfId="0" applyNumberFormat="1" applyFont="1" applyFill="1" applyBorder="1"/>
    <xf numFmtId="167" fontId="53" fillId="18" borderId="34" xfId="0" applyNumberFormat="1" applyFont="1" applyFill="1" applyBorder="1"/>
    <xf numFmtId="172" fontId="24" fillId="18" borderId="84" xfId="0" applyNumberFormat="1" applyFont="1" applyFill="1" applyBorder="1"/>
    <xf numFmtId="179" fontId="0" fillId="18" borderId="0" xfId="0" applyNumberFormat="1" applyFill="1"/>
    <xf numFmtId="179" fontId="3" fillId="18" borderId="50" xfId="46" applyNumberFormat="1" applyFont="1" applyFill="1"/>
    <xf numFmtId="179" fontId="72" fillId="18" borderId="50" xfId="0" applyNumberFormat="1" applyFont="1" applyFill="1" applyBorder="1"/>
    <xf numFmtId="43" fontId="51" fillId="18" borderId="50" xfId="0" applyNumberFormat="1" applyFont="1" applyFill="1" applyBorder="1"/>
    <xf numFmtId="0" fontId="57" fillId="18" borderId="50" xfId="0" applyFont="1" applyFill="1" applyBorder="1"/>
    <xf numFmtId="172" fontId="58" fillId="18" borderId="50" xfId="0" applyNumberFormat="1" applyFont="1" applyFill="1" applyBorder="1"/>
    <xf numFmtId="3" fontId="33" fillId="0" borderId="0" xfId="0" applyNumberFormat="1" applyFont="1"/>
    <xf numFmtId="3" fontId="41" fillId="0" borderId="0" xfId="0" applyNumberFormat="1" applyFont="1" applyAlignment="1">
      <alignment horizontal="right" wrapText="1"/>
    </xf>
    <xf numFmtId="167" fontId="13" fillId="18" borderId="54" xfId="0" applyNumberFormat="1" applyFont="1" applyFill="1" applyBorder="1" applyAlignment="1">
      <alignment vertical="center"/>
    </xf>
    <xf numFmtId="167" fontId="24" fillId="2" borderId="50" xfId="0" applyNumberFormat="1" applyFont="1" applyFill="1" applyBorder="1"/>
    <xf numFmtId="9" fontId="24" fillId="0" borderId="50" xfId="53" applyFont="1" applyFill="1"/>
    <xf numFmtId="179" fontId="0" fillId="18" borderId="50" xfId="55" applyNumberFormat="1" applyFont="1" applyFill="1"/>
    <xf numFmtId="167" fontId="52" fillId="25" borderId="38" xfId="0" applyNumberFormat="1" applyFont="1" applyFill="1" applyBorder="1"/>
    <xf numFmtId="167" fontId="52" fillId="25" borderId="0" xfId="0" applyNumberFormat="1" applyFont="1" applyFill="1"/>
    <xf numFmtId="0" fontId="0" fillId="25" borderId="50" xfId="0" applyFill="1" applyBorder="1"/>
    <xf numFmtId="167" fontId="52" fillId="25" borderId="49" xfId="0" applyNumberFormat="1" applyFont="1" applyFill="1" applyBorder="1"/>
    <xf numFmtId="167" fontId="53" fillId="25" borderId="30" xfId="0" applyNumberFormat="1" applyFont="1" applyFill="1" applyBorder="1"/>
    <xf numFmtId="167" fontId="53" fillId="25" borderId="34" xfId="0" applyNumberFormat="1" applyFont="1" applyFill="1" applyBorder="1"/>
    <xf numFmtId="172" fontId="24" fillId="25" borderId="84" xfId="0" applyNumberFormat="1" applyFont="1" applyFill="1" applyBorder="1"/>
    <xf numFmtId="0" fontId="51" fillId="25" borderId="50" xfId="0" applyFont="1" applyFill="1" applyBorder="1"/>
    <xf numFmtId="167" fontId="13" fillId="27" borderId="22" xfId="0" applyNumberFormat="1" applyFont="1" applyFill="1" applyBorder="1" applyAlignment="1">
      <alignment vertical="center"/>
    </xf>
    <xf numFmtId="167" fontId="13" fillId="25" borderId="22" xfId="0" applyNumberFormat="1" applyFont="1" applyFill="1" applyBorder="1" applyAlignment="1">
      <alignment vertical="center"/>
    </xf>
    <xf numFmtId="17" fontId="13" fillId="28" borderId="0" xfId="0" quotePrefix="1" applyNumberFormat="1" applyFont="1" applyFill="1" applyAlignment="1">
      <alignment horizontal="center" vertical="center"/>
    </xf>
    <xf numFmtId="0" fontId="0" fillId="28" borderId="0" xfId="0" applyFill="1"/>
    <xf numFmtId="166" fontId="24" fillId="28" borderId="1" xfId="0" applyNumberFormat="1" applyFont="1" applyFill="1" applyBorder="1" applyAlignment="1">
      <alignment vertical="center"/>
    </xf>
    <xf numFmtId="0" fontId="12" fillId="28" borderId="1" xfId="0" applyFont="1" applyFill="1" applyBorder="1"/>
    <xf numFmtId="41" fontId="13" fillId="28" borderId="0" xfId="0" applyNumberFormat="1" applyFont="1" applyFill="1" applyAlignment="1">
      <alignment vertical="center"/>
    </xf>
    <xf numFmtId="167" fontId="12" fillId="28" borderId="29" xfId="0" applyNumberFormat="1" applyFont="1" applyFill="1" applyBorder="1"/>
    <xf numFmtId="167" fontId="12" fillId="28" borderId="31" xfId="0" applyNumberFormat="1" applyFont="1" applyFill="1" applyBorder="1" applyAlignment="1">
      <alignment horizontal="center"/>
    </xf>
    <xf numFmtId="167" fontId="12" fillId="28" borderId="31" xfId="0" applyNumberFormat="1" applyFont="1" applyFill="1" applyBorder="1" applyAlignment="1">
      <alignment horizontal="right"/>
    </xf>
    <xf numFmtId="167" fontId="26" fillId="28" borderId="32" xfId="0" applyNumberFormat="1" applyFont="1" applyFill="1" applyBorder="1" applyAlignment="1">
      <alignment horizontal="center"/>
    </xf>
    <xf numFmtId="167" fontId="12" fillId="28" borderId="34" xfId="0" applyNumberFormat="1" applyFont="1" applyFill="1" applyBorder="1" applyAlignment="1">
      <alignment horizontal="center"/>
    </xf>
    <xf numFmtId="167" fontId="12" fillId="28" borderId="0" xfId="0" applyNumberFormat="1" applyFont="1" applyFill="1"/>
    <xf numFmtId="167" fontId="13" fillId="28" borderId="0" xfId="0" applyNumberFormat="1" applyFont="1" applyFill="1" applyAlignment="1">
      <alignment vertical="center"/>
    </xf>
    <xf numFmtId="167" fontId="12" fillId="28" borderId="29" xfId="0" applyNumberFormat="1" applyFont="1" applyFill="1" applyBorder="1" applyAlignment="1">
      <alignment vertical="center"/>
    </xf>
    <xf numFmtId="167" fontId="12" fillId="28" borderId="31" xfId="0" applyNumberFormat="1" applyFont="1" applyFill="1" applyBorder="1"/>
    <xf numFmtId="167" fontId="12" fillId="28" borderId="34" xfId="0" applyNumberFormat="1" applyFont="1" applyFill="1" applyBorder="1"/>
    <xf numFmtId="167" fontId="27" fillId="28" borderId="0" xfId="0" applyNumberFormat="1" applyFont="1" applyFill="1"/>
    <xf numFmtId="167" fontId="28" fillId="28" borderId="1" xfId="0" applyNumberFormat="1" applyFont="1" applyFill="1" applyBorder="1"/>
    <xf numFmtId="167" fontId="29" fillId="28" borderId="30" xfId="0" applyNumberFormat="1" applyFont="1" applyFill="1" applyBorder="1"/>
    <xf numFmtId="167" fontId="29" fillId="28" borderId="32" xfId="0" applyNumberFormat="1" applyFont="1" applyFill="1" applyBorder="1"/>
    <xf numFmtId="167" fontId="29" fillId="28" borderId="33" xfId="0" applyNumberFormat="1" applyFont="1" applyFill="1" applyBorder="1"/>
    <xf numFmtId="167" fontId="29" fillId="28" borderId="1" xfId="0" applyNumberFormat="1" applyFont="1" applyFill="1" applyBorder="1"/>
    <xf numFmtId="167" fontId="29" fillId="28" borderId="34" xfId="0" applyNumberFormat="1" applyFont="1" applyFill="1" applyBorder="1"/>
    <xf numFmtId="170" fontId="12" fillId="28" borderId="0" xfId="0" applyNumberFormat="1" applyFont="1" applyFill="1"/>
    <xf numFmtId="0" fontId="12" fillId="28" borderId="0" xfId="0" applyFont="1" applyFill="1"/>
    <xf numFmtId="167" fontId="12" fillId="28" borderId="35" xfId="0" applyNumberFormat="1" applyFont="1" applyFill="1" applyBorder="1"/>
    <xf numFmtId="167" fontId="12" fillId="28" borderId="16" xfId="0" applyNumberFormat="1" applyFont="1" applyFill="1" applyBorder="1"/>
    <xf numFmtId="167" fontId="13" fillId="28" borderId="0" xfId="0" applyNumberFormat="1" applyFont="1" applyFill="1"/>
    <xf numFmtId="2" fontId="12" fillId="28" borderId="0" xfId="0" applyNumberFormat="1" applyFont="1" applyFill="1"/>
    <xf numFmtId="10" fontId="12" fillId="28" borderId="0" xfId="0" applyNumberFormat="1" applyFont="1" applyFill="1"/>
    <xf numFmtId="166" fontId="24" fillId="29" borderId="1" xfId="0" applyNumberFormat="1" applyFont="1" applyFill="1" applyBorder="1" applyAlignment="1">
      <alignment vertical="center"/>
    </xf>
    <xf numFmtId="0" fontId="12" fillId="29" borderId="1" xfId="0" applyFont="1" applyFill="1" applyBorder="1"/>
    <xf numFmtId="17" fontId="13" fillId="29" borderId="0" xfId="0" quotePrefix="1" applyNumberFormat="1" applyFont="1" applyFill="1" applyAlignment="1">
      <alignment horizontal="center" vertical="center"/>
    </xf>
    <xf numFmtId="41" fontId="13" fillId="29" borderId="0" xfId="0" applyNumberFormat="1" applyFont="1" applyFill="1" applyAlignment="1">
      <alignment vertical="center"/>
    </xf>
    <xf numFmtId="167" fontId="12" fillId="29" borderId="29" xfId="0" applyNumberFormat="1" applyFont="1" applyFill="1" applyBorder="1"/>
    <xf numFmtId="167" fontId="12" fillId="29" borderId="31" xfId="0" applyNumberFormat="1" applyFont="1" applyFill="1" applyBorder="1" applyAlignment="1">
      <alignment horizontal="center"/>
    </xf>
    <xf numFmtId="167" fontId="12" fillId="29" borderId="31" xfId="0" applyNumberFormat="1" applyFont="1" applyFill="1" applyBorder="1" applyAlignment="1">
      <alignment horizontal="right"/>
    </xf>
    <xf numFmtId="167" fontId="26" fillId="29" borderId="32" xfId="0" applyNumberFormat="1" applyFont="1" applyFill="1" applyBorder="1" applyAlignment="1">
      <alignment horizontal="center"/>
    </xf>
    <xf numFmtId="167" fontId="12" fillId="29" borderId="34" xfId="0" applyNumberFormat="1" applyFont="1" applyFill="1" applyBorder="1" applyAlignment="1">
      <alignment horizontal="center"/>
    </xf>
    <xf numFmtId="167" fontId="12" fillId="29" borderId="0" xfId="0" applyNumberFormat="1" applyFont="1" applyFill="1"/>
    <xf numFmtId="167" fontId="13" fillId="29" borderId="0" xfId="0" applyNumberFormat="1" applyFont="1" applyFill="1" applyAlignment="1">
      <alignment vertical="center"/>
    </xf>
    <xf numFmtId="167" fontId="12" fillId="29" borderId="29" xfId="0" applyNumberFormat="1" applyFont="1" applyFill="1" applyBorder="1" applyAlignment="1">
      <alignment vertical="center"/>
    </xf>
    <xf numFmtId="167" fontId="12" fillId="29" borderId="31" xfId="0" applyNumberFormat="1" applyFont="1" applyFill="1" applyBorder="1"/>
    <xf numFmtId="167" fontId="12" fillId="29" borderId="34" xfId="0" applyNumberFormat="1" applyFont="1" applyFill="1" applyBorder="1"/>
    <xf numFmtId="167" fontId="27" fillId="29" borderId="0" xfId="0" applyNumberFormat="1" applyFont="1" applyFill="1"/>
    <xf numFmtId="165" fontId="27" fillId="29" borderId="0" xfId="1" applyFont="1" applyFill="1"/>
    <xf numFmtId="167" fontId="28" fillId="29" borderId="1" xfId="0" applyNumberFormat="1" applyFont="1" applyFill="1" applyBorder="1"/>
    <xf numFmtId="167" fontId="29" fillId="29" borderId="30" xfId="0" applyNumberFormat="1" applyFont="1" applyFill="1" applyBorder="1"/>
    <xf numFmtId="167" fontId="29" fillId="29" borderId="32" xfId="0" applyNumberFormat="1" applyFont="1" applyFill="1" applyBorder="1"/>
    <xf numFmtId="167" fontId="29" fillId="29" borderId="33" xfId="0" applyNumberFormat="1" applyFont="1" applyFill="1" applyBorder="1"/>
    <xf numFmtId="167" fontId="29" fillId="29" borderId="1" xfId="0" applyNumberFormat="1" applyFont="1" applyFill="1" applyBorder="1"/>
    <xf numFmtId="167" fontId="29" fillId="29" borderId="34" xfId="0" applyNumberFormat="1" applyFont="1" applyFill="1" applyBorder="1"/>
    <xf numFmtId="170" fontId="12" fillId="29" borderId="0" xfId="0" applyNumberFormat="1" applyFont="1" applyFill="1"/>
    <xf numFmtId="0" fontId="12" fillId="29" borderId="0" xfId="0" applyFont="1" applyFill="1"/>
    <xf numFmtId="167" fontId="12" fillId="29" borderId="35" xfId="0" applyNumberFormat="1" applyFont="1" applyFill="1" applyBorder="1"/>
    <xf numFmtId="167" fontId="12" fillId="29" borderId="16" xfId="0" applyNumberFormat="1" applyFont="1" applyFill="1" applyBorder="1"/>
    <xf numFmtId="167" fontId="13" fillId="29" borderId="0" xfId="0" applyNumberFormat="1" applyFont="1" applyFill="1"/>
    <xf numFmtId="0" fontId="0" fillId="29" borderId="0" xfId="0" applyFill="1"/>
    <xf numFmtId="2" fontId="12" fillId="29" borderId="0" xfId="0" applyNumberFormat="1" applyFont="1" applyFill="1"/>
    <xf numFmtId="10" fontId="12" fillId="29" borderId="0" xfId="0" applyNumberFormat="1" applyFont="1" applyFill="1"/>
    <xf numFmtId="17" fontId="13" fillId="30" borderId="0" xfId="0" quotePrefix="1" applyNumberFormat="1" applyFont="1" applyFill="1" applyAlignment="1">
      <alignment horizontal="center" vertical="center"/>
    </xf>
    <xf numFmtId="0" fontId="0" fillId="30" borderId="0" xfId="0" applyFill="1"/>
    <xf numFmtId="166" fontId="24" fillId="30" borderId="1" xfId="0" applyNumberFormat="1" applyFont="1" applyFill="1" applyBorder="1" applyAlignment="1">
      <alignment vertical="center"/>
    </xf>
    <xf numFmtId="0" fontId="12" fillId="30" borderId="1" xfId="0" applyFont="1" applyFill="1" applyBorder="1"/>
    <xf numFmtId="41" fontId="13" fillId="30" borderId="0" xfId="0" applyNumberFormat="1" applyFont="1" applyFill="1" applyAlignment="1">
      <alignment vertical="center"/>
    </xf>
    <xf numFmtId="167" fontId="12" fillId="30" borderId="29" xfId="0" applyNumberFormat="1" applyFont="1" applyFill="1" applyBorder="1"/>
    <xf numFmtId="167" fontId="12" fillId="30" borderId="31" xfId="0" applyNumberFormat="1" applyFont="1" applyFill="1" applyBorder="1" applyAlignment="1">
      <alignment horizontal="center"/>
    </xf>
    <xf numFmtId="167" fontId="12" fillId="30" borderId="31" xfId="0" applyNumberFormat="1" applyFont="1" applyFill="1" applyBorder="1" applyAlignment="1">
      <alignment horizontal="right"/>
    </xf>
    <xf numFmtId="167" fontId="26" fillId="30" borderId="32" xfId="0" applyNumberFormat="1" applyFont="1" applyFill="1" applyBorder="1" applyAlignment="1">
      <alignment horizontal="center"/>
    </xf>
    <xf numFmtId="167" fontId="12" fillId="30" borderId="34" xfId="0" applyNumberFormat="1" applyFont="1" applyFill="1" applyBorder="1" applyAlignment="1">
      <alignment horizontal="center"/>
    </xf>
    <xf numFmtId="167" fontId="12" fillId="30" borderId="0" xfId="0" applyNumberFormat="1" applyFont="1" applyFill="1"/>
    <xf numFmtId="167" fontId="13" fillId="30" borderId="0" xfId="0" applyNumberFormat="1" applyFont="1" applyFill="1" applyAlignment="1">
      <alignment vertical="center"/>
    </xf>
    <xf numFmtId="167" fontId="12" fillId="30" borderId="29" xfId="0" applyNumberFormat="1" applyFont="1" applyFill="1" applyBorder="1" applyAlignment="1">
      <alignment vertical="center"/>
    </xf>
    <xf numFmtId="167" fontId="12" fillId="30" borderId="31" xfId="0" applyNumberFormat="1" applyFont="1" applyFill="1" applyBorder="1"/>
    <xf numFmtId="167" fontId="12" fillId="30" borderId="34" xfId="0" applyNumberFormat="1" applyFont="1" applyFill="1" applyBorder="1"/>
    <xf numFmtId="167" fontId="27" fillId="30" borderId="0" xfId="0" applyNumberFormat="1" applyFont="1" applyFill="1"/>
    <xf numFmtId="165" fontId="27" fillId="30" borderId="0" xfId="1" applyFont="1" applyFill="1"/>
    <xf numFmtId="167" fontId="28" fillId="30" borderId="1" xfId="0" applyNumberFormat="1" applyFont="1" applyFill="1" applyBorder="1"/>
    <xf numFmtId="167" fontId="29" fillId="30" borderId="30" xfId="0" applyNumberFormat="1" applyFont="1" applyFill="1" applyBorder="1"/>
    <xf numFmtId="167" fontId="29" fillId="30" borderId="32" xfId="0" applyNumberFormat="1" applyFont="1" applyFill="1" applyBorder="1"/>
    <xf numFmtId="167" fontId="29" fillId="30" borderId="33" xfId="0" applyNumberFormat="1" applyFont="1" applyFill="1" applyBorder="1"/>
    <xf numFmtId="167" fontId="29" fillId="30" borderId="1" xfId="0" applyNumberFormat="1" applyFont="1" applyFill="1" applyBorder="1"/>
    <xf numFmtId="167" fontId="29" fillId="30" borderId="34" xfId="0" applyNumberFormat="1" applyFont="1" applyFill="1" applyBorder="1"/>
    <xf numFmtId="170" fontId="12" fillId="30" borderId="0" xfId="0" applyNumberFormat="1" applyFont="1" applyFill="1"/>
    <xf numFmtId="0" fontId="12" fillId="30" borderId="0" xfId="0" applyFont="1" applyFill="1"/>
    <xf numFmtId="167" fontId="12" fillId="30" borderId="35" xfId="0" applyNumberFormat="1" applyFont="1" applyFill="1" applyBorder="1"/>
    <xf numFmtId="167" fontId="12" fillId="30" borderId="16" xfId="0" applyNumberFormat="1" applyFont="1" applyFill="1" applyBorder="1"/>
    <xf numFmtId="167" fontId="13" fillId="30" borderId="0" xfId="0" applyNumberFormat="1" applyFont="1" applyFill="1"/>
    <xf numFmtId="2" fontId="12" fillId="30" borderId="0" xfId="0" applyNumberFormat="1" applyFont="1" applyFill="1"/>
    <xf numFmtId="10" fontId="12" fillId="30" borderId="0" xfId="0" applyNumberFormat="1" applyFont="1" applyFill="1"/>
    <xf numFmtId="179" fontId="7" fillId="18" borderId="0" xfId="1" applyNumberFormat="1" applyFont="1" applyFill="1"/>
    <xf numFmtId="167" fontId="0" fillId="18" borderId="1" xfId="2" applyNumberFormat="1" applyFont="1" applyFill="1" applyBorder="1"/>
    <xf numFmtId="17" fontId="13" fillId="18" borderId="0" xfId="0" quotePrefix="1" applyNumberFormat="1" applyFont="1" applyFill="1" applyAlignment="1">
      <alignment horizontal="center" vertical="center"/>
    </xf>
    <xf numFmtId="167" fontId="32" fillId="18" borderId="1" xfId="0" applyNumberFormat="1" applyFont="1" applyFill="1" applyBorder="1"/>
    <xf numFmtId="43" fontId="24" fillId="18" borderId="1" xfId="0" applyNumberFormat="1" applyFont="1" applyFill="1" applyBorder="1"/>
    <xf numFmtId="0" fontId="32" fillId="18" borderId="1" xfId="0" applyFont="1" applyFill="1" applyBorder="1"/>
    <xf numFmtId="3" fontId="0" fillId="18" borderId="1" xfId="0" applyNumberFormat="1" applyFill="1" applyBorder="1"/>
    <xf numFmtId="167" fontId="0" fillId="18" borderId="8" xfId="0" applyNumberFormat="1" applyFill="1" applyBorder="1"/>
    <xf numFmtId="172" fontId="37" fillId="18" borderId="30" xfId="0" applyNumberFormat="1" applyFont="1" applyFill="1" applyBorder="1"/>
    <xf numFmtId="172" fontId="37" fillId="18" borderId="33" xfId="0" applyNumberFormat="1" applyFont="1" applyFill="1" applyBorder="1"/>
    <xf numFmtId="167" fontId="39" fillId="18" borderId="1" xfId="0" applyNumberFormat="1" applyFont="1" applyFill="1" applyBorder="1"/>
    <xf numFmtId="3" fontId="6" fillId="18" borderId="0" xfId="0" applyNumberFormat="1" applyFont="1" applyFill="1"/>
    <xf numFmtId="167" fontId="12" fillId="18" borderId="50" xfId="0" applyNumberFormat="1" applyFont="1" applyFill="1" applyBorder="1"/>
    <xf numFmtId="1" fontId="0" fillId="18" borderId="1" xfId="0" applyNumberFormat="1" applyFill="1" applyBorder="1"/>
    <xf numFmtId="3" fontId="0" fillId="18" borderId="36" xfId="0" applyNumberFormat="1" applyFill="1" applyBorder="1"/>
    <xf numFmtId="165" fontId="24" fillId="18" borderId="47" xfId="1" applyFont="1" applyFill="1" applyBorder="1"/>
    <xf numFmtId="10" fontId="0" fillId="18" borderId="0" xfId="0" applyNumberFormat="1" applyFill="1"/>
    <xf numFmtId="165" fontId="6" fillId="18" borderId="0" xfId="1" applyFont="1" applyFill="1"/>
    <xf numFmtId="167" fontId="6" fillId="18" borderId="1" xfId="2" applyNumberFormat="1" applyFont="1" applyFill="1" applyBorder="1"/>
    <xf numFmtId="165" fontId="24" fillId="18" borderId="2" xfId="1" applyFont="1" applyFill="1" applyBorder="1"/>
    <xf numFmtId="167" fontId="12" fillId="0" borderId="1" xfId="0" applyNumberFormat="1" applyFont="1" applyBorder="1"/>
    <xf numFmtId="17" fontId="13" fillId="0" borderId="50" xfId="0" applyNumberFormat="1" applyFont="1" applyBorder="1" applyAlignment="1">
      <alignment horizontal="center" vertical="center"/>
    </xf>
    <xf numFmtId="182" fontId="0" fillId="0" borderId="0" xfId="1" applyNumberFormat="1" applyFont="1"/>
    <xf numFmtId="173" fontId="74" fillId="0" borderId="155" xfId="0" applyNumberFormat="1" applyFont="1" applyBorder="1" applyAlignment="1">
      <alignment horizontal="center" vertical="center"/>
    </xf>
    <xf numFmtId="10" fontId="74" fillId="0" borderId="155" xfId="0" applyNumberFormat="1" applyFont="1" applyBorder="1" applyAlignment="1">
      <alignment horizontal="center" vertical="center"/>
    </xf>
    <xf numFmtId="0" fontId="74" fillId="0" borderId="141" xfId="0" applyFont="1" applyBorder="1"/>
    <xf numFmtId="167" fontId="0" fillId="0" borderId="155" xfId="0" applyNumberFormat="1" applyBorder="1"/>
    <xf numFmtId="172" fontId="74" fillId="0" borderId="125" xfId="0" applyNumberFormat="1" applyFont="1" applyBorder="1" applyAlignment="1">
      <alignment horizontal="center" vertical="center"/>
    </xf>
    <xf numFmtId="165" fontId="27" fillId="0" borderId="0" xfId="1" applyFont="1" applyFill="1"/>
    <xf numFmtId="182" fontId="0" fillId="0" borderId="0" xfId="1" applyNumberFormat="1" applyFont="1" applyFill="1"/>
    <xf numFmtId="9" fontId="12" fillId="2" borderId="51" xfId="0" applyNumberFormat="1" applyFont="1" applyFill="1" applyBorder="1" applyAlignment="1">
      <alignment vertical="center"/>
    </xf>
    <xf numFmtId="0" fontId="72" fillId="0" borderId="122" xfId="0" applyFont="1" applyBorder="1" applyAlignment="1">
      <alignment horizontal="center" vertical="center"/>
    </xf>
    <xf numFmtId="172" fontId="37" fillId="0" borderId="125" xfId="0" applyNumberFormat="1" applyFont="1" applyBorder="1"/>
    <xf numFmtId="172" fontId="37" fillId="0" borderId="127" xfId="0" applyNumberFormat="1" applyFont="1" applyBorder="1"/>
    <xf numFmtId="167" fontId="42" fillId="0" borderId="92" xfId="0" applyNumberFormat="1" applyFont="1" applyBorder="1"/>
    <xf numFmtId="0" fontId="72" fillId="0" borderId="50" xfId="0" applyFont="1" applyBorder="1" applyAlignment="1">
      <alignment horizontal="center"/>
    </xf>
    <xf numFmtId="0" fontId="12" fillId="0" borderId="99" xfId="0" applyFont="1" applyBorder="1"/>
    <xf numFmtId="43" fontId="0" fillId="0" borderId="50" xfId="0" applyNumberFormat="1" applyBorder="1"/>
    <xf numFmtId="167" fontId="13" fillId="0" borderId="56" xfId="0" applyNumberFormat="1" applyFont="1" applyBorder="1" applyAlignment="1">
      <alignment horizontal="center" vertical="center"/>
    </xf>
    <xf numFmtId="167" fontId="13" fillId="0" borderId="131" xfId="0" applyNumberFormat="1" applyFont="1" applyBorder="1" applyAlignment="1">
      <alignment horizontal="center" vertical="center"/>
    </xf>
    <xf numFmtId="167" fontId="13" fillId="0" borderId="52" xfId="0" applyNumberFormat="1" applyFont="1" applyBorder="1" applyAlignment="1">
      <alignment horizontal="center" vertical="center"/>
    </xf>
    <xf numFmtId="167" fontId="13" fillId="0" borderId="62" xfId="0" applyNumberFormat="1" applyFont="1" applyBorder="1" applyAlignment="1">
      <alignment horizontal="center" vertical="center"/>
    </xf>
    <xf numFmtId="0" fontId="72" fillId="0" borderId="121" xfId="0" applyFont="1" applyBorder="1" applyAlignment="1">
      <alignment horizontal="center" vertical="center"/>
    </xf>
    <xf numFmtId="0" fontId="72" fillId="0" borderId="122" xfId="0" applyFont="1" applyBorder="1" applyAlignment="1">
      <alignment horizontal="center" vertical="center"/>
    </xf>
    <xf numFmtId="0" fontId="72" fillId="0" borderId="123" xfId="0" applyFont="1" applyBorder="1" applyAlignment="1">
      <alignment horizontal="center" vertical="center"/>
    </xf>
    <xf numFmtId="17" fontId="24" fillId="10" borderId="95" xfId="0" applyNumberFormat="1" applyFont="1" applyFill="1" applyBorder="1" applyAlignment="1">
      <alignment horizontal="center" vertical="center" wrapText="1"/>
    </xf>
    <xf numFmtId="17" fontId="24" fillId="10" borderId="110" xfId="0" applyNumberFormat="1" applyFont="1" applyFill="1" applyBorder="1" applyAlignment="1">
      <alignment horizontal="center" vertical="center" wrapText="1"/>
    </xf>
    <xf numFmtId="17" fontId="24" fillId="9" borderId="95" xfId="0" applyNumberFormat="1" applyFont="1" applyFill="1" applyBorder="1" applyAlignment="1">
      <alignment horizontal="center" vertical="center" wrapText="1"/>
    </xf>
    <xf numFmtId="17" fontId="24" fillId="9" borderId="110" xfId="0" applyNumberFormat="1" applyFont="1" applyFill="1" applyBorder="1" applyAlignment="1">
      <alignment horizontal="center" vertical="center" wrapText="1"/>
    </xf>
    <xf numFmtId="17" fontId="24" fillId="10" borderId="96" xfId="0" applyNumberFormat="1" applyFont="1" applyFill="1" applyBorder="1" applyAlignment="1">
      <alignment horizontal="center" vertical="center" wrapText="1"/>
    </xf>
    <xf numFmtId="17" fontId="24" fillId="10" borderId="109" xfId="0" applyNumberFormat="1" applyFont="1" applyFill="1" applyBorder="1" applyAlignment="1">
      <alignment horizontal="center" vertical="center" wrapText="1"/>
    </xf>
    <xf numFmtId="17" fontId="24" fillId="10" borderId="103" xfId="0" applyNumberFormat="1" applyFont="1" applyFill="1" applyBorder="1" applyAlignment="1">
      <alignment horizontal="center" vertical="center" wrapText="1"/>
    </xf>
    <xf numFmtId="17" fontId="24" fillId="10" borderId="108" xfId="0" applyNumberFormat="1" applyFont="1" applyFill="1" applyBorder="1" applyAlignment="1">
      <alignment horizontal="center" vertical="center" wrapText="1"/>
    </xf>
    <xf numFmtId="49" fontId="40" fillId="2" borderId="50" xfId="0" quotePrefix="1" applyNumberFormat="1" applyFont="1" applyFill="1" applyBorder="1" applyAlignment="1">
      <alignment horizontal="left"/>
    </xf>
    <xf numFmtId="0" fontId="14" fillId="8" borderId="94" xfId="0" applyFont="1" applyFill="1" applyBorder="1" applyAlignment="1">
      <alignment horizontal="center" vertical="center" wrapText="1"/>
    </xf>
    <xf numFmtId="0" fontId="14" fillId="8" borderId="102" xfId="0" applyFont="1" applyFill="1" applyBorder="1" applyAlignment="1">
      <alignment horizontal="center" vertical="center" wrapText="1"/>
    </xf>
    <xf numFmtId="0" fontId="14" fillId="8" borderId="106" xfId="0" applyFont="1" applyFill="1" applyBorder="1" applyAlignment="1">
      <alignment horizontal="center" vertical="center" wrapText="1"/>
    </xf>
    <xf numFmtId="0" fontId="14" fillId="8" borderId="107" xfId="0" applyFont="1" applyFill="1" applyBorder="1" applyAlignment="1">
      <alignment horizontal="center" vertical="center" wrapText="1"/>
    </xf>
    <xf numFmtId="0" fontId="14" fillId="8" borderId="103" xfId="0" applyFont="1" applyFill="1" applyBorder="1" applyAlignment="1">
      <alignment horizontal="center" vertical="center" wrapText="1"/>
    </xf>
    <xf numFmtId="0" fontId="14" fillId="8" borderId="108" xfId="0" applyFont="1" applyFill="1" applyBorder="1" applyAlignment="1">
      <alignment horizontal="center" vertical="center" wrapText="1"/>
    </xf>
    <xf numFmtId="0" fontId="14" fillId="8" borderId="104" xfId="0" applyFont="1" applyFill="1" applyBorder="1" applyAlignment="1">
      <alignment horizontal="center" vertical="center" wrapText="1"/>
    </xf>
    <xf numFmtId="0" fontId="14" fillId="8" borderId="101" xfId="0" applyFont="1" applyFill="1" applyBorder="1" applyAlignment="1">
      <alignment horizontal="center" vertical="center" wrapText="1"/>
    </xf>
    <xf numFmtId="0" fontId="14" fillId="8" borderId="96" xfId="0" applyFont="1" applyFill="1" applyBorder="1" applyAlignment="1">
      <alignment horizontal="center" vertical="center" wrapText="1"/>
    </xf>
    <xf numFmtId="0" fontId="14" fillId="8" borderId="109" xfId="0" applyFont="1" applyFill="1" applyBorder="1" applyAlignment="1">
      <alignment horizontal="center" vertical="center" wrapText="1"/>
    </xf>
    <xf numFmtId="0" fontId="14" fillId="8" borderId="95" xfId="0" applyFont="1" applyFill="1" applyBorder="1" applyAlignment="1">
      <alignment horizontal="center" vertical="center" wrapText="1"/>
    </xf>
    <xf numFmtId="0" fontId="14" fillId="8" borderId="110" xfId="0" applyFont="1" applyFill="1" applyBorder="1" applyAlignment="1">
      <alignment horizontal="center" vertical="center" wrapText="1"/>
    </xf>
    <xf numFmtId="0" fontId="44" fillId="8" borderId="164" xfId="0" applyFont="1" applyFill="1" applyBorder="1" applyAlignment="1">
      <alignment horizontal="center" vertical="center" wrapText="1"/>
    </xf>
    <xf numFmtId="0" fontId="44" fillId="8" borderId="162" xfId="0" applyFont="1" applyFill="1" applyBorder="1" applyAlignment="1">
      <alignment horizontal="center" vertical="center" wrapText="1"/>
    </xf>
    <xf numFmtId="0" fontId="44" fillId="8" borderId="165" xfId="0" applyFont="1" applyFill="1" applyBorder="1" applyAlignment="1">
      <alignment horizontal="center" vertical="center" wrapText="1"/>
    </xf>
    <xf numFmtId="0" fontId="44" fillId="8" borderId="163" xfId="0" applyFont="1" applyFill="1" applyBorder="1" applyAlignment="1">
      <alignment horizontal="center" vertical="center" wrapText="1"/>
    </xf>
    <xf numFmtId="0" fontId="72" fillId="0" borderId="121" xfId="0" applyFont="1" applyBorder="1" applyAlignment="1">
      <alignment horizontal="center"/>
    </xf>
    <xf numFmtId="0" fontId="72" fillId="0" borderId="122" xfId="0" applyFont="1" applyBorder="1" applyAlignment="1">
      <alignment horizontal="center"/>
    </xf>
    <xf numFmtId="0" fontId="72" fillId="0" borderId="123" xfId="0" applyFont="1" applyBorder="1" applyAlignment="1">
      <alignment horizontal="center"/>
    </xf>
    <xf numFmtId="0" fontId="14" fillId="8" borderId="103" xfId="0" applyFont="1" applyFill="1" applyBorder="1" applyAlignment="1">
      <alignment horizontal="center" vertical="center"/>
    </xf>
    <xf numFmtId="0" fontId="14" fillId="8" borderId="108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17" fontId="24" fillId="9" borderId="168" xfId="0" applyNumberFormat="1" applyFont="1" applyFill="1" applyBorder="1" applyAlignment="1">
      <alignment horizontal="center" vertical="center" wrapText="1"/>
    </xf>
    <xf numFmtId="17" fontId="24" fillId="9" borderId="169" xfId="0" applyNumberFormat="1" applyFont="1" applyFill="1" applyBorder="1" applyAlignment="1">
      <alignment horizontal="center" vertical="center" wrapText="1"/>
    </xf>
    <xf numFmtId="17" fontId="24" fillId="9" borderId="166" xfId="0" applyNumberFormat="1" applyFont="1" applyFill="1" applyBorder="1" applyAlignment="1">
      <alignment horizontal="center" vertical="center" wrapText="1"/>
    </xf>
    <xf numFmtId="17" fontId="24" fillId="9" borderId="167" xfId="0" applyNumberFormat="1" applyFont="1" applyFill="1" applyBorder="1" applyAlignment="1">
      <alignment horizontal="center" vertical="center" wrapText="1"/>
    </xf>
    <xf numFmtId="0" fontId="14" fillId="8" borderId="96" xfId="0" applyFont="1" applyFill="1" applyBorder="1" applyAlignment="1">
      <alignment horizontal="center" vertical="center"/>
    </xf>
    <xf numFmtId="0" fontId="14" fillId="8" borderId="109" xfId="0" applyFont="1" applyFill="1" applyBorder="1" applyAlignment="1">
      <alignment horizontal="center" vertical="center"/>
    </xf>
    <xf numFmtId="17" fontId="24" fillId="9" borderId="54" xfId="0" applyNumberFormat="1" applyFont="1" applyFill="1" applyBorder="1" applyAlignment="1">
      <alignment horizontal="center" vertical="center" wrapText="1"/>
    </xf>
    <xf numFmtId="49" fontId="87" fillId="18" borderId="120" xfId="58" applyNumberFormat="1" applyFont="1" applyFill="1" applyBorder="1"/>
    <xf numFmtId="0" fontId="87" fillId="18" borderId="120" xfId="58" applyFont="1" applyFill="1" applyBorder="1"/>
    <xf numFmtId="0" fontId="88" fillId="18" borderId="120" xfId="58" applyFont="1" applyFill="1" applyBorder="1" applyAlignment="1">
      <alignment horizontal="right"/>
    </xf>
    <xf numFmtId="0" fontId="88" fillId="18" borderId="120" xfId="58" applyFont="1" applyFill="1" applyBorder="1"/>
    <xf numFmtId="0" fontId="88" fillId="18" borderId="50" xfId="58" applyFont="1" applyFill="1"/>
    <xf numFmtId="49" fontId="87" fillId="18" borderId="50" xfId="58" applyNumberFormat="1" applyFont="1" applyFill="1"/>
    <xf numFmtId="0" fontId="87" fillId="18" borderId="50" xfId="58" applyFont="1" applyFill="1"/>
    <xf numFmtId="0" fontId="88" fillId="18" borderId="50" xfId="58" applyFont="1" applyFill="1" applyAlignment="1">
      <alignment horizontal="right"/>
    </xf>
    <xf numFmtId="0" fontId="87" fillId="18" borderId="125" xfId="58" applyFont="1" applyFill="1" applyBorder="1" applyAlignment="1">
      <alignment horizontal="center"/>
    </xf>
    <xf numFmtId="49" fontId="87" fillId="18" borderId="127" xfId="58" quotePrefix="1" applyNumberFormat="1" applyFont="1" applyFill="1" applyBorder="1" applyAlignment="1">
      <alignment horizontal="center"/>
    </xf>
    <xf numFmtId="49" fontId="89" fillId="31" borderId="148" xfId="58" applyNumberFormat="1" applyFont="1" applyFill="1" applyBorder="1"/>
    <xf numFmtId="0" fontId="89" fillId="31" borderId="115" xfId="58" applyFont="1" applyFill="1" applyBorder="1"/>
    <xf numFmtId="49" fontId="89" fillId="31" borderId="115" xfId="58" applyNumberFormat="1" applyFont="1" applyFill="1" applyBorder="1"/>
    <xf numFmtId="49" fontId="89" fillId="31" borderId="130" xfId="58" applyNumberFormat="1" applyFont="1" applyFill="1" applyBorder="1"/>
    <xf numFmtId="49" fontId="87" fillId="18" borderId="92" xfId="58" applyNumberFormat="1" applyFont="1" applyFill="1" applyBorder="1"/>
    <xf numFmtId="0" fontId="88" fillId="18" borderId="92" xfId="58" applyFont="1" applyFill="1" applyBorder="1" applyAlignment="1">
      <alignment horizontal="left" indent="2"/>
    </xf>
    <xf numFmtId="3" fontId="87" fillId="18" borderId="92" xfId="58" applyNumberFormat="1" applyFont="1" applyFill="1" applyBorder="1"/>
    <xf numFmtId="3" fontId="87" fillId="0" borderId="92" xfId="58" applyNumberFormat="1" applyFont="1" applyBorder="1"/>
    <xf numFmtId="3" fontId="87" fillId="0" borderId="50" xfId="58" applyNumberFormat="1" applyFont="1"/>
    <xf numFmtId="0" fontId="88" fillId="18" borderId="92" xfId="58" quotePrefix="1" applyFont="1" applyFill="1" applyBorder="1"/>
    <xf numFmtId="3" fontId="88" fillId="18" borderId="50" xfId="58" applyNumberFormat="1" applyFont="1" applyFill="1"/>
    <xf numFmtId="9" fontId="87" fillId="18" borderId="92" xfId="58" applyNumberFormat="1" applyFont="1" applyFill="1" applyBorder="1"/>
    <xf numFmtId="0" fontId="88" fillId="0" borderId="50" xfId="58" applyFont="1"/>
    <xf numFmtId="10" fontId="87" fillId="0" borderId="92" xfId="58" applyNumberFormat="1" applyFont="1" applyBorder="1"/>
    <xf numFmtId="0" fontId="88" fillId="18" borderId="92" xfId="59" applyFont="1" applyFill="1" applyBorder="1" applyAlignment="1">
      <alignment horizontal="left" indent="2"/>
    </xf>
    <xf numFmtId="0" fontId="87" fillId="18" borderId="92" xfId="58" applyFont="1" applyFill="1" applyBorder="1"/>
    <xf numFmtId="0" fontId="90" fillId="18" borderId="50" xfId="58" applyFont="1" applyFill="1"/>
    <xf numFmtId="9" fontId="88" fillId="18" borderId="50" xfId="58" applyNumberFormat="1" applyFont="1" applyFill="1"/>
    <xf numFmtId="4" fontId="88" fillId="18" borderId="50" xfId="58" applyNumberFormat="1" applyFont="1" applyFill="1"/>
  </cellXfs>
  <cellStyles count="60">
    <cellStyle name="Comma" xfId="1" builtinId="3"/>
    <cellStyle name="Comma 2" xfId="9" xr:uid="{EDDDE592-DD0C-4091-A24D-7AD6E82230CC}"/>
    <cellStyle name="Comma 2 2" xfId="20" xr:uid="{51984AD3-B575-4085-AC74-755F7D135796}"/>
    <cellStyle name="Comma 2 2 2" xfId="46" xr:uid="{9FFC3497-2EF4-48A0-AA38-1728F24DD196}"/>
    <cellStyle name="Comma 2 3" xfId="39" xr:uid="{4E0BDD5B-0D15-4B59-9A5C-241558C49FCE}"/>
    <cellStyle name="Comma 2 4" xfId="32" xr:uid="{5EF429C4-5289-428F-8B91-BDF09F1CD04C}"/>
    <cellStyle name="Comma 3" xfId="5" xr:uid="{28805EC9-C377-4572-933D-4530CBF822BB}"/>
    <cellStyle name="Comma 4" xfId="17" xr:uid="{980A8AA0-500B-4DCE-809A-3647488F9FFC}"/>
    <cellStyle name="Comma 4 2" xfId="43" xr:uid="{65206654-B02D-414F-A737-969336DAF396}"/>
    <cellStyle name="Comma 4 2 2" xfId="55" xr:uid="{6BE1E802-DF98-4ECF-B8A8-DE05B46C3089}"/>
    <cellStyle name="Comma 5" xfId="34" xr:uid="{A49F70C1-F590-436B-8A65-A10031C4760F}"/>
    <cellStyle name="Comma 6" xfId="27" xr:uid="{FF786BFE-954A-47DB-AC48-AFACEF96AC1E}"/>
    <cellStyle name="Currency 2" xfId="10" xr:uid="{FDD60130-698F-4955-A740-CE6C4387C95D}"/>
    <cellStyle name="Currency 2 2" xfId="23" xr:uid="{7ABBA146-8258-42CF-9E0E-FA7D099F6322}"/>
    <cellStyle name="Currency 2 2 2" xfId="48" xr:uid="{EA96402D-0CF7-461C-9633-7F8B3FF53872}"/>
    <cellStyle name="Currency 2 3" xfId="21" xr:uid="{3AC20F56-088E-48A8-9F38-8C8C3288811B}"/>
    <cellStyle name="Currency 2 4" xfId="40" xr:uid="{C1ECCC5E-0574-4E8F-85D7-AC10F2F829F5}"/>
    <cellStyle name="Currency 3" xfId="6" xr:uid="{F24F152F-5985-404B-8FE1-2D9BBB3438E8}"/>
    <cellStyle name="Currency 4" xfId="18" xr:uid="{64C2B8BD-8073-448F-A802-A89EA8AA96F1}"/>
    <cellStyle name="Currency 4 2" xfId="44" xr:uid="{2A13A8A5-9E09-4956-9A96-F912EE0B2A10}"/>
    <cellStyle name="Hyperlink 2" xfId="13" xr:uid="{8A70B732-5825-4DBA-97AF-76DD76883EC5}"/>
    <cellStyle name="Normal" xfId="0" builtinId="0"/>
    <cellStyle name="Normal 2" xfId="3" xr:uid="{07165F3C-47E2-4067-BCDB-242100EFD289}"/>
    <cellStyle name="Normal 2 2" xfId="7" xr:uid="{DC75C6AF-AEEA-40E5-BDE9-ADC082E84C4B}"/>
    <cellStyle name="Normal 2 2 2" xfId="51" xr:uid="{66854D78-8B26-43AE-AD13-22E4A87491FE}"/>
    <cellStyle name="Normal 2 3" xfId="25" xr:uid="{A444F214-29C6-4645-88B0-4225337DEB01}"/>
    <cellStyle name="Normal 2 3 2" xfId="50" xr:uid="{D78DF0D4-9E26-478D-9365-7B339E3D0EE5}"/>
    <cellStyle name="Normal 2 3 2 2" xfId="52" xr:uid="{810D84A5-6821-4C1F-879D-4DD7853E5A3B}"/>
    <cellStyle name="Normal 2 3 2 2 2" xfId="59" xr:uid="{4C9E14AB-9AAA-4E5A-8551-6A9AD2C5924E}"/>
    <cellStyle name="Normal 2 3 2 3" xfId="58" xr:uid="{1E778B41-EACA-4222-87B4-4D24D4D4DF1F}"/>
    <cellStyle name="Normal 2 4" xfId="36" xr:uid="{46DCABC5-B5E7-49EF-A57C-428101605BC4}"/>
    <cellStyle name="Normal 2 5" xfId="15" xr:uid="{79E2A782-EABE-457D-AD68-3ABADA46BDEC}"/>
    <cellStyle name="Normal 2 6" xfId="30" xr:uid="{76917003-A421-432C-B90E-8BB6283437D6}"/>
    <cellStyle name="Normal 3" xfId="8" xr:uid="{147F6800-BE2B-494E-A1C6-D2EB58E82AD7}"/>
    <cellStyle name="Normal 3 2" xfId="12" xr:uid="{5474F7CD-8415-4E05-B004-F6D26A5B8567}"/>
    <cellStyle name="Normal 3 3" xfId="22" xr:uid="{3AF44FAB-456E-4665-B1F4-06C827F1EE1C}"/>
    <cellStyle name="Normal 3 3 2" xfId="47" xr:uid="{22777203-D71D-4E8D-B968-AABFC7141369}"/>
    <cellStyle name="Normal 3 4" xfId="38" xr:uid="{5EFF914D-5768-46C0-84D9-83B326303918}"/>
    <cellStyle name="Normal 3 5" xfId="29" xr:uid="{681B1BA6-EA21-4BBA-B19A-F59502958677}"/>
    <cellStyle name="Normal 4" xfId="4" xr:uid="{E0C297FB-F20A-4D33-9BC1-975C2DCE2BFB}"/>
    <cellStyle name="Normal 4 2" xfId="37" xr:uid="{5999F4EA-BB4F-4A98-AF89-F5E5C76B4E53}"/>
    <cellStyle name="Normal 4 3" xfId="31" xr:uid="{5AEC6D27-186A-47F8-851A-5F9DE454791B}"/>
    <cellStyle name="Normal 5" xfId="14" xr:uid="{D2BE91AD-0157-46D2-9420-8A72FD270464}"/>
    <cellStyle name="Normal 6" xfId="16" xr:uid="{2DC7B3A6-08E4-4E31-BE82-BBE2ED222CA0}"/>
    <cellStyle name="Normal 6 2" xfId="42" xr:uid="{85FAF502-5B61-4885-9F4B-976A4890FDE7}"/>
    <cellStyle name="Normal 6 2 2" xfId="54" xr:uid="{8662B4BF-F6D8-44E6-BA5C-68F83DDEED43}"/>
    <cellStyle name="Normal 7" xfId="33" xr:uid="{0D0E0CC1-103E-4FA9-B428-6CAF3BB1ACE6}"/>
    <cellStyle name="Normal 7 2" xfId="56" xr:uid="{109C4483-2DAF-44F8-8423-D60C3F4D671F}"/>
    <cellStyle name="Normal 8" xfId="26" xr:uid="{41B1FB60-B621-493F-A0A7-E4605C9E4DA6}"/>
    <cellStyle name="Normal 9" xfId="57" xr:uid="{8F519D8F-BA0F-4898-B5B0-DF073A787B68}"/>
    <cellStyle name="Percent" xfId="2" builtinId="5"/>
    <cellStyle name="Percent 2" xfId="11" xr:uid="{E65319EF-5C4C-45B7-AB92-5AD0839337E0}"/>
    <cellStyle name="Percent 2 2" xfId="24" xr:uid="{157765ED-8A9D-4936-BC1B-BB738DFA53F7}"/>
    <cellStyle name="Percent 2 2 2" xfId="49" xr:uid="{134BD49E-57F4-4058-8302-A7B096DCDBED}"/>
    <cellStyle name="Percent 2 3" xfId="41" xr:uid="{7FA3912C-3CB0-4917-9A64-A4A72BC450A3}"/>
    <cellStyle name="Percent 3" xfId="19" xr:uid="{6BF613DB-3448-4CCC-AA39-FE0E19321E2E}"/>
    <cellStyle name="Percent 3 2" xfId="45" xr:uid="{4935A139-0552-4BD5-AD18-5B29E2B99911}"/>
    <cellStyle name="Percent 3 2 2" xfId="53" xr:uid="{A05E4B6A-8170-443F-8E11-8F98ECB9A6C5}"/>
    <cellStyle name="Percent 4" xfId="35" xr:uid="{0D441B30-4646-4C38-8B7E-C340DC969BFE}"/>
    <cellStyle name="Percent 5" xfId="28" xr:uid="{32ADC8FC-117E-4CBB-A99F-3306EBB9154D}"/>
  </cellStyles>
  <dxfs count="124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548135"/>
      </font>
      <fill>
        <patternFill patternType="none"/>
      </fill>
    </dxf>
    <dxf>
      <font>
        <b/>
        <color rgb="FF548135"/>
      </font>
      <fill>
        <patternFill patternType="none"/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0962170523347731"/>
          <c:y val="5.2364949800413514E-2"/>
          <c:w val="0.51141660173645032"/>
          <c:h val="0.70015360292589357"/>
        </c:manualLayout>
      </c:layout>
      <c:lineChart>
        <c:grouping val="standard"/>
        <c:varyColors val="1"/>
        <c:ser>
          <c:idx val="0"/>
          <c:order val="0"/>
          <c:tx>
            <c:strRef>
              <c:f>'Advance Analysis - Dec25'!$C$3</c:f>
              <c:strCache>
                <c:ptCount val="1"/>
                <c:pt idx="0">
                  <c:v> Total Principal Advanced 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'Advance Analysis - Dec25'!$B$4:$B$128</c15:sqref>
                  </c15:fullRef>
                </c:ext>
              </c:extLst>
              <c:f>('Advance Analysis - Dec25'!$B$4:$B$85,'Advance Analysis - Dec25'!$B$87:$B$128)</c:f>
              <c:numCache>
                <c:formatCode>[$-409]mmm\-yy</c:formatCode>
                <c:ptCount val="32"/>
                <c:pt idx="0">
                  <c:v>44985</c:v>
                </c:pt>
                <c:pt idx="1">
                  <c:v>45008</c:v>
                </c:pt>
                <c:pt idx="2">
                  <c:v>45040</c:v>
                </c:pt>
                <c:pt idx="3">
                  <c:v>45077</c:v>
                </c:pt>
                <c:pt idx="4">
                  <c:v>45107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45230</c:v>
                </c:pt>
                <c:pt idx="9">
                  <c:v>45260</c:v>
                </c:pt>
                <c:pt idx="10">
                  <c:v>45261</c:v>
                </c:pt>
                <c:pt idx="11">
                  <c:v>45322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45535</c:v>
                </c:pt>
                <c:pt idx="19">
                  <c:v>45565</c:v>
                </c:pt>
                <c:pt idx="20">
                  <c:v>45566</c:v>
                </c:pt>
                <c:pt idx="21">
                  <c:v>45626</c:v>
                </c:pt>
                <c:pt idx="22">
                  <c:v>45657</c:v>
                </c:pt>
                <c:pt idx="23">
                  <c:v>45688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'Advance Analysis - Dec25'!$C$4:$C$128</c15:sqref>
                  </c15:fullRef>
                </c:ext>
              </c:extLst>
              <c:f>('Advance Analysis - Dec25'!$C$4:$C$85,'Advance Analysis - Dec25'!$C$87:$C$128)</c:f>
              <c:numCache>
                <c:formatCode>_(* #,##0_);_(* \(#,##0\);_(* "-"??_);_(@_)</c:formatCode>
                <c:ptCount val="32"/>
                <c:pt idx="0">
                  <c:v>161780202</c:v>
                </c:pt>
                <c:pt idx="1">
                  <c:v>209710862.54999995</c:v>
                </c:pt>
                <c:pt idx="2">
                  <c:v>160031691</c:v>
                </c:pt>
                <c:pt idx="3">
                  <c:v>206432764</c:v>
                </c:pt>
                <c:pt idx="4">
                  <c:v>199447623</c:v>
                </c:pt>
                <c:pt idx="5">
                  <c:v>218929221.32999989</c:v>
                </c:pt>
                <c:pt idx="6">
                  <c:v>262074325.46999994</c:v>
                </c:pt>
                <c:pt idx="7">
                  <c:v>235144543</c:v>
                </c:pt>
                <c:pt idx="8">
                  <c:v>282333549</c:v>
                </c:pt>
                <c:pt idx="9">
                  <c:v>331712054</c:v>
                </c:pt>
                <c:pt idx="10">
                  <c:v>260106365</c:v>
                </c:pt>
                <c:pt idx="11">
                  <c:v>327878099</c:v>
                </c:pt>
                <c:pt idx="12">
                  <c:v>354227306</c:v>
                </c:pt>
                <c:pt idx="13">
                  <c:v>283759344</c:v>
                </c:pt>
                <c:pt idx="14">
                  <c:v>302508652</c:v>
                </c:pt>
                <c:pt idx="15">
                  <c:v>292994294</c:v>
                </c:pt>
                <c:pt idx="16">
                  <c:v>295687363</c:v>
                </c:pt>
                <c:pt idx="17">
                  <c:v>338656624</c:v>
                </c:pt>
                <c:pt idx="18">
                  <c:v>267344759</c:v>
                </c:pt>
                <c:pt idx="19">
                  <c:v>303622410.71000016</c:v>
                </c:pt>
                <c:pt idx="20">
                  <c:v>333150912</c:v>
                </c:pt>
                <c:pt idx="21">
                  <c:v>307122427</c:v>
                </c:pt>
                <c:pt idx="22">
                  <c:v>237191081</c:v>
                </c:pt>
                <c:pt idx="23">
                  <c:v>252663192</c:v>
                </c:pt>
                <c:pt idx="24">
                  <c:v>232542821</c:v>
                </c:pt>
                <c:pt idx="25">
                  <c:v>209581914</c:v>
                </c:pt>
                <c:pt idx="26">
                  <c:v>218328997</c:v>
                </c:pt>
                <c:pt idx="27">
                  <c:v>243343506</c:v>
                </c:pt>
                <c:pt idx="28">
                  <c:v>220564372</c:v>
                </c:pt>
                <c:pt idx="29">
                  <c:v>263065751</c:v>
                </c:pt>
                <c:pt idx="30">
                  <c:v>213282530</c:v>
                </c:pt>
                <c:pt idx="31">
                  <c:v>241732166.99000001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8-42A4-B6BE-F13FCF38F143}"/>
            </c:ext>
          </c:extLst>
        </c:ser>
        <c:ser>
          <c:idx val="1"/>
          <c:order val="1"/>
          <c:tx>
            <c:strRef>
              <c:f>'Advance Analysis - Dec25'!$D$3</c:f>
              <c:strCache>
                <c:ptCount val="1"/>
                <c:pt idx="0">
                  <c:v> Nett Principal Outstanding @ Month End 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'Advance Analysis - Dec25'!$B$4:$B$128</c15:sqref>
                  </c15:fullRef>
                </c:ext>
              </c:extLst>
              <c:f>('Advance Analysis - Dec25'!$B$4:$B$85,'Advance Analysis - Dec25'!$B$87:$B$128)</c:f>
              <c:numCache>
                <c:formatCode>[$-409]mmm\-yy</c:formatCode>
                <c:ptCount val="32"/>
                <c:pt idx="0">
                  <c:v>44985</c:v>
                </c:pt>
                <c:pt idx="1">
                  <c:v>45008</c:v>
                </c:pt>
                <c:pt idx="2">
                  <c:v>45040</c:v>
                </c:pt>
                <c:pt idx="3">
                  <c:v>45077</c:v>
                </c:pt>
                <c:pt idx="4">
                  <c:v>45107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45230</c:v>
                </c:pt>
                <c:pt idx="9">
                  <c:v>45260</c:v>
                </c:pt>
                <c:pt idx="10">
                  <c:v>45261</c:v>
                </c:pt>
                <c:pt idx="11">
                  <c:v>45322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45535</c:v>
                </c:pt>
                <c:pt idx="19">
                  <c:v>45565</c:v>
                </c:pt>
                <c:pt idx="20">
                  <c:v>45566</c:v>
                </c:pt>
                <c:pt idx="21">
                  <c:v>45626</c:v>
                </c:pt>
                <c:pt idx="22">
                  <c:v>45657</c:v>
                </c:pt>
                <c:pt idx="23">
                  <c:v>45688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'Advance Analysis - Dec25'!$D$4:$D$128</c15:sqref>
                  </c15:fullRef>
                </c:ext>
              </c:extLst>
              <c:f>('Advance Analysis - Dec25'!$D$4:$D$85,'Advance Analysis - Dec25'!$D$87:$D$128)</c:f>
              <c:numCache>
                <c:formatCode>_(* #,##0_);_(* \(#,##0\);_(* "-"??_);_(@_)</c:formatCode>
                <c:ptCount val="32"/>
                <c:pt idx="0">
                  <c:v>669631787</c:v>
                </c:pt>
                <c:pt idx="1">
                  <c:v>767871089.58000004</c:v>
                </c:pt>
                <c:pt idx="2">
                  <c:v>804221582.56999993</c:v>
                </c:pt>
                <c:pt idx="3">
                  <c:v>852804676.19999993</c:v>
                </c:pt>
                <c:pt idx="4">
                  <c:v>905624265.37</c:v>
                </c:pt>
                <c:pt idx="5">
                  <c:v>951176762.83000004</c:v>
                </c:pt>
                <c:pt idx="6">
                  <c:v>1033344432.05</c:v>
                </c:pt>
                <c:pt idx="7">
                  <c:v>1086572614.9299998</c:v>
                </c:pt>
                <c:pt idx="8">
                  <c:v>1152981370.5899999</c:v>
                </c:pt>
                <c:pt idx="9">
                  <c:v>1268904968.95</c:v>
                </c:pt>
                <c:pt idx="10">
                  <c:v>1309912408.3199999</c:v>
                </c:pt>
                <c:pt idx="11">
                  <c:v>1403724789.4700003</c:v>
                </c:pt>
                <c:pt idx="12">
                  <c:v>1480585673.01</c:v>
                </c:pt>
                <c:pt idx="13">
                  <c:v>1588820986.8299999</c:v>
                </c:pt>
                <c:pt idx="14">
                  <c:v>1627435056.8899999</c:v>
                </c:pt>
                <c:pt idx="15">
                  <c:v>1663332756.4200001</c:v>
                </c:pt>
                <c:pt idx="16">
                  <c:v>1708209213.1299999</c:v>
                </c:pt>
                <c:pt idx="17">
                  <c:v>1765200982.23</c:v>
                </c:pt>
                <c:pt idx="18">
                  <c:v>1791267342.6699998</c:v>
                </c:pt>
                <c:pt idx="19">
                  <c:v>1825326392</c:v>
                </c:pt>
                <c:pt idx="20">
                  <c:v>1871789634.2</c:v>
                </c:pt>
                <c:pt idx="21">
                  <c:v>1885497490.3199999</c:v>
                </c:pt>
                <c:pt idx="22">
                  <c:v>1806577762</c:v>
                </c:pt>
                <c:pt idx="23">
                  <c:v>1787371449.1600001</c:v>
                </c:pt>
                <c:pt idx="24">
                  <c:v>1728136039.23</c:v>
                </c:pt>
                <c:pt idx="25">
                  <c:v>1653313533.1700001</c:v>
                </c:pt>
                <c:pt idx="26">
                  <c:v>1617153550.9500003</c:v>
                </c:pt>
                <c:pt idx="27">
                  <c:v>1600986778.1799998</c:v>
                </c:pt>
                <c:pt idx="28">
                  <c:v>1562448764.5</c:v>
                </c:pt>
                <c:pt idx="29">
                  <c:v>1569807333.54</c:v>
                </c:pt>
                <c:pt idx="30">
                  <c:v>1540093019.8600001</c:v>
                </c:pt>
                <c:pt idx="31">
                  <c:v>1529150074.27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8-42A4-B6BE-F13FCF38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825017"/>
        <c:axId val="320825782"/>
      </c:lineChart>
      <c:dateAx>
        <c:axId val="861825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409]mmm\-yy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0825782"/>
        <c:crosses val="autoZero"/>
        <c:auto val="1"/>
        <c:lblOffset val="100"/>
        <c:baseTimeUnit val="days"/>
      </c:dateAx>
      <c:valAx>
        <c:axId val="320825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182501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1714304566493"/>
          <c:y val="0.24185692724117702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583142</xdr:colOff>
      <xdr:row>136</xdr:row>
      <xdr:rowOff>62017</xdr:rowOff>
    </xdr:from>
    <xdr:ext cx="11124764" cy="4315673"/>
    <xdr:graphicFrame macro="">
      <xdr:nvGraphicFramePr>
        <xdr:cNvPr id="680174903" name="Chart 1">
          <a:extLst>
            <a:ext uri="{FF2B5EF4-FFF2-40B4-BE49-F238E27FC236}">
              <a16:creationId xmlns:a16="http://schemas.microsoft.com/office/drawing/2014/main" id="{00000000-0008-0000-0900-000037A58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gs7UNuh58hH7VPZJBm5VHpzE61cQ4WB\Finance%20shared\Interest%20payments\2025\12.%20December%20Interest%202025.xlsx" TargetMode="External"/><Relationship Id="rId1" Type="http://schemas.openxmlformats.org/officeDocument/2006/relationships/externalLinkPath" Target="/.shortcut-targets-by-id/11gs7UNuh58hH7VPZJBm5VHpzE61cQ4WB/Finance%20shared/Interest%20payments/2025/12.%20December%20Interest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XMODEL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32\NEWAPPS97\STKAPPS\closepr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gs7UNuh58hH7VPZJBm5VHpzE61cQ4WB\Finance%20shared\Covenants\2025\12.%20December%202025\Quona%20(Quarterly)\Q4%202025\09.%20Investor%20Man%20Acc%20-%20September%202025%20Quona.xlsx" TargetMode="External"/><Relationship Id="rId1" Type="http://schemas.openxmlformats.org/officeDocument/2006/relationships/externalLinkPath" Target="09.%20Investor%20Man%20Acc%20-%20September%202025%20Quo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D%20Materials\SE%20Financial%20Model%20-%202016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ISHT~1\AppData\Local\Temp\Rar$DI91.440\Documents\1.GLP\01.%20Financials\08.%20Budgeting%20Templates\To%20be%20used\Complete%20Business%20Plan%20-%20Forma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ib\SHARE\DB%20Microfinance\MFIs\India\Greenlight%20Planet%20(non-MFI)\Deals\ECC\Models\Greenlight%20Model%20-%20DB%20TESTER%20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R3\contrib\SHARE\DB%20Microfinance\MFIs\Cambodia\Prasac\Financials\02%20Quarterly%20Reports\2013\MFI%20Review%20PRASAC%202013Q1%20receiv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nsult\MD%20-%20P3s%20for%20Red%20and%20Purple%20Line\14%20-%20RL%20DBFM\4%20-%20Financial%20Model\MTA%20RL%20DBFM%20VfM%20Model%20MOS%202014-06-0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4332%20Zonamovil%20Consolidado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uentin\Documents\Quentin\Lulalend%20Google%20drive\Finance%20shared\Covenants\2021\11.%20Nov%2021\Lulalend%20-%20Monitoring%20Template%20v8_BlueEarth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est"/>
      <sheetName val="Lightrock"/>
      <sheetName val="Consol March"/>
      <sheetName val="Jan 2023"/>
      <sheetName val="Contacts"/>
      <sheetName val="JIBAR"/>
      <sheetName val="Sheet2"/>
      <sheetName val="Sheet3"/>
    </sheetNames>
    <sheetDataSet>
      <sheetData sheetId="0">
        <row r="188">
          <cell r="DL188">
            <v>1866871.2328767122</v>
          </cell>
          <cell r="DM188">
            <v>1929100.2739726028</v>
          </cell>
        </row>
        <row r="189">
          <cell r="DK189">
            <v>1057893.6986301369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XMODEL"/>
      <sheetName val="Assump"/>
      <sheetName val="NIBCO"/>
      <sheetName val="NIBCO Synergy"/>
      <sheetName val="Synergy DCF"/>
      <sheetName val="Valuation"/>
      <sheetName val="Overview"/>
      <sheetName val="Overview LTM"/>
      <sheetName val="PPR"/>
      <sheetName val="DCF Summary"/>
      <sheetName val="Ownership"/>
      <sheetName val="Projections"/>
      <sheetName val="PPR Summary New"/>
      <sheetName val="Structure Summary"/>
      <sheetName val="Ownership Summary"/>
      <sheetName val="Capital Structure"/>
      <sheetName val="Premium"/>
      <sheetName val="Synergy Case"/>
      <sheetName val="Lines"/>
      <sheetName val="PPR Premium"/>
      <sheetName val="Premium to Bk Value"/>
      <sheetName val="Value Compare 1999"/>
      <sheetName val="Value Compare 1998"/>
      <sheetName val="COMPS"/>
      <sheetName val="Assoc P&amp;OPEB"/>
      <sheetName val="BS"/>
      <sheetName val="License"/>
      <sheetName val="Inc Stmt Sum"/>
      <sheetName val="CUBEWKSH"/>
      <sheetName val="profit"/>
      <sheetName val="merger"/>
      <sheetName val="Prices"/>
      <sheetName val="drivers"/>
      <sheetName val="Sheet1"/>
      <sheetName val="Input"/>
      <sheetName val="Stock &amp; FX"/>
      <sheetName val="Timetable"/>
      <sheetName val="Furniture Mfgs."/>
      <sheetName val="Amortization Schedul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Sheet3"/>
      <sheetName val="Sheet2"/>
      <sheetName val="Sheet1"/>
      <sheetName val="return"/>
      <sheetName val="pricing"/>
      <sheetName val="closepr1"/>
      <sheetName val="indices"/>
      <sheetName val="Run CD Access"/>
      <sheetName val="closepr"/>
      <sheetName val="synthgraph"/>
      <sheetName val="Projection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's"/>
      <sheetName val="P&amp;L -Sep25"/>
      <sheetName val="Balance Sheet - Sep25"/>
      <sheetName val="Notes - Sep25"/>
      <sheetName val="Debt funding - Sep25"/>
      <sheetName val="Advance Analysis - Sep25"/>
      <sheetName val="Exposure Analysis - Sep25"/>
      <sheetName val="Liquidity Gap Analysis - Sep25"/>
      <sheetName val="Covenants - Sep25"/>
      <sheetName val="Covenant Matrix"/>
      <sheetName val="PB_CACHE_J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Writeup"/>
      <sheetName val="Instructions"/>
      <sheetName val="1 pager"/>
      <sheetName val="Mgmt Case"/>
      <sheetName val="PGII Case"/>
      <sheetName val="Data"/>
      <sheetName val="Debt Funding"/>
      <sheetName val="Equity"/>
      <sheetName val="Off-Balance Sheet"/>
      <sheetName val="Loans to Employee &amp; Board"/>
      <sheetName val="Product Classification"/>
      <sheetName val="Suppliers"/>
      <sheetName val="Intermediate Customers"/>
      <sheetName val="Inventory"/>
      <sheetName val="Fixed Assets"/>
      <sheetName val="Sheet1"/>
    </sheetNames>
    <sheetDataSet>
      <sheetData sheetId="0">
        <row r="15">
          <cell r="D15" t="str">
            <v>Q414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F5" t="str">
            <v>Q104</v>
          </cell>
          <cell r="G5" t="str">
            <v>Q204</v>
          </cell>
          <cell r="H5" t="str">
            <v>Q304</v>
          </cell>
          <cell r="I5" t="str">
            <v>Q404</v>
          </cell>
          <cell r="J5" t="str">
            <v>Q105</v>
          </cell>
          <cell r="K5" t="str">
            <v>Q205</v>
          </cell>
          <cell r="L5" t="str">
            <v>Q305</v>
          </cell>
          <cell r="M5" t="str">
            <v>Q405</v>
          </cell>
          <cell r="N5" t="str">
            <v>Q106</v>
          </cell>
          <cell r="O5" t="str">
            <v>Q206</v>
          </cell>
          <cell r="P5" t="str">
            <v>Q306</v>
          </cell>
          <cell r="Q5" t="str">
            <v>Q406</v>
          </cell>
          <cell r="R5" t="str">
            <v>Q107</v>
          </cell>
          <cell r="S5" t="str">
            <v>Q207</v>
          </cell>
          <cell r="T5" t="str">
            <v>Q307</v>
          </cell>
          <cell r="U5" t="str">
            <v>Q407</v>
          </cell>
          <cell r="V5" t="str">
            <v>Q108</v>
          </cell>
          <cell r="W5" t="str">
            <v>Q208</v>
          </cell>
          <cell r="X5" t="str">
            <v>Q308</v>
          </cell>
          <cell r="Y5" t="str">
            <v>Q408</v>
          </cell>
          <cell r="Z5" t="str">
            <v>Q109</v>
          </cell>
          <cell r="AA5" t="str">
            <v>Q209</v>
          </cell>
          <cell r="AB5" t="str">
            <v>Q309</v>
          </cell>
          <cell r="AC5" t="str">
            <v>Q409</v>
          </cell>
          <cell r="AD5" t="str">
            <v>Q110</v>
          </cell>
          <cell r="AE5" t="str">
            <v>Q210</v>
          </cell>
          <cell r="AF5" t="str">
            <v>Q310</v>
          </cell>
          <cell r="AG5" t="str">
            <v>Q410</v>
          </cell>
          <cell r="AH5" t="str">
            <v>Q111</v>
          </cell>
          <cell r="AI5" t="str">
            <v>Q211</v>
          </cell>
          <cell r="AJ5" t="str">
            <v>Q311</v>
          </cell>
          <cell r="AK5" t="str">
            <v>Q411</v>
          </cell>
          <cell r="AL5" t="str">
            <v>Q112</v>
          </cell>
          <cell r="AM5" t="str">
            <v>Q212</v>
          </cell>
          <cell r="AN5" t="str">
            <v>Q312</v>
          </cell>
          <cell r="AO5" t="str">
            <v>Q412</v>
          </cell>
          <cell r="AP5" t="str">
            <v>Q113</v>
          </cell>
          <cell r="AQ5" t="str">
            <v>Q213</v>
          </cell>
          <cell r="AR5" t="str">
            <v>Q313</v>
          </cell>
          <cell r="AS5" t="str">
            <v>Q413</v>
          </cell>
          <cell r="AT5" t="str">
            <v>Q114</v>
          </cell>
          <cell r="AU5" t="str">
            <v>Q214</v>
          </cell>
          <cell r="AV5" t="str">
            <v>Q314</v>
          </cell>
          <cell r="AW5" t="str">
            <v>Q414</v>
          </cell>
          <cell r="AX5" t="str">
            <v>Q115</v>
          </cell>
          <cell r="AY5" t="str">
            <v>Q215</v>
          </cell>
          <cell r="AZ5" t="str">
            <v>Q315</v>
          </cell>
          <cell r="BA5" t="str">
            <v>Q415</v>
          </cell>
          <cell r="BB5" t="str">
            <v>Q116</v>
          </cell>
          <cell r="BC5" t="str">
            <v>Q216</v>
          </cell>
          <cell r="BD5" t="str">
            <v>Q316</v>
          </cell>
          <cell r="BE5" t="str">
            <v>Q416</v>
          </cell>
          <cell r="BF5" t="str">
            <v>Q117</v>
          </cell>
          <cell r="BG5" t="str">
            <v>Q217</v>
          </cell>
          <cell r="BH5" t="str">
            <v>Q317</v>
          </cell>
          <cell r="BI5" t="str">
            <v>Q417</v>
          </cell>
          <cell r="BJ5" t="str">
            <v>Q118</v>
          </cell>
          <cell r="BK5" t="str">
            <v>Q218</v>
          </cell>
          <cell r="BL5" t="str">
            <v>Q318</v>
          </cell>
          <cell r="BM5" t="str">
            <v>Q418</v>
          </cell>
          <cell r="BN5" t="str">
            <v>Q119</v>
          </cell>
          <cell r="BO5" t="str">
            <v>Q219</v>
          </cell>
          <cell r="BP5" t="str">
            <v>Q319</v>
          </cell>
          <cell r="BQ5" t="str">
            <v>Q419</v>
          </cell>
          <cell r="BR5" t="str">
            <v>Q120</v>
          </cell>
          <cell r="BS5" t="str">
            <v>Q220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</row>
        <row r="79"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</row>
        <row r="117"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</row>
        <row r="119"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</row>
        <row r="121"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</row>
        <row r="122"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</row>
        <row r="123"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</row>
        <row r="124"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</row>
        <row r="125"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</row>
        <row r="127"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</row>
        <row r="128"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</row>
        <row r="130"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</row>
        <row r="132"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</row>
        <row r="133"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</row>
        <row r="136"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</row>
        <row r="138"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</row>
        <row r="140"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</row>
        <row r="142"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</row>
        <row r="143"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</row>
      </sheetData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Overview_SC"/>
      <sheetName val="Notes_SSC"/>
      <sheetName val="Notes_BO"/>
      <sheetName val="Keys_SSC"/>
      <sheetName val="Keys_BO"/>
      <sheetName val="Assumptions_SC"/>
      <sheetName val="TS_Ass_SSC"/>
      <sheetName val="TS_BA"/>
      <sheetName val="Hist_Ass_SSC"/>
      <sheetName val="IS_Hist_TA"/>
      <sheetName val="BS_Hist_TA"/>
      <sheetName val="CFS_Hist_TA"/>
      <sheetName val="Fcast_Ass_SSC"/>
      <sheetName val="Fcast_TA"/>
      <sheetName val="Outputs_SC"/>
      <sheetName val="Hist_OP_SSC"/>
      <sheetName val="IS_Hist_TO"/>
      <sheetName val="BS_Hist_TO"/>
      <sheetName val="CFS_Hist_TO"/>
      <sheetName val="Fcast_OP_SSC"/>
      <sheetName val="Fcast_OP_TO"/>
      <sheetName val="IS_Fcast_TO"/>
      <sheetName val="BS_Fcast_TO"/>
      <sheetName val="CFS_Fcast_TO"/>
      <sheetName val="All_Pers_OP_SSC"/>
      <sheetName val="IS_All_TO"/>
      <sheetName val="BS_All_TO"/>
      <sheetName val="CFS_All_TO"/>
      <sheetName val="Dashboards_SSC"/>
      <sheetName val="BS_Sum_P_MS"/>
      <sheetName val="Appendices_SC"/>
      <sheetName val="Checks_SSC"/>
      <sheetName val="Checks_BO"/>
      <sheetName val="LU_SSC"/>
      <sheetName val="TS_LU"/>
      <sheetName val="Capital_LU"/>
      <sheetName val="Dashboards_LU"/>
      <sheetName val="Sheet1"/>
    </sheetNames>
    <sheetDataSet>
      <sheetData sheetId="0">
        <row r="10">
          <cell r="C10" t="str">
            <v>Historical &amp; Forecast Business Planning Model 6.0 (Basic)</v>
          </cell>
        </row>
      </sheetData>
      <sheetData sheetId="1"/>
      <sheetData sheetId="2"/>
      <sheetData sheetId="3"/>
      <sheetData sheetId="4"/>
      <sheetData sheetId="5"/>
      <sheetData sheetId="6">
        <row r="7">
          <cell r="B7" t="str">
            <v>Formats &amp; Styles Key</v>
          </cell>
        </row>
        <row r="54">
          <cell r="B54" t="str">
            <v>Sheet Naming Key</v>
          </cell>
        </row>
        <row r="102">
          <cell r="B102" t="str">
            <v>Range Naming Key</v>
          </cell>
        </row>
      </sheetData>
      <sheetData sheetId="7"/>
      <sheetData sheetId="8"/>
      <sheetData sheetId="9">
        <row r="12">
          <cell r="J12" t="str">
            <v>Annual</v>
          </cell>
        </row>
      </sheetData>
      <sheetData sheetId="10"/>
      <sheetData sheetId="11"/>
      <sheetData sheetId="12">
        <row r="1">
          <cell r="B1" t="str">
            <v>Balance Sheet - Historical Assumptions</v>
          </cell>
        </row>
        <row r="73">
          <cell r="H73">
            <v>0</v>
          </cell>
        </row>
      </sheetData>
      <sheetData sheetId="13"/>
      <sheetData sheetId="14"/>
      <sheetData sheetId="15">
        <row r="16">
          <cell r="B16" t="str">
            <v>Operational - Assumptions</v>
          </cell>
        </row>
        <row r="29">
          <cell r="B29" t="str">
            <v>Working Capital - Assumptions</v>
          </cell>
        </row>
        <row r="45">
          <cell r="B45" t="str">
            <v>Assets - Assumptions</v>
          </cell>
        </row>
        <row r="58">
          <cell r="B58" t="str">
            <v>Capital - Assumptions</v>
          </cell>
        </row>
        <row r="106">
          <cell r="B106" t="str">
            <v>Taxation - Assumptions</v>
          </cell>
        </row>
        <row r="123">
          <cell r="B123" t="str">
            <v>Other Balance Sheet Items - Assumptions</v>
          </cell>
        </row>
      </sheetData>
      <sheetData sheetId="16"/>
      <sheetData sheetId="17"/>
      <sheetData sheetId="18"/>
      <sheetData sheetId="19">
        <row r="1">
          <cell r="B1" t="str">
            <v>Balance Sheet - Historical Outputs</v>
          </cell>
        </row>
        <row r="74">
          <cell r="H74">
            <v>0</v>
          </cell>
        </row>
      </sheetData>
      <sheetData sheetId="20"/>
      <sheetData sheetId="21"/>
      <sheetData sheetId="22">
        <row r="16">
          <cell r="B16" t="str">
            <v>Operational - Outputs</v>
          </cell>
        </row>
        <row r="25">
          <cell r="B25" t="str">
            <v>Working Capital - Outputs</v>
          </cell>
        </row>
        <row r="27">
          <cell r="C27" t="str">
            <v>Accounts Receivable Balances ($Millions)</v>
          </cell>
        </row>
        <row r="42">
          <cell r="I42">
            <v>0</v>
          </cell>
        </row>
        <row r="44">
          <cell r="C44" t="str">
            <v>Accounts Payable Balances ($Millions)</v>
          </cell>
        </row>
        <row r="59">
          <cell r="I59">
            <v>0</v>
          </cell>
        </row>
        <row r="62">
          <cell r="B62" t="str">
            <v>Assets - Outputs</v>
          </cell>
        </row>
        <row r="64">
          <cell r="C64" t="str">
            <v>Assets Balances ($Millions)</v>
          </cell>
        </row>
        <row r="74">
          <cell r="I74">
            <v>0</v>
          </cell>
        </row>
        <row r="76">
          <cell r="C76" t="str">
            <v>Intangibles Balances ($Millions)</v>
          </cell>
        </row>
        <row r="86">
          <cell r="I86">
            <v>0</v>
          </cell>
        </row>
        <row r="89">
          <cell r="B89" t="str">
            <v>Capital - Outputs</v>
          </cell>
        </row>
        <row r="117">
          <cell r="C117" t="str">
            <v>Ordinary Equity - Outputs</v>
          </cell>
        </row>
        <row r="136">
          <cell r="I136">
            <v>0</v>
          </cell>
        </row>
        <row r="138">
          <cell r="I138">
            <v>0</v>
          </cell>
        </row>
        <row r="158">
          <cell r="B158" t="str">
            <v>Taxation - Output Summary</v>
          </cell>
        </row>
        <row r="184">
          <cell r="B184" t="str">
            <v>Other Balance Sheet Items - Outputs</v>
          </cell>
        </row>
      </sheetData>
      <sheetData sheetId="23">
        <row r="1">
          <cell r="B1" t="str">
            <v>Income Statement - Forecast Outputs</v>
          </cell>
        </row>
        <row r="41">
          <cell r="I41">
            <v>0</v>
          </cell>
        </row>
      </sheetData>
      <sheetData sheetId="24">
        <row r="1">
          <cell r="B1" t="str">
            <v>Balance Sheet - Forecast Outputs</v>
          </cell>
        </row>
        <row r="70">
          <cell r="I70">
            <v>0</v>
          </cell>
        </row>
        <row r="72">
          <cell r="I72">
            <v>0</v>
          </cell>
        </row>
      </sheetData>
      <sheetData sheetId="25">
        <row r="1">
          <cell r="B1" t="str">
            <v>Cash Flow Statement - Forecast Outputs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">
          <cell r="B7" t="str">
            <v>Error Checks</v>
          </cell>
        </row>
        <row r="32">
          <cell r="B32" t="str">
            <v>Sensitivity Checks</v>
          </cell>
        </row>
        <row r="48">
          <cell r="B48" t="str">
            <v>Alert Checks</v>
          </cell>
        </row>
      </sheetData>
      <sheetData sheetId="35"/>
      <sheetData sheetId="36">
        <row r="12">
          <cell r="D12">
            <v>1</v>
          </cell>
        </row>
      </sheetData>
      <sheetData sheetId="37">
        <row r="12">
          <cell r="D12" t="str">
            <v>% of NPAT</v>
          </cell>
        </row>
      </sheetData>
      <sheetData sheetId="38">
        <row r="12">
          <cell r="D12" t="str">
            <v xml:space="preserve">2010 (A) </v>
          </cell>
        </row>
      </sheetData>
      <sheetData sheetId="3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Credit Dashboard"/>
      <sheetName val="2 Pager"/>
      <sheetName val="Summary Financials"/>
      <sheetName val="Cash Flow Statement"/>
      <sheetName val="Income Statement"/>
      <sheetName val="Balance Sheet"/>
      <sheetName val="Debt Schedule"/>
      <sheetName val="Sensitivities-Scenarios"/>
      <sheetName val="Profitability Analysis"/>
      <sheetName val="Total P&amp;L"/>
      <sheetName val="DTV P&amp;L"/>
      <sheetName val="DTV Sales"/>
      <sheetName val="P&amp;L - GP"/>
      <sheetName val="GP - Pipeline"/>
      <sheetName val="Cash Flow Timing"/>
      <sheetName val="Pricing"/>
      <sheetName val="Indirect Expenses"/>
      <sheetName val="Capex Depreciation"/>
    </sheetNames>
    <sheetDataSet>
      <sheetData sheetId="0"/>
      <sheetData sheetId="1"/>
      <sheetData sheetId="2"/>
      <sheetData sheetId="3">
        <row r="52">
          <cell r="F52">
            <v>35039.578331690274</v>
          </cell>
        </row>
      </sheetData>
      <sheetData sheetId="4">
        <row r="1">
          <cell r="E1">
            <v>2013</v>
          </cell>
        </row>
      </sheetData>
      <sheetData sheetId="5">
        <row r="1">
          <cell r="D1">
            <v>2012</v>
          </cell>
        </row>
      </sheetData>
      <sheetData sheetId="6">
        <row r="7">
          <cell r="D7">
            <v>1084</v>
          </cell>
        </row>
      </sheetData>
      <sheetData sheetId="7">
        <row r="13">
          <cell r="C13" t="str">
            <v>OPIC</v>
          </cell>
        </row>
      </sheetData>
      <sheetData sheetId="8">
        <row r="18">
          <cell r="O18">
            <v>0.96239867611464069</v>
          </cell>
        </row>
      </sheetData>
      <sheetData sheetId="9"/>
      <sheetData sheetId="10">
        <row r="20">
          <cell r="F20">
            <v>1546821.0865123491</v>
          </cell>
        </row>
      </sheetData>
      <sheetData sheetId="11"/>
      <sheetData sheetId="12"/>
      <sheetData sheetId="13"/>
      <sheetData sheetId="14">
        <row r="8">
          <cell r="E8">
            <v>180</v>
          </cell>
          <cell r="F8">
            <v>0</v>
          </cell>
          <cell r="G8">
            <v>0</v>
          </cell>
          <cell r="H8">
            <v>597</v>
          </cell>
          <cell r="I8">
            <v>597</v>
          </cell>
          <cell r="J8">
            <v>0</v>
          </cell>
          <cell r="K8">
            <v>0</v>
          </cell>
          <cell r="L8">
            <v>0</v>
          </cell>
          <cell r="O8" t="str">
            <v>1Q14</v>
          </cell>
        </row>
        <row r="9">
          <cell r="E9">
            <v>45</v>
          </cell>
          <cell r="F9">
            <v>0</v>
          </cell>
          <cell r="G9">
            <v>0</v>
          </cell>
          <cell r="H9">
            <v>149.25</v>
          </cell>
          <cell r="I9">
            <v>149.25</v>
          </cell>
          <cell r="J9">
            <v>0</v>
          </cell>
          <cell r="K9">
            <v>0</v>
          </cell>
          <cell r="L9">
            <v>0</v>
          </cell>
          <cell r="O9" t="str">
            <v>1Q14</v>
          </cell>
        </row>
        <row r="10">
          <cell r="E10">
            <v>300</v>
          </cell>
          <cell r="F10">
            <v>0</v>
          </cell>
          <cell r="G10">
            <v>0</v>
          </cell>
          <cell r="H10">
            <v>749.25</v>
          </cell>
          <cell r="I10">
            <v>749.25</v>
          </cell>
          <cell r="J10">
            <v>0</v>
          </cell>
          <cell r="K10">
            <v>0</v>
          </cell>
          <cell r="L10">
            <v>0</v>
          </cell>
          <cell r="O10" t="str">
            <v>2Q14</v>
          </cell>
        </row>
        <row r="11">
          <cell r="E11">
            <v>75</v>
          </cell>
          <cell r="F11">
            <v>0</v>
          </cell>
          <cell r="G11">
            <v>0</v>
          </cell>
          <cell r="H11">
            <v>187.5</v>
          </cell>
          <cell r="I11">
            <v>187.5</v>
          </cell>
          <cell r="J11">
            <v>0</v>
          </cell>
          <cell r="K11">
            <v>0</v>
          </cell>
          <cell r="L11">
            <v>0</v>
          </cell>
          <cell r="O11" t="str">
            <v>2Q14</v>
          </cell>
        </row>
        <row r="12">
          <cell r="E12">
            <v>420</v>
          </cell>
          <cell r="F12">
            <v>0</v>
          </cell>
          <cell r="G12">
            <v>0</v>
          </cell>
          <cell r="H12">
            <v>786.75</v>
          </cell>
          <cell r="I12">
            <v>786.75</v>
          </cell>
          <cell r="J12">
            <v>0</v>
          </cell>
          <cell r="K12">
            <v>0</v>
          </cell>
          <cell r="L12">
            <v>0</v>
          </cell>
          <cell r="O12" t="str">
            <v>3Q14</v>
          </cell>
        </row>
        <row r="13">
          <cell r="E13">
            <v>105</v>
          </cell>
          <cell r="F13">
            <v>0</v>
          </cell>
          <cell r="G13">
            <v>0</v>
          </cell>
          <cell r="H13">
            <v>196.5</v>
          </cell>
          <cell r="I13">
            <v>196.5</v>
          </cell>
          <cell r="J13">
            <v>0</v>
          </cell>
          <cell r="K13">
            <v>0</v>
          </cell>
          <cell r="L13">
            <v>0</v>
          </cell>
          <cell r="O13" t="str">
            <v>3Q14</v>
          </cell>
        </row>
        <row r="14">
          <cell r="E14">
            <v>600</v>
          </cell>
          <cell r="F14">
            <v>0</v>
          </cell>
          <cell r="G14">
            <v>0</v>
          </cell>
          <cell r="H14">
            <v>866.25</v>
          </cell>
          <cell r="I14">
            <v>866.25</v>
          </cell>
          <cell r="J14">
            <v>0</v>
          </cell>
          <cell r="K14">
            <v>0</v>
          </cell>
          <cell r="L14">
            <v>0</v>
          </cell>
          <cell r="O14" t="str">
            <v>4Q14</v>
          </cell>
        </row>
        <row r="15">
          <cell r="E15">
            <v>150</v>
          </cell>
          <cell r="F15">
            <v>0</v>
          </cell>
          <cell r="G15">
            <v>0</v>
          </cell>
          <cell r="H15">
            <v>216.75</v>
          </cell>
          <cell r="I15">
            <v>216.75</v>
          </cell>
          <cell r="J15">
            <v>0</v>
          </cell>
          <cell r="K15">
            <v>0</v>
          </cell>
          <cell r="L15">
            <v>0</v>
          </cell>
          <cell r="O15" t="str">
            <v>4Q14</v>
          </cell>
        </row>
        <row r="16">
          <cell r="E16">
            <v>480</v>
          </cell>
          <cell r="F16">
            <v>0</v>
          </cell>
          <cell r="G16">
            <v>0</v>
          </cell>
          <cell r="H16">
            <v>600</v>
          </cell>
          <cell r="I16">
            <v>600</v>
          </cell>
          <cell r="J16">
            <v>0</v>
          </cell>
          <cell r="K16">
            <v>320</v>
          </cell>
          <cell r="L16">
            <v>0</v>
          </cell>
          <cell r="O16" t="str">
            <v>1Q15</v>
          </cell>
        </row>
        <row r="17">
          <cell r="E17">
            <v>120</v>
          </cell>
          <cell r="F17">
            <v>0</v>
          </cell>
          <cell r="G17">
            <v>0</v>
          </cell>
          <cell r="H17">
            <v>150</v>
          </cell>
          <cell r="I17">
            <v>150</v>
          </cell>
          <cell r="J17">
            <v>0</v>
          </cell>
          <cell r="K17">
            <v>80</v>
          </cell>
          <cell r="L17">
            <v>0</v>
          </cell>
          <cell r="O17" t="str">
            <v>1Q15</v>
          </cell>
        </row>
        <row r="18">
          <cell r="E18">
            <v>560</v>
          </cell>
          <cell r="F18">
            <v>0</v>
          </cell>
          <cell r="G18">
            <v>0</v>
          </cell>
          <cell r="H18">
            <v>680</v>
          </cell>
          <cell r="I18">
            <v>680</v>
          </cell>
          <cell r="J18">
            <v>0</v>
          </cell>
          <cell r="K18">
            <v>440</v>
          </cell>
          <cell r="L18">
            <v>0</v>
          </cell>
          <cell r="O18" t="str">
            <v>2Q15</v>
          </cell>
        </row>
        <row r="19">
          <cell r="E19">
            <v>140</v>
          </cell>
          <cell r="F19">
            <v>0</v>
          </cell>
          <cell r="G19">
            <v>0</v>
          </cell>
          <cell r="H19">
            <v>170</v>
          </cell>
          <cell r="I19">
            <v>170</v>
          </cell>
          <cell r="J19">
            <v>0</v>
          </cell>
          <cell r="K19">
            <v>110</v>
          </cell>
          <cell r="L19">
            <v>0</v>
          </cell>
          <cell r="O19" t="str">
            <v>2Q15</v>
          </cell>
        </row>
        <row r="20">
          <cell r="E20">
            <v>700</v>
          </cell>
          <cell r="F20">
            <v>0</v>
          </cell>
          <cell r="G20">
            <v>0</v>
          </cell>
          <cell r="H20">
            <v>760</v>
          </cell>
          <cell r="I20">
            <v>760</v>
          </cell>
          <cell r="J20">
            <v>0</v>
          </cell>
          <cell r="K20">
            <v>600</v>
          </cell>
          <cell r="L20">
            <v>0</v>
          </cell>
          <cell r="O20" t="str">
            <v>3Q15</v>
          </cell>
        </row>
        <row r="21">
          <cell r="E21">
            <v>175</v>
          </cell>
          <cell r="F21">
            <v>0</v>
          </cell>
          <cell r="G21">
            <v>0</v>
          </cell>
          <cell r="H21">
            <v>190</v>
          </cell>
          <cell r="I21">
            <v>190</v>
          </cell>
          <cell r="J21">
            <v>0</v>
          </cell>
          <cell r="K21">
            <v>150</v>
          </cell>
          <cell r="L21">
            <v>0</v>
          </cell>
          <cell r="O21" t="str">
            <v>3Q15</v>
          </cell>
        </row>
        <row r="22">
          <cell r="E22">
            <v>800</v>
          </cell>
          <cell r="F22">
            <v>0</v>
          </cell>
          <cell r="G22">
            <v>0</v>
          </cell>
          <cell r="H22">
            <v>920</v>
          </cell>
          <cell r="I22">
            <v>920</v>
          </cell>
          <cell r="J22">
            <v>0</v>
          </cell>
          <cell r="K22">
            <v>800</v>
          </cell>
          <cell r="L22">
            <v>0</v>
          </cell>
          <cell r="O22" t="str">
            <v>4Q15</v>
          </cell>
        </row>
        <row r="23">
          <cell r="E23">
            <v>200</v>
          </cell>
          <cell r="F23">
            <v>0</v>
          </cell>
          <cell r="G23">
            <v>0</v>
          </cell>
          <cell r="H23">
            <v>230</v>
          </cell>
          <cell r="I23">
            <v>230</v>
          </cell>
          <cell r="J23">
            <v>0</v>
          </cell>
          <cell r="K23">
            <v>200</v>
          </cell>
          <cell r="L23">
            <v>0</v>
          </cell>
          <cell r="O23" t="str">
            <v>4Q15</v>
          </cell>
        </row>
        <row r="24">
          <cell r="E24">
            <v>225</v>
          </cell>
          <cell r="F24">
            <v>0</v>
          </cell>
          <cell r="G24">
            <v>0</v>
          </cell>
          <cell r="H24">
            <v>750</v>
          </cell>
          <cell r="I24">
            <v>750</v>
          </cell>
          <cell r="J24">
            <v>0</v>
          </cell>
          <cell r="K24">
            <v>0</v>
          </cell>
          <cell r="L24">
            <v>0</v>
          </cell>
          <cell r="O24" t="str">
            <v>1Q14</v>
          </cell>
        </row>
        <row r="25">
          <cell r="E25">
            <v>375</v>
          </cell>
          <cell r="F25">
            <v>0</v>
          </cell>
          <cell r="G25">
            <v>0</v>
          </cell>
          <cell r="H25">
            <v>937.5</v>
          </cell>
          <cell r="I25">
            <v>937.5</v>
          </cell>
          <cell r="J25">
            <v>0</v>
          </cell>
          <cell r="K25">
            <v>0</v>
          </cell>
          <cell r="L25">
            <v>0</v>
          </cell>
          <cell r="O25" t="str">
            <v>2Q14</v>
          </cell>
        </row>
        <row r="26">
          <cell r="E26">
            <v>375</v>
          </cell>
          <cell r="F26">
            <v>0</v>
          </cell>
          <cell r="G26">
            <v>0</v>
          </cell>
          <cell r="H26">
            <v>1125</v>
          </cell>
          <cell r="I26">
            <v>1125</v>
          </cell>
          <cell r="J26">
            <v>0</v>
          </cell>
          <cell r="K26">
            <v>0</v>
          </cell>
          <cell r="L26">
            <v>0</v>
          </cell>
          <cell r="O26" t="str">
            <v>3Q14</v>
          </cell>
        </row>
        <row r="27">
          <cell r="E27">
            <v>562.5</v>
          </cell>
          <cell r="F27">
            <v>0</v>
          </cell>
          <cell r="G27">
            <v>0</v>
          </cell>
          <cell r="H27">
            <v>1312.5</v>
          </cell>
          <cell r="I27">
            <v>1312.5</v>
          </cell>
          <cell r="J27">
            <v>0</v>
          </cell>
          <cell r="K27">
            <v>0</v>
          </cell>
          <cell r="L27">
            <v>0</v>
          </cell>
          <cell r="O27" t="str">
            <v>4Q14</v>
          </cell>
        </row>
        <row r="28">
          <cell r="E28">
            <v>500</v>
          </cell>
          <cell r="F28">
            <v>0</v>
          </cell>
          <cell r="G28">
            <v>0</v>
          </cell>
          <cell r="H28">
            <v>1000</v>
          </cell>
          <cell r="I28">
            <v>1000</v>
          </cell>
          <cell r="J28">
            <v>0</v>
          </cell>
          <cell r="K28">
            <v>400</v>
          </cell>
          <cell r="L28">
            <v>0</v>
          </cell>
          <cell r="O28" t="str">
            <v>1Q15</v>
          </cell>
        </row>
        <row r="29">
          <cell r="E29">
            <v>600</v>
          </cell>
          <cell r="F29">
            <v>0</v>
          </cell>
          <cell r="G29">
            <v>0</v>
          </cell>
          <cell r="H29">
            <v>1100</v>
          </cell>
          <cell r="I29">
            <v>1100</v>
          </cell>
          <cell r="J29">
            <v>0</v>
          </cell>
          <cell r="K29">
            <v>550</v>
          </cell>
          <cell r="L29">
            <v>0</v>
          </cell>
          <cell r="O29" t="str">
            <v>2Q15</v>
          </cell>
        </row>
        <row r="30">
          <cell r="E30">
            <v>750</v>
          </cell>
          <cell r="F30">
            <v>0</v>
          </cell>
          <cell r="G30">
            <v>0</v>
          </cell>
          <cell r="H30">
            <v>1200</v>
          </cell>
          <cell r="I30">
            <v>1200</v>
          </cell>
          <cell r="J30">
            <v>0</v>
          </cell>
          <cell r="K30">
            <v>750</v>
          </cell>
          <cell r="L30">
            <v>0</v>
          </cell>
          <cell r="O30" t="str">
            <v>3Q15</v>
          </cell>
        </row>
        <row r="31">
          <cell r="E31">
            <v>900</v>
          </cell>
          <cell r="F31">
            <v>0</v>
          </cell>
          <cell r="G31">
            <v>0</v>
          </cell>
          <cell r="H31">
            <v>1300</v>
          </cell>
          <cell r="I31">
            <v>1300</v>
          </cell>
          <cell r="J31">
            <v>0</v>
          </cell>
          <cell r="K31">
            <v>1000</v>
          </cell>
          <cell r="L31">
            <v>0</v>
          </cell>
          <cell r="O31" t="str">
            <v>4Q15</v>
          </cell>
        </row>
        <row r="32">
          <cell r="E32">
            <v>1200</v>
          </cell>
          <cell r="F32">
            <v>600</v>
          </cell>
          <cell r="G32">
            <v>0</v>
          </cell>
          <cell r="H32">
            <v>1500</v>
          </cell>
          <cell r="I32">
            <v>1500</v>
          </cell>
          <cell r="J32">
            <v>0</v>
          </cell>
          <cell r="K32">
            <v>0</v>
          </cell>
          <cell r="L32">
            <v>0</v>
          </cell>
          <cell r="O32" t="str">
            <v>1Q14</v>
          </cell>
        </row>
        <row r="33">
          <cell r="E33">
            <v>300</v>
          </cell>
          <cell r="F33">
            <v>150</v>
          </cell>
          <cell r="G33">
            <v>0</v>
          </cell>
          <cell r="H33">
            <v>375</v>
          </cell>
          <cell r="I33">
            <v>375</v>
          </cell>
          <cell r="J33">
            <v>0</v>
          </cell>
          <cell r="K33">
            <v>0</v>
          </cell>
          <cell r="L33">
            <v>0</v>
          </cell>
          <cell r="O33" t="str">
            <v>1Q14</v>
          </cell>
        </row>
        <row r="34">
          <cell r="E34">
            <v>1320</v>
          </cell>
          <cell r="F34">
            <v>720</v>
          </cell>
          <cell r="G34">
            <v>0</v>
          </cell>
          <cell r="H34">
            <v>1680</v>
          </cell>
          <cell r="I34">
            <v>1680</v>
          </cell>
          <cell r="J34">
            <v>0</v>
          </cell>
          <cell r="K34">
            <v>0</v>
          </cell>
          <cell r="L34">
            <v>0</v>
          </cell>
          <cell r="O34" t="str">
            <v>2Q14</v>
          </cell>
        </row>
        <row r="35">
          <cell r="E35">
            <v>330</v>
          </cell>
          <cell r="F35">
            <v>180</v>
          </cell>
          <cell r="G35">
            <v>0</v>
          </cell>
          <cell r="H35">
            <v>420</v>
          </cell>
          <cell r="I35">
            <v>420</v>
          </cell>
          <cell r="J35">
            <v>0</v>
          </cell>
          <cell r="K35">
            <v>0</v>
          </cell>
          <cell r="L35">
            <v>0</v>
          </cell>
          <cell r="O35" t="str">
            <v>2Q14</v>
          </cell>
        </row>
        <row r="36">
          <cell r="E36">
            <v>1440</v>
          </cell>
          <cell r="F36">
            <v>840</v>
          </cell>
          <cell r="G36">
            <v>0</v>
          </cell>
          <cell r="H36">
            <v>2100</v>
          </cell>
          <cell r="I36">
            <v>2100</v>
          </cell>
          <cell r="J36">
            <v>0</v>
          </cell>
          <cell r="K36">
            <v>0</v>
          </cell>
          <cell r="L36">
            <v>0</v>
          </cell>
          <cell r="O36" t="str">
            <v>3Q14</v>
          </cell>
        </row>
        <row r="37">
          <cell r="E37">
            <v>360</v>
          </cell>
          <cell r="F37">
            <v>210</v>
          </cell>
          <cell r="G37">
            <v>0</v>
          </cell>
          <cell r="H37">
            <v>525</v>
          </cell>
          <cell r="I37">
            <v>525</v>
          </cell>
          <cell r="J37">
            <v>0</v>
          </cell>
          <cell r="K37">
            <v>0</v>
          </cell>
          <cell r="L37">
            <v>0</v>
          </cell>
          <cell r="O37" t="str">
            <v>3Q14</v>
          </cell>
        </row>
        <row r="38">
          <cell r="E38">
            <v>1440</v>
          </cell>
          <cell r="F38">
            <v>840</v>
          </cell>
          <cell r="G38">
            <v>0</v>
          </cell>
          <cell r="H38">
            <v>2700</v>
          </cell>
          <cell r="I38">
            <v>2700</v>
          </cell>
          <cell r="J38">
            <v>0</v>
          </cell>
          <cell r="K38">
            <v>0</v>
          </cell>
          <cell r="L38">
            <v>0</v>
          </cell>
          <cell r="O38" t="str">
            <v>4Q14</v>
          </cell>
        </row>
        <row r="39">
          <cell r="E39">
            <v>360</v>
          </cell>
          <cell r="F39">
            <v>210</v>
          </cell>
          <cell r="G39">
            <v>0</v>
          </cell>
          <cell r="H39">
            <v>675</v>
          </cell>
          <cell r="I39">
            <v>675</v>
          </cell>
          <cell r="J39">
            <v>0</v>
          </cell>
          <cell r="K39">
            <v>0</v>
          </cell>
          <cell r="L39">
            <v>0</v>
          </cell>
          <cell r="O39" t="str">
            <v>4Q14</v>
          </cell>
        </row>
        <row r="40">
          <cell r="E40">
            <v>1080</v>
          </cell>
          <cell r="F40">
            <v>600</v>
          </cell>
          <cell r="G40">
            <v>0</v>
          </cell>
          <cell r="H40">
            <v>2000</v>
          </cell>
          <cell r="I40">
            <v>2000</v>
          </cell>
          <cell r="J40">
            <v>0</v>
          </cell>
          <cell r="K40">
            <v>800</v>
          </cell>
          <cell r="L40">
            <v>0</v>
          </cell>
          <cell r="O40" t="str">
            <v>1Q15</v>
          </cell>
        </row>
        <row r="41">
          <cell r="E41">
            <v>270</v>
          </cell>
          <cell r="F41">
            <v>150</v>
          </cell>
          <cell r="G41">
            <v>0</v>
          </cell>
          <cell r="H41">
            <v>500</v>
          </cell>
          <cell r="I41">
            <v>500</v>
          </cell>
          <cell r="J41">
            <v>0</v>
          </cell>
          <cell r="K41">
            <v>200</v>
          </cell>
          <cell r="L41">
            <v>0</v>
          </cell>
          <cell r="O41" t="str">
            <v>1Q15</v>
          </cell>
        </row>
        <row r="42">
          <cell r="E42">
            <v>1200</v>
          </cell>
          <cell r="F42">
            <v>600</v>
          </cell>
          <cell r="G42">
            <v>0</v>
          </cell>
          <cell r="H42">
            <v>2200</v>
          </cell>
          <cell r="I42">
            <v>2200</v>
          </cell>
          <cell r="J42">
            <v>0</v>
          </cell>
          <cell r="K42">
            <v>1000</v>
          </cell>
          <cell r="L42">
            <v>0</v>
          </cell>
          <cell r="O42" t="str">
            <v>2Q15</v>
          </cell>
        </row>
        <row r="43">
          <cell r="E43">
            <v>300</v>
          </cell>
          <cell r="F43">
            <v>150</v>
          </cell>
          <cell r="G43">
            <v>0</v>
          </cell>
          <cell r="H43">
            <v>550</v>
          </cell>
          <cell r="I43">
            <v>550</v>
          </cell>
          <cell r="J43">
            <v>0</v>
          </cell>
          <cell r="K43">
            <v>250</v>
          </cell>
          <cell r="L43">
            <v>0</v>
          </cell>
          <cell r="O43" t="str">
            <v>2Q15</v>
          </cell>
        </row>
        <row r="44">
          <cell r="E44">
            <v>1400</v>
          </cell>
          <cell r="F44">
            <v>600</v>
          </cell>
          <cell r="G44">
            <v>0</v>
          </cell>
          <cell r="H44">
            <v>2400</v>
          </cell>
          <cell r="I44">
            <v>2400</v>
          </cell>
          <cell r="J44">
            <v>0</v>
          </cell>
          <cell r="K44">
            <v>1400</v>
          </cell>
          <cell r="L44">
            <v>0</v>
          </cell>
          <cell r="O44" t="str">
            <v>3Q15</v>
          </cell>
        </row>
        <row r="45">
          <cell r="E45">
            <v>350</v>
          </cell>
          <cell r="F45">
            <v>150</v>
          </cell>
          <cell r="G45">
            <v>0</v>
          </cell>
          <cell r="H45">
            <v>600</v>
          </cell>
          <cell r="I45">
            <v>600</v>
          </cell>
          <cell r="J45">
            <v>0</v>
          </cell>
          <cell r="K45">
            <v>350</v>
          </cell>
          <cell r="L45">
            <v>0</v>
          </cell>
          <cell r="O45" t="str">
            <v>3Q15</v>
          </cell>
        </row>
        <row r="46">
          <cell r="E46">
            <v>1600</v>
          </cell>
          <cell r="F46">
            <v>600</v>
          </cell>
          <cell r="G46">
            <v>0</v>
          </cell>
          <cell r="H46">
            <v>2600</v>
          </cell>
          <cell r="I46">
            <v>2600</v>
          </cell>
          <cell r="J46">
            <v>0</v>
          </cell>
          <cell r="K46">
            <v>2000</v>
          </cell>
          <cell r="L46">
            <v>0</v>
          </cell>
          <cell r="O46" t="str">
            <v>4Q15</v>
          </cell>
        </row>
        <row r="47">
          <cell r="E47">
            <v>400</v>
          </cell>
          <cell r="F47">
            <v>150</v>
          </cell>
          <cell r="G47">
            <v>0</v>
          </cell>
          <cell r="H47">
            <v>650</v>
          </cell>
          <cell r="I47">
            <v>650</v>
          </cell>
          <cell r="J47">
            <v>0</v>
          </cell>
          <cell r="K47">
            <v>500</v>
          </cell>
          <cell r="L47">
            <v>0</v>
          </cell>
          <cell r="O47" t="str">
            <v>4Q15</v>
          </cell>
        </row>
        <row r="48">
          <cell r="E48">
            <v>225</v>
          </cell>
          <cell r="F48">
            <v>0</v>
          </cell>
          <cell r="G48">
            <v>0</v>
          </cell>
          <cell r="H48">
            <v>5400</v>
          </cell>
          <cell r="I48">
            <v>5400</v>
          </cell>
          <cell r="J48">
            <v>0</v>
          </cell>
          <cell r="K48">
            <v>0</v>
          </cell>
          <cell r="L48">
            <v>0</v>
          </cell>
          <cell r="O48" t="str">
            <v>1Q14</v>
          </cell>
        </row>
        <row r="49">
          <cell r="E49">
            <v>150</v>
          </cell>
          <cell r="F49">
            <v>0</v>
          </cell>
          <cell r="G49">
            <v>0</v>
          </cell>
          <cell r="H49">
            <v>3600</v>
          </cell>
          <cell r="I49">
            <v>3600</v>
          </cell>
          <cell r="J49">
            <v>0</v>
          </cell>
          <cell r="K49">
            <v>0</v>
          </cell>
          <cell r="L49">
            <v>0</v>
          </cell>
          <cell r="O49" t="str">
            <v>1Q14</v>
          </cell>
        </row>
        <row r="50">
          <cell r="E50">
            <v>315</v>
          </cell>
          <cell r="F50">
            <v>0</v>
          </cell>
          <cell r="G50">
            <v>0</v>
          </cell>
          <cell r="H50">
            <v>6750</v>
          </cell>
          <cell r="I50">
            <v>6750</v>
          </cell>
          <cell r="J50">
            <v>0</v>
          </cell>
          <cell r="K50">
            <v>0</v>
          </cell>
          <cell r="L50">
            <v>0</v>
          </cell>
          <cell r="O50" t="str">
            <v>2Q14</v>
          </cell>
        </row>
        <row r="51">
          <cell r="E51">
            <v>210</v>
          </cell>
          <cell r="F51">
            <v>0</v>
          </cell>
          <cell r="G51">
            <v>0</v>
          </cell>
          <cell r="H51">
            <v>4500</v>
          </cell>
          <cell r="I51">
            <v>4500</v>
          </cell>
          <cell r="J51">
            <v>0</v>
          </cell>
          <cell r="K51">
            <v>0</v>
          </cell>
          <cell r="L51">
            <v>0</v>
          </cell>
          <cell r="O51" t="str">
            <v>2Q14</v>
          </cell>
        </row>
        <row r="52">
          <cell r="E52">
            <v>405</v>
          </cell>
          <cell r="F52">
            <v>0</v>
          </cell>
          <cell r="G52">
            <v>0</v>
          </cell>
          <cell r="H52">
            <v>7650</v>
          </cell>
          <cell r="I52">
            <v>7650</v>
          </cell>
          <cell r="J52">
            <v>0</v>
          </cell>
          <cell r="K52">
            <v>0</v>
          </cell>
          <cell r="L52">
            <v>0</v>
          </cell>
          <cell r="O52" t="str">
            <v>3Q14</v>
          </cell>
        </row>
        <row r="53">
          <cell r="E53">
            <v>270</v>
          </cell>
          <cell r="F53">
            <v>0</v>
          </cell>
          <cell r="G53">
            <v>0</v>
          </cell>
          <cell r="H53">
            <v>5100</v>
          </cell>
          <cell r="I53">
            <v>5100</v>
          </cell>
          <cell r="J53">
            <v>0</v>
          </cell>
          <cell r="K53">
            <v>0</v>
          </cell>
          <cell r="L53">
            <v>0</v>
          </cell>
          <cell r="O53" t="str">
            <v>3Q14</v>
          </cell>
        </row>
        <row r="54">
          <cell r="E54">
            <v>495</v>
          </cell>
          <cell r="F54">
            <v>0</v>
          </cell>
          <cell r="G54">
            <v>0</v>
          </cell>
          <cell r="H54">
            <v>8550</v>
          </cell>
          <cell r="I54">
            <v>8550</v>
          </cell>
          <cell r="J54">
            <v>0</v>
          </cell>
          <cell r="K54">
            <v>0</v>
          </cell>
          <cell r="L54">
            <v>0</v>
          </cell>
          <cell r="O54" t="str">
            <v>4Q14</v>
          </cell>
        </row>
        <row r="55">
          <cell r="E55">
            <v>330</v>
          </cell>
          <cell r="F55">
            <v>0</v>
          </cell>
          <cell r="G55">
            <v>0</v>
          </cell>
          <cell r="H55">
            <v>5700</v>
          </cell>
          <cell r="I55">
            <v>5700</v>
          </cell>
          <cell r="J55">
            <v>0</v>
          </cell>
          <cell r="K55">
            <v>0</v>
          </cell>
          <cell r="L55">
            <v>0</v>
          </cell>
          <cell r="O55" t="str">
            <v>4Q14</v>
          </cell>
        </row>
        <row r="56">
          <cell r="E56">
            <v>390</v>
          </cell>
          <cell r="F56">
            <v>0</v>
          </cell>
          <cell r="G56">
            <v>0</v>
          </cell>
          <cell r="H56">
            <v>6900</v>
          </cell>
          <cell r="I56">
            <v>6900</v>
          </cell>
          <cell r="J56">
            <v>0</v>
          </cell>
          <cell r="K56">
            <v>2250</v>
          </cell>
          <cell r="L56">
            <v>0</v>
          </cell>
          <cell r="O56" t="str">
            <v>1Q15</v>
          </cell>
        </row>
        <row r="57">
          <cell r="E57">
            <v>260</v>
          </cell>
          <cell r="F57">
            <v>0</v>
          </cell>
          <cell r="G57">
            <v>0</v>
          </cell>
          <cell r="H57">
            <v>4600</v>
          </cell>
          <cell r="I57">
            <v>4600</v>
          </cell>
          <cell r="J57">
            <v>0</v>
          </cell>
          <cell r="K57">
            <v>1500</v>
          </cell>
          <cell r="L57">
            <v>0</v>
          </cell>
          <cell r="O57" t="str">
            <v>1Q15</v>
          </cell>
        </row>
        <row r="58">
          <cell r="E58">
            <v>450</v>
          </cell>
          <cell r="F58">
            <v>0</v>
          </cell>
          <cell r="G58">
            <v>0</v>
          </cell>
          <cell r="H58">
            <v>7500</v>
          </cell>
          <cell r="I58">
            <v>7500</v>
          </cell>
          <cell r="J58">
            <v>0</v>
          </cell>
          <cell r="K58">
            <v>300</v>
          </cell>
          <cell r="L58">
            <v>0</v>
          </cell>
          <cell r="O58" t="str">
            <v>2Q15</v>
          </cell>
        </row>
        <row r="59">
          <cell r="E59">
            <v>300</v>
          </cell>
          <cell r="F59">
            <v>0</v>
          </cell>
          <cell r="G59">
            <v>0</v>
          </cell>
          <cell r="H59">
            <v>5000</v>
          </cell>
          <cell r="I59">
            <v>5000</v>
          </cell>
          <cell r="J59">
            <v>0</v>
          </cell>
          <cell r="K59">
            <v>200</v>
          </cell>
          <cell r="L59">
            <v>0</v>
          </cell>
          <cell r="O59" t="str">
            <v>2Q15</v>
          </cell>
        </row>
        <row r="60">
          <cell r="E60">
            <v>450</v>
          </cell>
          <cell r="F60">
            <v>0</v>
          </cell>
          <cell r="G60">
            <v>0</v>
          </cell>
          <cell r="H60">
            <v>8250</v>
          </cell>
          <cell r="I60">
            <v>8250</v>
          </cell>
          <cell r="J60">
            <v>0</v>
          </cell>
          <cell r="K60">
            <v>4200</v>
          </cell>
          <cell r="L60">
            <v>0</v>
          </cell>
          <cell r="O60" t="str">
            <v>3Q15</v>
          </cell>
        </row>
        <row r="61">
          <cell r="E61">
            <v>300</v>
          </cell>
          <cell r="F61">
            <v>0</v>
          </cell>
          <cell r="G61">
            <v>0</v>
          </cell>
          <cell r="H61">
            <v>5500</v>
          </cell>
          <cell r="I61">
            <v>5500</v>
          </cell>
          <cell r="J61">
            <v>0</v>
          </cell>
          <cell r="K61">
            <v>2800</v>
          </cell>
          <cell r="L61">
            <v>0</v>
          </cell>
          <cell r="O61" t="str">
            <v>3Q15</v>
          </cell>
        </row>
        <row r="62">
          <cell r="E62">
            <v>450</v>
          </cell>
          <cell r="F62">
            <v>0</v>
          </cell>
          <cell r="G62">
            <v>0</v>
          </cell>
          <cell r="H62">
            <v>9000</v>
          </cell>
          <cell r="I62">
            <v>9000</v>
          </cell>
          <cell r="J62">
            <v>0</v>
          </cell>
          <cell r="K62">
            <v>5700</v>
          </cell>
          <cell r="L62">
            <v>0</v>
          </cell>
          <cell r="O62" t="str">
            <v>4Q15</v>
          </cell>
        </row>
        <row r="63">
          <cell r="E63">
            <v>300</v>
          </cell>
          <cell r="F63">
            <v>0</v>
          </cell>
          <cell r="G63">
            <v>0</v>
          </cell>
          <cell r="H63">
            <v>6000</v>
          </cell>
          <cell r="I63">
            <v>6000</v>
          </cell>
          <cell r="J63">
            <v>0</v>
          </cell>
          <cell r="K63">
            <v>3800</v>
          </cell>
          <cell r="L63">
            <v>0</v>
          </cell>
          <cell r="O63" t="str">
            <v>4Q15</v>
          </cell>
        </row>
        <row r="64">
          <cell r="E64">
            <v>1125</v>
          </cell>
          <cell r="F64">
            <v>0</v>
          </cell>
          <cell r="G64">
            <v>0</v>
          </cell>
          <cell r="H64">
            <v>3750</v>
          </cell>
          <cell r="I64">
            <v>3750</v>
          </cell>
          <cell r="J64">
            <v>0</v>
          </cell>
          <cell r="K64">
            <v>0</v>
          </cell>
          <cell r="L64">
            <v>0</v>
          </cell>
          <cell r="O64" t="str">
            <v>1Q14</v>
          </cell>
        </row>
        <row r="65">
          <cell r="E65">
            <v>1125</v>
          </cell>
          <cell r="F65">
            <v>0</v>
          </cell>
          <cell r="G65">
            <v>0</v>
          </cell>
          <cell r="H65">
            <v>4500</v>
          </cell>
          <cell r="I65">
            <v>4500</v>
          </cell>
          <cell r="J65">
            <v>0</v>
          </cell>
          <cell r="K65">
            <v>0</v>
          </cell>
          <cell r="L65">
            <v>0</v>
          </cell>
          <cell r="O65" t="str">
            <v>2Q14</v>
          </cell>
        </row>
        <row r="66">
          <cell r="E66">
            <v>1125</v>
          </cell>
          <cell r="F66">
            <v>0</v>
          </cell>
          <cell r="G66">
            <v>0</v>
          </cell>
          <cell r="H66">
            <v>5625</v>
          </cell>
          <cell r="I66">
            <v>5625</v>
          </cell>
          <cell r="J66">
            <v>0</v>
          </cell>
          <cell r="K66">
            <v>0</v>
          </cell>
          <cell r="L66">
            <v>0</v>
          </cell>
          <cell r="O66" t="str">
            <v>3Q14</v>
          </cell>
        </row>
        <row r="67">
          <cell r="E67">
            <v>1125</v>
          </cell>
          <cell r="F67">
            <v>0</v>
          </cell>
          <cell r="G67">
            <v>0</v>
          </cell>
          <cell r="H67">
            <v>6750</v>
          </cell>
          <cell r="I67">
            <v>6750</v>
          </cell>
          <cell r="J67">
            <v>0</v>
          </cell>
          <cell r="K67">
            <v>0</v>
          </cell>
          <cell r="L67">
            <v>0</v>
          </cell>
          <cell r="O67" t="str">
            <v>4Q14</v>
          </cell>
        </row>
        <row r="68">
          <cell r="E68">
            <v>1000</v>
          </cell>
          <cell r="F68">
            <v>0</v>
          </cell>
          <cell r="G68">
            <v>0</v>
          </cell>
          <cell r="H68">
            <v>5000</v>
          </cell>
          <cell r="I68">
            <v>5000</v>
          </cell>
          <cell r="J68">
            <v>0</v>
          </cell>
          <cell r="K68">
            <v>1750</v>
          </cell>
          <cell r="L68">
            <v>0</v>
          </cell>
          <cell r="O68" t="str">
            <v>1Q15</v>
          </cell>
        </row>
        <row r="69">
          <cell r="E69">
            <v>1000</v>
          </cell>
          <cell r="F69">
            <v>0</v>
          </cell>
          <cell r="G69">
            <v>0</v>
          </cell>
          <cell r="H69">
            <v>5500</v>
          </cell>
          <cell r="I69">
            <v>5500</v>
          </cell>
          <cell r="J69">
            <v>0</v>
          </cell>
          <cell r="K69">
            <v>2375</v>
          </cell>
          <cell r="L69">
            <v>0</v>
          </cell>
          <cell r="O69" t="str">
            <v>2Q15</v>
          </cell>
        </row>
        <row r="70">
          <cell r="E70">
            <v>1000</v>
          </cell>
          <cell r="F70">
            <v>0</v>
          </cell>
          <cell r="G70">
            <v>0</v>
          </cell>
          <cell r="H70">
            <v>6000</v>
          </cell>
          <cell r="I70">
            <v>6000</v>
          </cell>
          <cell r="J70">
            <v>0</v>
          </cell>
          <cell r="K70">
            <v>3000</v>
          </cell>
          <cell r="L70">
            <v>0</v>
          </cell>
          <cell r="O70" t="str">
            <v>3Q15</v>
          </cell>
        </row>
        <row r="71">
          <cell r="E71">
            <v>1000</v>
          </cell>
          <cell r="F71">
            <v>0</v>
          </cell>
          <cell r="G71">
            <v>0</v>
          </cell>
          <cell r="H71">
            <v>6500</v>
          </cell>
          <cell r="I71">
            <v>6500</v>
          </cell>
          <cell r="J71">
            <v>0</v>
          </cell>
          <cell r="K71">
            <v>4500</v>
          </cell>
          <cell r="L71">
            <v>0</v>
          </cell>
          <cell r="O71" t="str">
            <v>4Q15</v>
          </cell>
        </row>
        <row r="72">
          <cell r="E72">
            <v>562.5</v>
          </cell>
          <cell r="F72">
            <v>375</v>
          </cell>
          <cell r="G72">
            <v>0</v>
          </cell>
          <cell r="H72">
            <v>746.625</v>
          </cell>
          <cell r="I72">
            <v>746.625</v>
          </cell>
          <cell r="J72">
            <v>0</v>
          </cell>
          <cell r="K72">
            <v>0</v>
          </cell>
          <cell r="L72">
            <v>0</v>
          </cell>
          <cell r="O72" t="str">
            <v>1Q14</v>
          </cell>
        </row>
        <row r="73">
          <cell r="E73">
            <v>562.5</v>
          </cell>
          <cell r="F73">
            <v>375</v>
          </cell>
          <cell r="G73">
            <v>0</v>
          </cell>
          <cell r="H73">
            <v>936.75</v>
          </cell>
          <cell r="I73">
            <v>936.75</v>
          </cell>
          <cell r="J73">
            <v>0</v>
          </cell>
          <cell r="K73">
            <v>0</v>
          </cell>
          <cell r="L73">
            <v>0</v>
          </cell>
          <cell r="O73" t="str">
            <v>2Q14</v>
          </cell>
        </row>
        <row r="74">
          <cell r="E74">
            <v>562.5</v>
          </cell>
          <cell r="F74">
            <v>375</v>
          </cell>
          <cell r="G74">
            <v>0</v>
          </cell>
          <cell r="H74">
            <v>983.625</v>
          </cell>
          <cell r="I74">
            <v>983.625</v>
          </cell>
          <cell r="J74">
            <v>0</v>
          </cell>
          <cell r="K74">
            <v>0</v>
          </cell>
          <cell r="L74">
            <v>0</v>
          </cell>
          <cell r="O74" t="str">
            <v>3Q14</v>
          </cell>
        </row>
        <row r="75">
          <cell r="E75">
            <v>562.5</v>
          </cell>
          <cell r="F75">
            <v>375</v>
          </cell>
          <cell r="G75">
            <v>0</v>
          </cell>
          <cell r="H75">
            <v>1083</v>
          </cell>
          <cell r="I75">
            <v>1083</v>
          </cell>
          <cell r="J75">
            <v>0</v>
          </cell>
          <cell r="K75">
            <v>0</v>
          </cell>
          <cell r="L75">
            <v>0</v>
          </cell>
          <cell r="O75" t="str">
            <v>4Q14</v>
          </cell>
        </row>
        <row r="76">
          <cell r="E76">
            <v>750</v>
          </cell>
          <cell r="F76">
            <v>250</v>
          </cell>
          <cell r="G76">
            <v>0</v>
          </cell>
          <cell r="H76">
            <v>750</v>
          </cell>
          <cell r="I76">
            <v>750</v>
          </cell>
          <cell r="J76">
            <v>0</v>
          </cell>
          <cell r="K76">
            <v>450</v>
          </cell>
          <cell r="L76">
            <v>0</v>
          </cell>
          <cell r="O76" t="str">
            <v>1Q15</v>
          </cell>
        </row>
        <row r="77">
          <cell r="E77">
            <v>750</v>
          </cell>
          <cell r="F77">
            <v>250</v>
          </cell>
          <cell r="G77">
            <v>0</v>
          </cell>
          <cell r="H77">
            <v>850</v>
          </cell>
          <cell r="I77">
            <v>850</v>
          </cell>
          <cell r="J77">
            <v>0</v>
          </cell>
          <cell r="K77">
            <v>550</v>
          </cell>
          <cell r="L77">
            <v>0</v>
          </cell>
          <cell r="O77" t="str">
            <v>2Q15</v>
          </cell>
        </row>
        <row r="78">
          <cell r="E78">
            <v>750</v>
          </cell>
          <cell r="F78">
            <v>250</v>
          </cell>
          <cell r="G78">
            <v>0</v>
          </cell>
          <cell r="H78">
            <v>950</v>
          </cell>
          <cell r="I78">
            <v>950</v>
          </cell>
          <cell r="J78">
            <v>0</v>
          </cell>
          <cell r="K78">
            <v>700</v>
          </cell>
          <cell r="L78">
            <v>0</v>
          </cell>
          <cell r="O78" t="str">
            <v>3Q15</v>
          </cell>
        </row>
        <row r="79">
          <cell r="E79">
            <v>1000</v>
          </cell>
          <cell r="F79">
            <v>250</v>
          </cell>
          <cell r="G79">
            <v>0</v>
          </cell>
          <cell r="H79">
            <v>1150</v>
          </cell>
          <cell r="I79">
            <v>1150</v>
          </cell>
          <cell r="J79">
            <v>0</v>
          </cell>
          <cell r="K79">
            <v>875</v>
          </cell>
          <cell r="L79">
            <v>0</v>
          </cell>
          <cell r="O79" t="str">
            <v>4Q15</v>
          </cell>
        </row>
        <row r="80">
          <cell r="E80">
            <v>1575</v>
          </cell>
          <cell r="F80">
            <v>1050</v>
          </cell>
          <cell r="G80">
            <v>0</v>
          </cell>
          <cell r="H80">
            <v>2362.5</v>
          </cell>
          <cell r="I80">
            <v>2362.5</v>
          </cell>
          <cell r="J80">
            <v>0</v>
          </cell>
          <cell r="K80">
            <v>0</v>
          </cell>
          <cell r="L80">
            <v>0</v>
          </cell>
          <cell r="O80" t="str">
            <v>1Q14</v>
          </cell>
        </row>
        <row r="81">
          <cell r="E81">
            <v>675</v>
          </cell>
          <cell r="F81">
            <v>450</v>
          </cell>
          <cell r="G81">
            <v>0</v>
          </cell>
          <cell r="H81">
            <v>1012.5</v>
          </cell>
          <cell r="I81">
            <v>1012.5</v>
          </cell>
          <cell r="J81">
            <v>0</v>
          </cell>
          <cell r="K81">
            <v>0</v>
          </cell>
          <cell r="L81">
            <v>0</v>
          </cell>
          <cell r="O81" t="str">
            <v>1Q14</v>
          </cell>
        </row>
        <row r="82">
          <cell r="E82">
            <v>1680</v>
          </cell>
          <cell r="F82">
            <v>1050</v>
          </cell>
          <cell r="G82">
            <v>0</v>
          </cell>
          <cell r="H82">
            <v>2730</v>
          </cell>
          <cell r="I82">
            <v>2730</v>
          </cell>
          <cell r="J82">
            <v>0</v>
          </cell>
          <cell r="K82">
            <v>0</v>
          </cell>
          <cell r="L82">
            <v>0</v>
          </cell>
          <cell r="O82" t="str">
            <v>2Q14</v>
          </cell>
        </row>
        <row r="83">
          <cell r="E83">
            <v>720</v>
          </cell>
          <cell r="F83">
            <v>450</v>
          </cell>
          <cell r="G83">
            <v>0</v>
          </cell>
          <cell r="H83">
            <v>1170</v>
          </cell>
          <cell r="I83">
            <v>1170</v>
          </cell>
          <cell r="J83">
            <v>0</v>
          </cell>
          <cell r="K83">
            <v>0</v>
          </cell>
          <cell r="L83">
            <v>0</v>
          </cell>
          <cell r="O83" t="str">
            <v>2Q14</v>
          </cell>
        </row>
        <row r="84">
          <cell r="E84">
            <v>1837.5</v>
          </cell>
          <cell r="F84">
            <v>1050</v>
          </cell>
          <cell r="G84">
            <v>0</v>
          </cell>
          <cell r="H84">
            <v>3150</v>
          </cell>
          <cell r="I84">
            <v>3150</v>
          </cell>
          <cell r="J84">
            <v>0</v>
          </cell>
          <cell r="K84">
            <v>0</v>
          </cell>
          <cell r="L84">
            <v>0</v>
          </cell>
          <cell r="O84" t="str">
            <v>3Q14</v>
          </cell>
        </row>
        <row r="85">
          <cell r="E85">
            <v>787.5</v>
          </cell>
          <cell r="F85">
            <v>450</v>
          </cell>
          <cell r="G85">
            <v>0</v>
          </cell>
          <cell r="H85">
            <v>1350</v>
          </cell>
          <cell r="I85">
            <v>1350</v>
          </cell>
          <cell r="J85">
            <v>0</v>
          </cell>
          <cell r="K85">
            <v>0</v>
          </cell>
          <cell r="L85">
            <v>0</v>
          </cell>
          <cell r="O85" t="str">
            <v>3Q14</v>
          </cell>
        </row>
        <row r="86">
          <cell r="E86">
            <v>1837.5</v>
          </cell>
          <cell r="F86">
            <v>1050</v>
          </cell>
          <cell r="G86">
            <v>0</v>
          </cell>
          <cell r="H86">
            <v>3675</v>
          </cell>
          <cell r="I86">
            <v>3675</v>
          </cell>
          <cell r="J86">
            <v>0</v>
          </cell>
          <cell r="K86">
            <v>0</v>
          </cell>
          <cell r="L86">
            <v>0</v>
          </cell>
          <cell r="O86" t="str">
            <v>4Q14</v>
          </cell>
        </row>
        <row r="87">
          <cell r="E87">
            <v>787.5</v>
          </cell>
          <cell r="F87">
            <v>450</v>
          </cell>
          <cell r="G87">
            <v>0</v>
          </cell>
          <cell r="H87">
            <v>1575</v>
          </cell>
          <cell r="I87">
            <v>1575</v>
          </cell>
          <cell r="J87">
            <v>0</v>
          </cell>
          <cell r="K87">
            <v>0</v>
          </cell>
          <cell r="L87">
            <v>0</v>
          </cell>
          <cell r="O87" t="str">
            <v>4Q14</v>
          </cell>
        </row>
        <row r="88">
          <cell r="E88">
            <v>1400</v>
          </cell>
          <cell r="F88">
            <v>1050</v>
          </cell>
          <cell r="G88">
            <v>0</v>
          </cell>
          <cell r="H88">
            <v>2800</v>
          </cell>
          <cell r="I88">
            <v>2800</v>
          </cell>
          <cell r="J88">
            <v>0</v>
          </cell>
          <cell r="K88">
            <v>1312.5</v>
          </cell>
          <cell r="L88">
            <v>0</v>
          </cell>
          <cell r="O88" t="str">
            <v>1Q15</v>
          </cell>
        </row>
        <row r="89">
          <cell r="E89">
            <v>600</v>
          </cell>
          <cell r="F89">
            <v>450</v>
          </cell>
          <cell r="G89">
            <v>0</v>
          </cell>
          <cell r="H89">
            <v>1200</v>
          </cell>
          <cell r="I89">
            <v>1200</v>
          </cell>
          <cell r="J89">
            <v>0</v>
          </cell>
          <cell r="K89">
            <v>562.5</v>
          </cell>
          <cell r="L89">
            <v>0</v>
          </cell>
          <cell r="O89" t="str">
            <v>1Q15</v>
          </cell>
        </row>
        <row r="90">
          <cell r="E90">
            <v>1820</v>
          </cell>
          <cell r="F90">
            <v>1050</v>
          </cell>
          <cell r="G90">
            <v>0</v>
          </cell>
          <cell r="H90">
            <v>3150</v>
          </cell>
          <cell r="I90">
            <v>3150</v>
          </cell>
          <cell r="J90">
            <v>0</v>
          </cell>
          <cell r="K90">
            <v>1750</v>
          </cell>
          <cell r="L90">
            <v>0</v>
          </cell>
          <cell r="O90" t="str">
            <v>2Q15</v>
          </cell>
        </row>
        <row r="91">
          <cell r="E91">
            <v>780</v>
          </cell>
          <cell r="F91">
            <v>450</v>
          </cell>
          <cell r="G91">
            <v>0</v>
          </cell>
          <cell r="H91">
            <v>1350</v>
          </cell>
          <cell r="I91">
            <v>1350</v>
          </cell>
          <cell r="J91">
            <v>0</v>
          </cell>
          <cell r="K91">
            <v>750</v>
          </cell>
          <cell r="L91">
            <v>0</v>
          </cell>
          <cell r="O91" t="str">
            <v>2Q15</v>
          </cell>
        </row>
        <row r="92">
          <cell r="E92">
            <v>2100</v>
          </cell>
          <cell r="F92">
            <v>1050</v>
          </cell>
          <cell r="G92">
            <v>0</v>
          </cell>
          <cell r="H92">
            <v>3500</v>
          </cell>
          <cell r="I92">
            <v>3500</v>
          </cell>
          <cell r="J92">
            <v>0</v>
          </cell>
          <cell r="K92">
            <v>2275</v>
          </cell>
          <cell r="L92">
            <v>0</v>
          </cell>
          <cell r="O92" t="str">
            <v>3Q15</v>
          </cell>
        </row>
        <row r="93">
          <cell r="E93">
            <v>900</v>
          </cell>
          <cell r="F93">
            <v>450</v>
          </cell>
          <cell r="G93">
            <v>0</v>
          </cell>
          <cell r="H93">
            <v>1500</v>
          </cell>
          <cell r="I93">
            <v>1500</v>
          </cell>
          <cell r="J93">
            <v>0</v>
          </cell>
          <cell r="K93">
            <v>975</v>
          </cell>
          <cell r="L93">
            <v>0</v>
          </cell>
          <cell r="O93" t="str">
            <v>3Q15</v>
          </cell>
        </row>
        <row r="94">
          <cell r="E94">
            <v>2800</v>
          </cell>
          <cell r="F94">
            <v>1050</v>
          </cell>
          <cell r="G94">
            <v>0</v>
          </cell>
          <cell r="H94">
            <v>4375</v>
          </cell>
          <cell r="I94">
            <v>4375</v>
          </cell>
          <cell r="J94">
            <v>0</v>
          </cell>
          <cell r="K94">
            <v>2975</v>
          </cell>
          <cell r="L94">
            <v>0</v>
          </cell>
          <cell r="O94" t="str">
            <v>4Q15</v>
          </cell>
        </row>
        <row r="95">
          <cell r="E95">
            <v>1200</v>
          </cell>
          <cell r="F95">
            <v>450</v>
          </cell>
          <cell r="G95">
            <v>0</v>
          </cell>
          <cell r="H95">
            <v>1875</v>
          </cell>
          <cell r="I95">
            <v>1875</v>
          </cell>
          <cell r="J95">
            <v>0</v>
          </cell>
          <cell r="K95">
            <v>1275</v>
          </cell>
          <cell r="L95">
            <v>0</v>
          </cell>
          <cell r="O95" t="str">
            <v>4Q15</v>
          </cell>
        </row>
        <row r="96">
          <cell r="E96">
            <v>318.75</v>
          </cell>
          <cell r="F96">
            <v>150</v>
          </cell>
          <cell r="G96">
            <v>0</v>
          </cell>
          <cell r="H96">
            <v>475.875</v>
          </cell>
          <cell r="I96">
            <v>475.875</v>
          </cell>
          <cell r="J96">
            <v>0</v>
          </cell>
          <cell r="K96">
            <v>0</v>
          </cell>
          <cell r="L96">
            <v>0</v>
          </cell>
          <cell r="O96" t="str">
            <v>1Q14</v>
          </cell>
        </row>
        <row r="97">
          <cell r="E97">
            <v>375</v>
          </cell>
          <cell r="F97">
            <v>150</v>
          </cell>
          <cell r="G97">
            <v>0</v>
          </cell>
          <cell r="H97">
            <v>597.375</v>
          </cell>
          <cell r="I97">
            <v>597.375</v>
          </cell>
          <cell r="J97">
            <v>0</v>
          </cell>
          <cell r="K97">
            <v>0</v>
          </cell>
          <cell r="L97">
            <v>0</v>
          </cell>
          <cell r="O97" t="str">
            <v>2Q14</v>
          </cell>
        </row>
        <row r="98">
          <cell r="E98">
            <v>525</v>
          </cell>
          <cell r="F98">
            <v>150</v>
          </cell>
          <cell r="G98">
            <v>0</v>
          </cell>
          <cell r="H98">
            <v>627</v>
          </cell>
          <cell r="I98">
            <v>627</v>
          </cell>
          <cell r="J98">
            <v>0</v>
          </cell>
          <cell r="K98">
            <v>0</v>
          </cell>
          <cell r="L98">
            <v>0</v>
          </cell>
          <cell r="O98" t="str">
            <v>3Q14</v>
          </cell>
        </row>
        <row r="99">
          <cell r="E99">
            <v>750</v>
          </cell>
          <cell r="F99">
            <v>150</v>
          </cell>
          <cell r="G99">
            <v>0</v>
          </cell>
          <cell r="H99">
            <v>690.375</v>
          </cell>
          <cell r="I99">
            <v>690.375</v>
          </cell>
          <cell r="J99">
            <v>0</v>
          </cell>
          <cell r="K99">
            <v>0</v>
          </cell>
          <cell r="L99">
            <v>0</v>
          </cell>
          <cell r="O99" t="str">
            <v>4Q14</v>
          </cell>
        </row>
        <row r="100">
          <cell r="E100">
            <v>700</v>
          </cell>
          <cell r="F100">
            <v>250</v>
          </cell>
          <cell r="G100">
            <v>0</v>
          </cell>
          <cell r="H100">
            <v>500</v>
          </cell>
          <cell r="I100">
            <v>500</v>
          </cell>
          <cell r="J100">
            <v>0</v>
          </cell>
          <cell r="K100">
            <v>250</v>
          </cell>
          <cell r="L100">
            <v>0</v>
          </cell>
          <cell r="O100" t="str">
            <v>1Q15</v>
          </cell>
        </row>
        <row r="101">
          <cell r="E101">
            <v>900</v>
          </cell>
          <cell r="F101">
            <v>250</v>
          </cell>
          <cell r="G101">
            <v>0</v>
          </cell>
          <cell r="H101">
            <v>600</v>
          </cell>
          <cell r="I101">
            <v>600</v>
          </cell>
          <cell r="J101">
            <v>0</v>
          </cell>
          <cell r="K101">
            <v>337.5</v>
          </cell>
          <cell r="L101">
            <v>0</v>
          </cell>
          <cell r="O101" t="str">
            <v>2Q15</v>
          </cell>
        </row>
        <row r="102">
          <cell r="E102">
            <v>900</v>
          </cell>
          <cell r="F102">
            <v>250</v>
          </cell>
          <cell r="G102">
            <v>0</v>
          </cell>
          <cell r="H102">
            <v>700</v>
          </cell>
          <cell r="I102">
            <v>700</v>
          </cell>
          <cell r="J102">
            <v>0</v>
          </cell>
          <cell r="K102">
            <v>450</v>
          </cell>
          <cell r="L102">
            <v>0</v>
          </cell>
          <cell r="O102" t="str">
            <v>3Q15</v>
          </cell>
        </row>
        <row r="103">
          <cell r="E103">
            <v>900</v>
          </cell>
          <cell r="F103">
            <v>250</v>
          </cell>
          <cell r="G103">
            <v>0</v>
          </cell>
          <cell r="H103">
            <v>800</v>
          </cell>
          <cell r="I103">
            <v>800</v>
          </cell>
          <cell r="J103">
            <v>0</v>
          </cell>
          <cell r="K103">
            <v>600</v>
          </cell>
          <cell r="L103">
            <v>0</v>
          </cell>
          <cell r="O103" t="str">
            <v>4Q15</v>
          </cell>
        </row>
        <row r="104"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O104" t="str">
            <v>1Q14</v>
          </cell>
        </row>
        <row r="105">
          <cell r="E105">
            <v>150</v>
          </cell>
          <cell r="F105">
            <v>75</v>
          </cell>
          <cell r="G105">
            <v>0</v>
          </cell>
          <cell r="H105">
            <v>600</v>
          </cell>
          <cell r="I105">
            <v>600</v>
          </cell>
          <cell r="J105">
            <v>0</v>
          </cell>
          <cell r="K105">
            <v>0</v>
          </cell>
          <cell r="L105">
            <v>0</v>
          </cell>
          <cell r="O105" t="str">
            <v>2Q14</v>
          </cell>
        </row>
        <row r="106">
          <cell r="E106">
            <v>150</v>
          </cell>
          <cell r="F106">
            <v>75</v>
          </cell>
          <cell r="G106">
            <v>0</v>
          </cell>
          <cell r="H106">
            <v>900</v>
          </cell>
          <cell r="I106">
            <v>900</v>
          </cell>
          <cell r="J106">
            <v>0</v>
          </cell>
          <cell r="K106">
            <v>0</v>
          </cell>
          <cell r="L106">
            <v>0</v>
          </cell>
          <cell r="O106" t="str">
            <v>3Q14</v>
          </cell>
        </row>
        <row r="107">
          <cell r="E107">
            <v>375</v>
          </cell>
          <cell r="F107">
            <v>187.5</v>
          </cell>
          <cell r="G107">
            <v>0</v>
          </cell>
          <cell r="H107">
            <v>1125</v>
          </cell>
          <cell r="I107">
            <v>1125</v>
          </cell>
          <cell r="J107">
            <v>0</v>
          </cell>
          <cell r="K107">
            <v>0</v>
          </cell>
          <cell r="L107">
            <v>0</v>
          </cell>
          <cell r="O107" t="str">
            <v>4Q14</v>
          </cell>
        </row>
        <row r="108">
          <cell r="E108">
            <v>400</v>
          </cell>
          <cell r="F108">
            <v>200</v>
          </cell>
          <cell r="G108">
            <v>0</v>
          </cell>
          <cell r="H108">
            <v>1000</v>
          </cell>
          <cell r="I108">
            <v>1000</v>
          </cell>
          <cell r="J108">
            <v>0</v>
          </cell>
          <cell r="K108">
            <v>250</v>
          </cell>
          <cell r="L108">
            <v>0</v>
          </cell>
          <cell r="O108" t="str">
            <v>1Q15</v>
          </cell>
        </row>
        <row r="109">
          <cell r="E109">
            <v>600</v>
          </cell>
          <cell r="F109">
            <v>300</v>
          </cell>
          <cell r="G109">
            <v>0</v>
          </cell>
          <cell r="H109">
            <v>1250</v>
          </cell>
          <cell r="I109">
            <v>1250</v>
          </cell>
          <cell r="J109">
            <v>0</v>
          </cell>
          <cell r="K109">
            <v>337.5</v>
          </cell>
          <cell r="L109">
            <v>0</v>
          </cell>
          <cell r="O109" t="str">
            <v>2Q15</v>
          </cell>
        </row>
        <row r="110">
          <cell r="E110">
            <v>750</v>
          </cell>
          <cell r="F110">
            <v>375</v>
          </cell>
          <cell r="G110">
            <v>0</v>
          </cell>
          <cell r="H110">
            <v>1500</v>
          </cell>
          <cell r="I110">
            <v>1500</v>
          </cell>
          <cell r="J110">
            <v>0</v>
          </cell>
          <cell r="K110">
            <v>450</v>
          </cell>
          <cell r="L110">
            <v>0</v>
          </cell>
          <cell r="O110" t="str">
            <v>3Q15</v>
          </cell>
        </row>
        <row r="111">
          <cell r="E111">
            <v>750</v>
          </cell>
          <cell r="F111">
            <v>375</v>
          </cell>
          <cell r="G111">
            <v>0</v>
          </cell>
          <cell r="H111">
            <v>2000</v>
          </cell>
          <cell r="I111">
            <v>2000</v>
          </cell>
          <cell r="J111">
            <v>0</v>
          </cell>
          <cell r="K111">
            <v>600</v>
          </cell>
          <cell r="L111">
            <v>0</v>
          </cell>
          <cell r="O111" t="str">
            <v>4Q15</v>
          </cell>
        </row>
        <row r="112">
          <cell r="E112">
            <v>150</v>
          </cell>
          <cell r="F112">
            <v>75</v>
          </cell>
          <cell r="G112">
            <v>0</v>
          </cell>
          <cell r="H112">
            <v>225</v>
          </cell>
          <cell r="I112">
            <v>225</v>
          </cell>
          <cell r="J112">
            <v>0</v>
          </cell>
          <cell r="K112">
            <v>0</v>
          </cell>
          <cell r="L112">
            <v>0</v>
          </cell>
          <cell r="O112" t="str">
            <v>1Q14</v>
          </cell>
        </row>
        <row r="113">
          <cell r="E113">
            <v>150</v>
          </cell>
          <cell r="F113">
            <v>75</v>
          </cell>
          <cell r="G113">
            <v>0</v>
          </cell>
          <cell r="H113">
            <v>375</v>
          </cell>
          <cell r="I113">
            <v>375</v>
          </cell>
          <cell r="J113">
            <v>0</v>
          </cell>
          <cell r="K113">
            <v>0</v>
          </cell>
          <cell r="L113">
            <v>0</v>
          </cell>
          <cell r="O113" t="str">
            <v>2Q14</v>
          </cell>
        </row>
        <row r="114">
          <cell r="E114">
            <v>300</v>
          </cell>
          <cell r="F114">
            <v>150</v>
          </cell>
          <cell r="G114">
            <v>0</v>
          </cell>
          <cell r="H114">
            <v>750</v>
          </cell>
          <cell r="I114">
            <v>750</v>
          </cell>
          <cell r="J114">
            <v>0</v>
          </cell>
          <cell r="K114">
            <v>0</v>
          </cell>
          <cell r="L114">
            <v>0</v>
          </cell>
          <cell r="O114" t="str">
            <v>3Q14</v>
          </cell>
        </row>
        <row r="115">
          <cell r="E115">
            <v>300</v>
          </cell>
          <cell r="F115">
            <v>150</v>
          </cell>
          <cell r="G115">
            <v>0</v>
          </cell>
          <cell r="H115">
            <v>1125</v>
          </cell>
          <cell r="I115">
            <v>1125</v>
          </cell>
          <cell r="J115">
            <v>0</v>
          </cell>
          <cell r="K115">
            <v>0</v>
          </cell>
          <cell r="L115">
            <v>0</v>
          </cell>
          <cell r="O115" t="str">
            <v>4Q14</v>
          </cell>
        </row>
        <row r="116">
          <cell r="E116">
            <v>375</v>
          </cell>
          <cell r="F116">
            <v>187.5</v>
          </cell>
          <cell r="G116">
            <v>0</v>
          </cell>
          <cell r="H116">
            <v>1000</v>
          </cell>
          <cell r="I116">
            <v>1000</v>
          </cell>
          <cell r="J116">
            <v>0</v>
          </cell>
          <cell r="K116">
            <v>350</v>
          </cell>
          <cell r="L116">
            <v>0</v>
          </cell>
          <cell r="O116" t="str">
            <v>1Q15</v>
          </cell>
        </row>
        <row r="117">
          <cell r="E117">
            <v>500</v>
          </cell>
          <cell r="F117">
            <v>250</v>
          </cell>
          <cell r="G117">
            <v>0</v>
          </cell>
          <cell r="H117">
            <v>1125</v>
          </cell>
          <cell r="I117">
            <v>1125</v>
          </cell>
          <cell r="J117">
            <v>0</v>
          </cell>
          <cell r="K117">
            <v>500</v>
          </cell>
          <cell r="L117">
            <v>0</v>
          </cell>
          <cell r="O117" t="str">
            <v>2Q15</v>
          </cell>
        </row>
        <row r="118">
          <cell r="E118">
            <v>500</v>
          </cell>
          <cell r="F118">
            <v>250</v>
          </cell>
          <cell r="G118">
            <v>0</v>
          </cell>
          <cell r="H118">
            <v>1250</v>
          </cell>
          <cell r="I118">
            <v>1250</v>
          </cell>
          <cell r="J118">
            <v>0</v>
          </cell>
          <cell r="K118">
            <v>700</v>
          </cell>
          <cell r="L118">
            <v>0</v>
          </cell>
          <cell r="O118" t="str">
            <v>3Q15</v>
          </cell>
        </row>
        <row r="119">
          <cell r="E119">
            <v>500</v>
          </cell>
          <cell r="F119">
            <v>250</v>
          </cell>
          <cell r="G119">
            <v>0</v>
          </cell>
          <cell r="H119">
            <v>1500</v>
          </cell>
          <cell r="I119">
            <v>1500</v>
          </cell>
          <cell r="J119">
            <v>0</v>
          </cell>
          <cell r="K119">
            <v>850</v>
          </cell>
          <cell r="L119">
            <v>0</v>
          </cell>
          <cell r="O119" t="str">
            <v>4Q15</v>
          </cell>
        </row>
        <row r="120"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O120" t="str">
            <v>1Q14</v>
          </cell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O121" t="str">
            <v>2Q14</v>
          </cell>
        </row>
        <row r="122">
          <cell r="E122">
            <v>150</v>
          </cell>
          <cell r="F122">
            <v>75</v>
          </cell>
          <cell r="G122">
            <v>0</v>
          </cell>
          <cell r="H122">
            <v>375</v>
          </cell>
          <cell r="I122">
            <v>375</v>
          </cell>
          <cell r="J122">
            <v>0</v>
          </cell>
          <cell r="K122">
            <v>0</v>
          </cell>
          <cell r="L122">
            <v>0</v>
          </cell>
          <cell r="O122" t="str">
            <v>3Q14</v>
          </cell>
        </row>
        <row r="123">
          <cell r="E123">
            <v>300</v>
          </cell>
          <cell r="F123">
            <v>150</v>
          </cell>
          <cell r="G123">
            <v>0</v>
          </cell>
          <cell r="H123">
            <v>750</v>
          </cell>
          <cell r="I123">
            <v>750</v>
          </cell>
          <cell r="J123">
            <v>0</v>
          </cell>
          <cell r="K123">
            <v>0</v>
          </cell>
          <cell r="L123">
            <v>0</v>
          </cell>
          <cell r="O123" t="str">
            <v>4Q14</v>
          </cell>
        </row>
        <row r="124">
          <cell r="E124">
            <v>250</v>
          </cell>
          <cell r="F124">
            <v>125</v>
          </cell>
          <cell r="G124">
            <v>0</v>
          </cell>
          <cell r="H124">
            <v>750</v>
          </cell>
          <cell r="I124">
            <v>750</v>
          </cell>
          <cell r="J124">
            <v>0</v>
          </cell>
          <cell r="K124">
            <v>350</v>
          </cell>
          <cell r="L124">
            <v>0</v>
          </cell>
          <cell r="O124" t="str">
            <v>1Q15</v>
          </cell>
        </row>
        <row r="125">
          <cell r="E125">
            <v>250</v>
          </cell>
          <cell r="F125">
            <v>125</v>
          </cell>
          <cell r="G125">
            <v>0</v>
          </cell>
          <cell r="H125">
            <v>1000</v>
          </cell>
          <cell r="I125">
            <v>1000</v>
          </cell>
          <cell r="J125">
            <v>0</v>
          </cell>
          <cell r="K125">
            <v>500</v>
          </cell>
          <cell r="L125">
            <v>0</v>
          </cell>
          <cell r="O125" t="str">
            <v>2Q15</v>
          </cell>
        </row>
        <row r="126">
          <cell r="E126">
            <v>250</v>
          </cell>
          <cell r="F126">
            <v>125</v>
          </cell>
          <cell r="G126">
            <v>0</v>
          </cell>
          <cell r="H126">
            <v>1000</v>
          </cell>
          <cell r="I126">
            <v>1000</v>
          </cell>
          <cell r="J126">
            <v>0</v>
          </cell>
          <cell r="K126">
            <v>700</v>
          </cell>
          <cell r="L126">
            <v>0</v>
          </cell>
          <cell r="O126" t="str">
            <v>3Q15</v>
          </cell>
        </row>
        <row r="127">
          <cell r="E127">
            <v>250</v>
          </cell>
          <cell r="F127">
            <v>125</v>
          </cell>
          <cell r="G127">
            <v>0</v>
          </cell>
          <cell r="H127">
            <v>1000</v>
          </cell>
          <cell r="I127">
            <v>1000</v>
          </cell>
          <cell r="J127">
            <v>0</v>
          </cell>
          <cell r="K127">
            <v>850</v>
          </cell>
          <cell r="L127">
            <v>0</v>
          </cell>
          <cell r="O127" t="str">
            <v>4Q15</v>
          </cell>
        </row>
        <row r="135">
          <cell r="M135">
            <v>0</v>
          </cell>
        </row>
        <row r="136">
          <cell r="M136">
            <v>0</v>
          </cell>
        </row>
        <row r="137">
          <cell r="M137">
            <v>0</v>
          </cell>
        </row>
        <row r="138">
          <cell r="M138">
            <v>0</v>
          </cell>
        </row>
        <row r="139">
          <cell r="M139">
            <v>0</v>
          </cell>
        </row>
        <row r="140">
          <cell r="M140">
            <v>0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M154">
            <v>0</v>
          </cell>
        </row>
        <row r="155">
          <cell r="M155">
            <v>0</v>
          </cell>
        </row>
        <row r="156">
          <cell r="M156">
            <v>0</v>
          </cell>
        </row>
        <row r="157">
          <cell r="M157">
            <v>0</v>
          </cell>
        </row>
        <row r="158">
          <cell r="M158">
            <v>0</v>
          </cell>
        </row>
        <row r="159">
          <cell r="M159">
            <v>0</v>
          </cell>
        </row>
        <row r="160">
          <cell r="M160">
            <v>0</v>
          </cell>
        </row>
        <row r="161">
          <cell r="M161">
            <v>0</v>
          </cell>
        </row>
        <row r="162">
          <cell r="M162">
            <v>0</v>
          </cell>
        </row>
        <row r="163">
          <cell r="M163">
            <v>0</v>
          </cell>
        </row>
        <row r="164">
          <cell r="M164">
            <v>0</v>
          </cell>
        </row>
        <row r="165">
          <cell r="M165">
            <v>0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M176">
            <v>0</v>
          </cell>
        </row>
        <row r="177">
          <cell r="M177">
            <v>0</v>
          </cell>
        </row>
        <row r="178">
          <cell r="M178">
            <v>0</v>
          </cell>
        </row>
        <row r="179">
          <cell r="M179">
            <v>0</v>
          </cell>
        </row>
        <row r="180">
          <cell r="M180">
            <v>0</v>
          </cell>
        </row>
        <row r="181">
          <cell r="M181">
            <v>0</v>
          </cell>
        </row>
        <row r="182">
          <cell r="M182">
            <v>0</v>
          </cell>
        </row>
        <row r="183">
          <cell r="M183">
            <v>0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M198">
            <v>0</v>
          </cell>
        </row>
        <row r="199">
          <cell r="M199">
            <v>0</v>
          </cell>
        </row>
        <row r="200">
          <cell r="M200">
            <v>0</v>
          </cell>
        </row>
        <row r="201">
          <cell r="M201">
            <v>0</v>
          </cell>
        </row>
        <row r="202">
          <cell r="M202">
            <v>0</v>
          </cell>
        </row>
        <row r="203">
          <cell r="M203">
            <v>0</v>
          </cell>
        </row>
        <row r="204">
          <cell r="M204">
            <v>0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M220">
            <v>0</v>
          </cell>
        </row>
        <row r="221">
          <cell r="M221">
            <v>0</v>
          </cell>
        </row>
        <row r="222">
          <cell r="M222">
            <v>0</v>
          </cell>
        </row>
        <row r="223">
          <cell r="M223">
            <v>0</v>
          </cell>
        </row>
        <row r="224">
          <cell r="M224">
            <v>0</v>
          </cell>
        </row>
        <row r="225">
          <cell r="M225">
            <v>0</v>
          </cell>
        </row>
        <row r="226">
          <cell r="M226">
            <v>0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M242">
            <v>0</v>
          </cell>
        </row>
        <row r="243">
          <cell r="M243">
            <v>0</v>
          </cell>
        </row>
        <row r="244">
          <cell r="M244">
            <v>0</v>
          </cell>
        </row>
        <row r="245">
          <cell r="M245">
            <v>0</v>
          </cell>
        </row>
        <row r="246">
          <cell r="M246">
            <v>0</v>
          </cell>
        </row>
        <row r="247">
          <cell r="M247">
            <v>0</v>
          </cell>
        </row>
        <row r="248">
          <cell r="M248">
            <v>0</v>
          </cell>
        </row>
        <row r="249">
          <cell r="M249">
            <v>0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62">
          <cell r="E262">
            <v>0</v>
          </cell>
          <cell r="F262">
            <v>0</v>
          </cell>
          <cell r="G262">
            <v>0</v>
          </cell>
          <cell r="H262">
            <v>5000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O262" t="str">
            <v>2Q14</v>
          </cell>
        </row>
        <row r="263">
          <cell r="E263">
            <v>0</v>
          </cell>
          <cell r="F263">
            <v>0</v>
          </cell>
          <cell r="G263">
            <v>0</v>
          </cell>
          <cell r="H263">
            <v>8000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O263" t="str">
            <v>2Q15</v>
          </cell>
        </row>
        <row r="264">
          <cell r="E264">
            <v>0</v>
          </cell>
          <cell r="F264">
            <v>0</v>
          </cell>
          <cell r="G264">
            <v>0</v>
          </cell>
          <cell r="H264">
            <v>750</v>
          </cell>
          <cell r="I264">
            <v>1500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O264" t="str">
            <v>1Q14</v>
          </cell>
        </row>
        <row r="265">
          <cell r="E265">
            <v>0</v>
          </cell>
          <cell r="F265">
            <v>0</v>
          </cell>
          <cell r="G265">
            <v>0</v>
          </cell>
          <cell r="H265">
            <v>750</v>
          </cell>
          <cell r="I265">
            <v>1500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O265" t="str">
            <v>2Q14</v>
          </cell>
        </row>
        <row r="266">
          <cell r="E266">
            <v>0</v>
          </cell>
          <cell r="F266">
            <v>0</v>
          </cell>
          <cell r="G266">
            <v>0</v>
          </cell>
          <cell r="H266">
            <v>1250</v>
          </cell>
          <cell r="I266">
            <v>2000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O266" t="str">
            <v>3Q14</v>
          </cell>
        </row>
        <row r="267">
          <cell r="E267">
            <v>0</v>
          </cell>
          <cell r="F267">
            <v>0</v>
          </cell>
          <cell r="G267">
            <v>0</v>
          </cell>
          <cell r="H267">
            <v>1250</v>
          </cell>
          <cell r="I267">
            <v>2000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O267" t="str">
            <v>4Q14</v>
          </cell>
        </row>
        <row r="268">
          <cell r="E268">
            <v>0</v>
          </cell>
          <cell r="F268">
            <v>0</v>
          </cell>
          <cell r="G268">
            <v>0</v>
          </cell>
          <cell r="H268">
            <v>1000</v>
          </cell>
          <cell r="I268">
            <v>1800</v>
          </cell>
          <cell r="J268">
            <v>0</v>
          </cell>
          <cell r="K268">
            <v>120</v>
          </cell>
          <cell r="L268">
            <v>0</v>
          </cell>
          <cell r="M268">
            <v>0</v>
          </cell>
          <cell r="O268" t="str">
            <v>1Q15</v>
          </cell>
        </row>
        <row r="269">
          <cell r="E269">
            <v>0</v>
          </cell>
          <cell r="F269">
            <v>0</v>
          </cell>
          <cell r="G269">
            <v>0</v>
          </cell>
          <cell r="H269">
            <v>1000</v>
          </cell>
          <cell r="I269">
            <v>1800</v>
          </cell>
          <cell r="J269">
            <v>0</v>
          </cell>
          <cell r="K269">
            <v>180</v>
          </cell>
          <cell r="L269">
            <v>0</v>
          </cell>
          <cell r="M269">
            <v>0</v>
          </cell>
          <cell r="O269" t="str">
            <v>2Q15</v>
          </cell>
        </row>
        <row r="270">
          <cell r="E270">
            <v>0</v>
          </cell>
          <cell r="F270">
            <v>0</v>
          </cell>
          <cell r="G270">
            <v>0</v>
          </cell>
          <cell r="H270">
            <v>1200</v>
          </cell>
          <cell r="I270">
            <v>1800</v>
          </cell>
          <cell r="J270">
            <v>0</v>
          </cell>
          <cell r="K270">
            <v>240</v>
          </cell>
          <cell r="L270">
            <v>0</v>
          </cell>
          <cell r="M270">
            <v>0</v>
          </cell>
          <cell r="O270" t="str">
            <v>3Q15</v>
          </cell>
        </row>
        <row r="271">
          <cell r="E271">
            <v>0</v>
          </cell>
          <cell r="F271">
            <v>0</v>
          </cell>
          <cell r="G271">
            <v>0</v>
          </cell>
          <cell r="H271">
            <v>1200</v>
          </cell>
          <cell r="I271">
            <v>1800</v>
          </cell>
          <cell r="J271">
            <v>0</v>
          </cell>
          <cell r="K271">
            <v>240</v>
          </cell>
          <cell r="L271">
            <v>0</v>
          </cell>
          <cell r="M271">
            <v>0</v>
          </cell>
          <cell r="O271" t="str">
            <v>4Q15</v>
          </cell>
        </row>
        <row r="272">
          <cell r="E272">
            <v>0</v>
          </cell>
          <cell r="F272">
            <v>0</v>
          </cell>
          <cell r="G272">
            <v>0</v>
          </cell>
          <cell r="H272">
            <v>600</v>
          </cell>
          <cell r="I272">
            <v>960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O272" t="str">
            <v>4Q15</v>
          </cell>
        </row>
        <row r="273">
          <cell r="E273">
            <v>0</v>
          </cell>
          <cell r="F273">
            <v>0</v>
          </cell>
          <cell r="G273">
            <v>0</v>
          </cell>
          <cell r="H273">
            <v>750</v>
          </cell>
          <cell r="I273">
            <v>1200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O273" t="str">
            <v>1Q14</v>
          </cell>
        </row>
        <row r="274">
          <cell r="E274">
            <v>0</v>
          </cell>
          <cell r="F274">
            <v>0</v>
          </cell>
          <cell r="G274">
            <v>0</v>
          </cell>
          <cell r="H274">
            <v>750</v>
          </cell>
          <cell r="I274">
            <v>1200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O274" t="str">
            <v>2Q14</v>
          </cell>
        </row>
        <row r="275">
          <cell r="E275">
            <v>0</v>
          </cell>
          <cell r="F275">
            <v>0</v>
          </cell>
          <cell r="G275">
            <v>0</v>
          </cell>
          <cell r="H275">
            <v>1050</v>
          </cell>
          <cell r="I275">
            <v>1500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O275" t="str">
            <v>3Q14</v>
          </cell>
        </row>
        <row r="276">
          <cell r="E276">
            <v>0</v>
          </cell>
          <cell r="F276">
            <v>0</v>
          </cell>
          <cell r="G276">
            <v>0</v>
          </cell>
          <cell r="H276">
            <v>1050</v>
          </cell>
          <cell r="I276">
            <v>1800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O276" t="str">
            <v>4Q14</v>
          </cell>
        </row>
        <row r="277">
          <cell r="E277">
            <v>0</v>
          </cell>
          <cell r="F277">
            <v>0</v>
          </cell>
          <cell r="G277">
            <v>0</v>
          </cell>
          <cell r="H277">
            <v>960</v>
          </cell>
          <cell r="I277">
            <v>1440</v>
          </cell>
          <cell r="J277">
            <v>0</v>
          </cell>
          <cell r="K277">
            <v>360</v>
          </cell>
          <cell r="L277">
            <v>0</v>
          </cell>
          <cell r="M277">
            <v>0</v>
          </cell>
          <cell r="O277" t="str">
            <v>1Q15</v>
          </cell>
        </row>
        <row r="278">
          <cell r="E278">
            <v>0</v>
          </cell>
          <cell r="F278">
            <v>0</v>
          </cell>
          <cell r="G278">
            <v>0</v>
          </cell>
          <cell r="H278">
            <v>1080</v>
          </cell>
          <cell r="I278">
            <v>1440</v>
          </cell>
          <cell r="J278">
            <v>0</v>
          </cell>
          <cell r="K278">
            <v>480</v>
          </cell>
          <cell r="L278">
            <v>0</v>
          </cell>
          <cell r="M278">
            <v>0</v>
          </cell>
          <cell r="O278" t="str">
            <v>2Q15</v>
          </cell>
        </row>
        <row r="279">
          <cell r="E279">
            <v>0</v>
          </cell>
          <cell r="F279">
            <v>0</v>
          </cell>
          <cell r="G279">
            <v>0</v>
          </cell>
          <cell r="H279">
            <v>1080</v>
          </cell>
          <cell r="I279">
            <v>1440</v>
          </cell>
          <cell r="J279">
            <v>0</v>
          </cell>
          <cell r="K279">
            <v>480</v>
          </cell>
          <cell r="L279">
            <v>0</v>
          </cell>
          <cell r="M279">
            <v>0</v>
          </cell>
          <cell r="O279" t="str">
            <v>3Q15</v>
          </cell>
        </row>
        <row r="280">
          <cell r="E280">
            <v>0</v>
          </cell>
          <cell r="F280">
            <v>0</v>
          </cell>
          <cell r="G280">
            <v>0</v>
          </cell>
          <cell r="H280">
            <v>1080</v>
          </cell>
          <cell r="I280">
            <v>1440</v>
          </cell>
          <cell r="J280">
            <v>0</v>
          </cell>
          <cell r="K280">
            <v>480</v>
          </cell>
          <cell r="L280">
            <v>0</v>
          </cell>
          <cell r="M280">
            <v>0</v>
          </cell>
          <cell r="O280" t="str">
            <v>4Q15</v>
          </cell>
        </row>
        <row r="281">
          <cell r="E281">
            <v>1500</v>
          </cell>
          <cell r="F281">
            <v>150</v>
          </cell>
          <cell r="G281">
            <v>0</v>
          </cell>
          <cell r="H281">
            <v>4500</v>
          </cell>
          <cell r="I281">
            <v>6000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O281" t="str">
            <v>1Q14</v>
          </cell>
        </row>
        <row r="282">
          <cell r="E282">
            <v>1500</v>
          </cell>
          <cell r="F282">
            <v>150</v>
          </cell>
          <cell r="G282">
            <v>0</v>
          </cell>
          <cell r="H282">
            <v>5000</v>
          </cell>
          <cell r="I282">
            <v>6000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O282" t="str">
            <v>2Q14</v>
          </cell>
        </row>
        <row r="283">
          <cell r="E283">
            <v>2250</v>
          </cell>
          <cell r="F283">
            <v>250</v>
          </cell>
          <cell r="G283">
            <v>0</v>
          </cell>
          <cell r="H283">
            <v>6000</v>
          </cell>
          <cell r="I283">
            <v>6750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O283" t="str">
            <v>3Q14</v>
          </cell>
        </row>
        <row r="284">
          <cell r="E284">
            <v>2500</v>
          </cell>
          <cell r="F284">
            <v>300</v>
          </cell>
          <cell r="G284">
            <v>0</v>
          </cell>
          <cell r="H284">
            <v>6750</v>
          </cell>
          <cell r="I284">
            <v>7500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O284" t="str">
            <v>4Q14</v>
          </cell>
        </row>
        <row r="285">
          <cell r="E285">
            <v>2400</v>
          </cell>
          <cell r="F285">
            <v>300</v>
          </cell>
          <cell r="G285">
            <v>0</v>
          </cell>
          <cell r="H285">
            <v>6000</v>
          </cell>
          <cell r="I285">
            <v>6600</v>
          </cell>
          <cell r="J285">
            <v>0</v>
          </cell>
          <cell r="K285">
            <v>480</v>
          </cell>
          <cell r="L285">
            <v>0</v>
          </cell>
          <cell r="M285">
            <v>0</v>
          </cell>
          <cell r="O285" t="str">
            <v>1Q15</v>
          </cell>
        </row>
        <row r="286">
          <cell r="E286">
            <v>3000</v>
          </cell>
          <cell r="F286">
            <v>360</v>
          </cell>
          <cell r="G286">
            <v>0</v>
          </cell>
          <cell r="H286">
            <v>6600</v>
          </cell>
          <cell r="I286">
            <v>7200</v>
          </cell>
          <cell r="J286">
            <v>0</v>
          </cell>
          <cell r="K286">
            <v>480</v>
          </cell>
          <cell r="L286">
            <v>0</v>
          </cell>
          <cell r="M286">
            <v>0</v>
          </cell>
          <cell r="O286" t="str">
            <v>2Q15</v>
          </cell>
        </row>
        <row r="287">
          <cell r="E287">
            <v>3000</v>
          </cell>
          <cell r="F287">
            <v>360</v>
          </cell>
          <cell r="G287">
            <v>0</v>
          </cell>
          <cell r="H287">
            <v>7000</v>
          </cell>
          <cell r="I287">
            <v>7800</v>
          </cell>
          <cell r="J287">
            <v>0</v>
          </cell>
          <cell r="K287">
            <v>600</v>
          </cell>
          <cell r="L287">
            <v>0</v>
          </cell>
          <cell r="M287">
            <v>0</v>
          </cell>
          <cell r="O287" t="str">
            <v>3Q15</v>
          </cell>
        </row>
        <row r="288">
          <cell r="E288">
            <v>3000</v>
          </cell>
          <cell r="F288">
            <v>400</v>
          </cell>
          <cell r="G288">
            <v>0</v>
          </cell>
          <cell r="H288">
            <v>7600</v>
          </cell>
          <cell r="I288">
            <v>840</v>
          </cell>
          <cell r="J288">
            <v>0</v>
          </cell>
          <cell r="K288">
            <v>600</v>
          </cell>
          <cell r="L288">
            <v>0</v>
          </cell>
          <cell r="M288">
            <v>0</v>
          </cell>
          <cell r="O288" t="str">
            <v>4Q15</v>
          </cell>
        </row>
        <row r="289">
          <cell r="E289">
            <v>0</v>
          </cell>
          <cell r="F289">
            <v>0</v>
          </cell>
          <cell r="G289">
            <v>0</v>
          </cell>
          <cell r="H289">
            <v>500</v>
          </cell>
          <cell r="I289">
            <v>750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O289" t="str">
            <v>1Q14</v>
          </cell>
        </row>
        <row r="290">
          <cell r="E290">
            <v>0</v>
          </cell>
          <cell r="F290">
            <v>0</v>
          </cell>
          <cell r="G290">
            <v>0</v>
          </cell>
          <cell r="H290">
            <v>500</v>
          </cell>
          <cell r="I290">
            <v>750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O290" t="str">
            <v>2Q14</v>
          </cell>
        </row>
        <row r="291">
          <cell r="E291">
            <v>0</v>
          </cell>
          <cell r="F291">
            <v>0</v>
          </cell>
          <cell r="G291">
            <v>0</v>
          </cell>
          <cell r="H291">
            <v>600</v>
          </cell>
          <cell r="I291">
            <v>750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O291" t="str">
            <v>3Q14</v>
          </cell>
        </row>
        <row r="292">
          <cell r="E292">
            <v>0</v>
          </cell>
          <cell r="F292">
            <v>0</v>
          </cell>
          <cell r="G292">
            <v>0</v>
          </cell>
          <cell r="H292">
            <v>750</v>
          </cell>
          <cell r="I292">
            <v>900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O292" t="str">
            <v>4Q14</v>
          </cell>
        </row>
        <row r="293">
          <cell r="E293">
            <v>0</v>
          </cell>
          <cell r="F293">
            <v>0</v>
          </cell>
          <cell r="G293">
            <v>0</v>
          </cell>
          <cell r="H293">
            <v>840</v>
          </cell>
          <cell r="I293">
            <v>960</v>
          </cell>
          <cell r="J293">
            <v>0</v>
          </cell>
          <cell r="K293">
            <v>180</v>
          </cell>
          <cell r="L293">
            <v>0</v>
          </cell>
          <cell r="M293">
            <v>0</v>
          </cell>
          <cell r="O293" t="str">
            <v>1Q15</v>
          </cell>
        </row>
        <row r="294">
          <cell r="E294">
            <v>0</v>
          </cell>
          <cell r="F294">
            <v>0</v>
          </cell>
          <cell r="G294">
            <v>0</v>
          </cell>
          <cell r="H294">
            <v>840</v>
          </cell>
          <cell r="I294">
            <v>960</v>
          </cell>
          <cell r="J294">
            <v>0</v>
          </cell>
          <cell r="K294">
            <v>180</v>
          </cell>
          <cell r="L294">
            <v>0</v>
          </cell>
          <cell r="M294">
            <v>0</v>
          </cell>
          <cell r="O294" t="str">
            <v>2Q15</v>
          </cell>
        </row>
        <row r="295">
          <cell r="E295">
            <v>0</v>
          </cell>
          <cell r="F295">
            <v>0</v>
          </cell>
          <cell r="G295">
            <v>0</v>
          </cell>
          <cell r="H295">
            <v>840</v>
          </cell>
          <cell r="I295">
            <v>960</v>
          </cell>
          <cell r="J295">
            <v>0</v>
          </cell>
          <cell r="K295">
            <v>180</v>
          </cell>
          <cell r="L295">
            <v>0</v>
          </cell>
          <cell r="M295">
            <v>0</v>
          </cell>
          <cell r="O295" t="str">
            <v>3Q15</v>
          </cell>
        </row>
        <row r="296">
          <cell r="E296">
            <v>0</v>
          </cell>
          <cell r="F296">
            <v>0</v>
          </cell>
          <cell r="G296">
            <v>0</v>
          </cell>
          <cell r="H296">
            <v>840</v>
          </cell>
          <cell r="I296">
            <v>960</v>
          </cell>
          <cell r="J296">
            <v>0</v>
          </cell>
          <cell r="K296">
            <v>180</v>
          </cell>
          <cell r="L296">
            <v>0</v>
          </cell>
          <cell r="M296">
            <v>0</v>
          </cell>
          <cell r="O296" t="str">
            <v>4Q15</v>
          </cell>
        </row>
        <row r="297">
          <cell r="E297">
            <v>2250</v>
          </cell>
          <cell r="F297">
            <v>0</v>
          </cell>
          <cell r="G297">
            <v>0</v>
          </cell>
          <cell r="H297">
            <v>1500</v>
          </cell>
          <cell r="I297">
            <v>2250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O297" t="str">
            <v>1Q14</v>
          </cell>
        </row>
        <row r="298">
          <cell r="E298">
            <v>4500</v>
          </cell>
          <cell r="F298">
            <v>0</v>
          </cell>
          <cell r="G298">
            <v>0</v>
          </cell>
          <cell r="H298">
            <v>4500</v>
          </cell>
          <cell r="I298">
            <v>7500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O298" t="str">
            <v>2Q14</v>
          </cell>
        </row>
        <row r="299">
          <cell r="E299">
            <v>7500</v>
          </cell>
          <cell r="F299">
            <v>0</v>
          </cell>
          <cell r="G299">
            <v>0</v>
          </cell>
          <cell r="H299">
            <v>6000</v>
          </cell>
          <cell r="I299">
            <v>10500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O299" t="str">
            <v>3Q14</v>
          </cell>
        </row>
        <row r="300">
          <cell r="E300">
            <v>12000</v>
          </cell>
          <cell r="F300">
            <v>0</v>
          </cell>
          <cell r="G300">
            <v>0</v>
          </cell>
          <cell r="H300">
            <v>9000</v>
          </cell>
          <cell r="I300">
            <v>15000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O300" t="str">
            <v>4Q14</v>
          </cell>
        </row>
        <row r="301">
          <cell r="E301">
            <v>14400</v>
          </cell>
          <cell r="F301">
            <v>0</v>
          </cell>
          <cell r="G301">
            <v>0</v>
          </cell>
          <cell r="H301">
            <v>12000</v>
          </cell>
          <cell r="I301">
            <v>18000</v>
          </cell>
          <cell r="J301">
            <v>0</v>
          </cell>
          <cell r="K301">
            <v>960</v>
          </cell>
          <cell r="L301">
            <v>0</v>
          </cell>
          <cell r="M301">
            <v>0</v>
          </cell>
          <cell r="O301" t="str">
            <v>1Q15</v>
          </cell>
        </row>
        <row r="302">
          <cell r="E302">
            <v>18000</v>
          </cell>
          <cell r="F302">
            <v>0</v>
          </cell>
          <cell r="G302">
            <v>0</v>
          </cell>
          <cell r="H302">
            <v>18000</v>
          </cell>
          <cell r="I302">
            <v>24000</v>
          </cell>
          <cell r="J302">
            <v>0</v>
          </cell>
          <cell r="K302">
            <v>1800</v>
          </cell>
          <cell r="L302">
            <v>0</v>
          </cell>
          <cell r="M302">
            <v>0</v>
          </cell>
          <cell r="O302" t="str">
            <v>2Q15</v>
          </cell>
        </row>
        <row r="303">
          <cell r="E303">
            <v>24000</v>
          </cell>
          <cell r="F303">
            <v>0</v>
          </cell>
          <cell r="G303">
            <v>0</v>
          </cell>
          <cell r="H303">
            <v>24000</v>
          </cell>
          <cell r="I303">
            <v>30000</v>
          </cell>
          <cell r="J303">
            <v>0</v>
          </cell>
          <cell r="K303">
            <v>2400</v>
          </cell>
          <cell r="L303">
            <v>0</v>
          </cell>
          <cell r="M303">
            <v>0</v>
          </cell>
          <cell r="O303" t="str">
            <v>3Q15</v>
          </cell>
        </row>
        <row r="304">
          <cell r="E304">
            <v>30000</v>
          </cell>
          <cell r="F304">
            <v>0</v>
          </cell>
          <cell r="G304">
            <v>0</v>
          </cell>
          <cell r="H304">
            <v>30000</v>
          </cell>
          <cell r="I304">
            <v>36000</v>
          </cell>
          <cell r="J304">
            <v>0</v>
          </cell>
          <cell r="K304">
            <v>3000</v>
          </cell>
          <cell r="L304">
            <v>0</v>
          </cell>
          <cell r="M304">
            <v>0</v>
          </cell>
          <cell r="O304" t="str">
            <v>4Q15</v>
          </cell>
        </row>
        <row r="305">
          <cell r="E305">
            <v>0</v>
          </cell>
          <cell r="F305">
            <v>0</v>
          </cell>
          <cell r="G305">
            <v>0</v>
          </cell>
          <cell r="H305">
            <v>2250</v>
          </cell>
          <cell r="I305">
            <v>4500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O305" t="str">
            <v>1Q14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2250</v>
          </cell>
          <cell r="I306">
            <v>4500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O306" t="str">
            <v>2Q14</v>
          </cell>
        </row>
        <row r="307">
          <cell r="E307">
            <v>0</v>
          </cell>
          <cell r="F307">
            <v>0</v>
          </cell>
          <cell r="G307">
            <v>0</v>
          </cell>
          <cell r="H307">
            <v>2750</v>
          </cell>
          <cell r="I307">
            <v>5000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O307" t="str">
            <v>3Q14</v>
          </cell>
        </row>
        <row r="308">
          <cell r="E308">
            <v>0</v>
          </cell>
          <cell r="F308">
            <v>0</v>
          </cell>
          <cell r="G308">
            <v>0</v>
          </cell>
          <cell r="H308">
            <v>2750</v>
          </cell>
          <cell r="I308">
            <v>5500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O308" t="str">
            <v>4Q14</v>
          </cell>
        </row>
        <row r="309">
          <cell r="E309">
            <v>0</v>
          </cell>
          <cell r="F309">
            <v>0</v>
          </cell>
          <cell r="G309">
            <v>0</v>
          </cell>
          <cell r="H309">
            <v>2400</v>
          </cell>
          <cell r="I309">
            <v>4800</v>
          </cell>
          <cell r="J309">
            <v>0</v>
          </cell>
          <cell r="K309">
            <v>240</v>
          </cell>
          <cell r="L309">
            <v>0</v>
          </cell>
          <cell r="M309">
            <v>0</v>
          </cell>
          <cell r="O309" t="str">
            <v>1Q15</v>
          </cell>
        </row>
        <row r="310">
          <cell r="E310">
            <v>0</v>
          </cell>
          <cell r="F310">
            <v>0</v>
          </cell>
          <cell r="G310">
            <v>0</v>
          </cell>
          <cell r="H310">
            <v>2600</v>
          </cell>
          <cell r="I310">
            <v>4800</v>
          </cell>
          <cell r="J310">
            <v>0</v>
          </cell>
          <cell r="K310">
            <v>300</v>
          </cell>
          <cell r="L310">
            <v>0</v>
          </cell>
          <cell r="M310">
            <v>0</v>
          </cell>
          <cell r="O310" t="str">
            <v>2Q15</v>
          </cell>
        </row>
        <row r="311">
          <cell r="E311">
            <v>0</v>
          </cell>
          <cell r="F311">
            <v>0</v>
          </cell>
          <cell r="G311">
            <v>0</v>
          </cell>
          <cell r="H311">
            <v>2600</v>
          </cell>
          <cell r="I311">
            <v>4800</v>
          </cell>
          <cell r="J311">
            <v>0</v>
          </cell>
          <cell r="K311">
            <v>360</v>
          </cell>
          <cell r="L311">
            <v>0</v>
          </cell>
          <cell r="M311">
            <v>0</v>
          </cell>
          <cell r="O311" t="str">
            <v>3Q15</v>
          </cell>
        </row>
        <row r="312">
          <cell r="E312">
            <v>0</v>
          </cell>
          <cell r="F312">
            <v>0</v>
          </cell>
          <cell r="G312">
            <v>0</v>
          </cell>
          <cell r="H312">
            <v>2600</v>
          </cell>
          <cell r="I312">
            <v>4800</v>
          </cell>
          <cell r="J312">
            <v>0</v>
          </cell>
          <cell r="K312">
            <v>360</v>
          </cell>
          <cell r="L312">
            <v>0</v>
          </cell>
          <cell r="M312">
            <v>0</v>
          </cell>
          <cell r="O312" t="str">
            <v>4Q15</v>
          </cell>
        </row>
        <row r="313">
          <cell r="E313">
            <v>3000</v>
          </cell>
          <cell r="F313">
            <v>0</v>
          </cell>
          <cell r="G313">
            <v>0</v>
          </cell>
          <cell r="H313">
            <v>1500</v>
          </cell>
          <cell r="I313">
            <v>1500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O313" t="str">
            <v>1Q14</v>
          </cell>
        </row>
        <row r="314">
          <cell r="E314">
            <v>4500</v>
          </cell>
          <cell r="F314">
            <v>0</v>
          </cell>
          <cell r="G314">
            <v>0</v>
          </cell>
          <cell r="H314">
            <v>1500</v>
          </cell>
          <cell r="I314">
            <v>2250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O314" t="str">
            <v>2Q14</v>
          </cell>
        </row>
        <row r="315">
          <cell r="E315">
            <v>4500</v>
          </cell>
          <cell r="F315">
            <v>0</v>
          </cell>
          <cell r="G315">
            <v>0</v>
          </cell>
          <cell r="H315">
            <v>2000</v>
          </cell>
          <cell r="I315">
            <v>2750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O315" t="str">
            <v>3Q14</v>
          </cell>
        </row>
        <row r="316">
          <cell r="E316">
            <v>4500</v>
          </cell>
          <cell r="F316">
            <v>0</v>
          </cell>
          <cell r="G316">
            <v>0</v>
          </cell>
          <cell r="H316">
            <v>2250</v>
          </cell>
          <cell r="I316">
            <v>3000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O316" t="str">
            <v>4Q14</v>
          </cell>
        </row>
        <row r="317">
          <cell r="E317">
            <v>4800</v>
          </cell>
          <cell r="F317">
            <v>0</v>
          </cell>
          <cell r="G317">
            <v>0</v>
          </cell>
          <cell r="H317">
            <v>2200</v>
          </cell>
          <cell r="I317">
            <v>3000</v>
          </cell>
          <cell r="J317">
            <v>0</v>
          </cell>
          <cell r="K317">
            <v>300</v>
          </cell>
          <cell r="L317">
            <v>0</v>
          </cell>
          <cell r="M317">
            <v>0</v>
          </cell>
          <cell r="O317" t="str">
            <v>1Q15</v>
          </cell>
        </row>
        <row r="318">
          <cell r="E318">
            <v>5400</v>
          </cell>
          <cell r="F318">
            <v>0</v>
          </cell>
          <cell r="G318">
            <v>0</v>
          </cell>
          <cell r="H318">
            <v>2400</v>
          </cell>
          <cell r="I318">
            <v>3000</v>
          </cell>
          <cell r="J318">
            <v>0</v>
          </cell>
          <cell r="K318">
            <v>360</v>
          </cell>
          <cell r="L318">
            <v>0</v>
          </cell>
          <cell r="M318">
            <v>0</v>
          </cell>
          <cell r="O318" t="str">
            <v>2Q15</v>
          </cell>
        </row>
        <row r="319">
          <cell r="E319">
            <v>6000</v>
          </cell>
          <cell r="F319">
            <v>0</v>
          </cell>
          <cell r="G319">
            <v>0</v>
          </cell>
          <cell r="H319">
            <v>2600</v>
          </cell>
          <cell r="I319">
            <v>3200</v>
          </cell>
          <cell r="J319">
            <v>0</v>
          </cell>
          <cell r="K319">
            <v>400</v>
          </cell>
          <cell r="L319">
            <v>0</v>
          </cell>
          <cell r="M319">
            <v>0</v>
          </cell>
          <cell r="O319" t="str">
            <v>3Q15</v>
          </cell>
        </row>
        <row r="320">
          <cell r="E320">
            <v>6000</v>
          </cell>
          <cell r="F320">
            <v>0</v>
          </cell>
          <cell r="G320">
            <v>0</v>
          </cell>
          <cell r="H320">
            <v>2800</v>
          </cell>
          <cell r="I320">
            <v>3400</v>
          </cell>
          <cell r="J320">
            <v>0</v>
          </cell>
          <cell r="K320">
            <v>480</v>
          </cell>
          <cell r="L320">
            <v>0</v>
          </cell>
          <cell r="M320">
            <v>0</v>
          </cell>
          <cell r="O320" t="str">
            <v>4Q15</v>
          </cell>
        </row>
        <row r="321">
          <cell r="E321">
            <v>1500</v>
          </cell>
          <cell r="F321">
            <v>0</v>
          </cell>
          <cell r="G321">
            <v>0</v>
          </cell>
          <cell r="H321">
            <v>1500</v>
          </cell>
          <cell r="I321">
            <v>1500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O321" t="str">
            <v>1Q14</v>
          </cell>
        </row>
        <row r="322">
          <cell r="E322">
            <v>1500</v>
          </cell>
          <cell r="F322">
            <v>0</v>
          </cell>
          <cell r="G322">
            <v>0</v>
          </cell>
          <cell r="H322">
            <v>1500</v>
          </cell>
          <cell r="I322">
            <v>1500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O322" t="str">
            <v>2Q14</v>
          </cell>
        </row>
        <row r="323">
          <cell r="E323">
            <v>2250</v>
          </cell>
          <cell r="F323">
            <v>0</v>
          </cell>
          <cell r="G323">
            <v>0</v>
          </cell>
          <cell r="H323">
            <v>2250</v>
          </cell>
          <cell r="I323">
            <v>2250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O323" t="str">
            <v>3Q14</v>
          </cell>
        </row>
        <row r="324">
          <cell r="E324">
            <v>2250</v>
          </cell>
          <cell r="F324">
            <v>0</v>
          </cell>
          <cell r="G324">
            <v>0</v>
          </cell>
          <cell r="H324">
            <v>2250</v>
          </cell>
          <cell r="I324">
            <v>2250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O324" t="str">
            <v>4Q14</v>
          </cell>
        </row>
        <row r="325">
          <cell r="E325">
            <v>1800</v>
          </cell>
          <cell r="F325">
            <v>0</v>
          </cell>
          <cell r="G325">
            <v>0</v>
          </cell>
          <cell r="H325">
            <v>1800</v>
          </cell>
          <cell r="I325">
            <v>1800</v>
          </cell>
          <cell r="J325">
            <v>0</v>
          </cell>
          <cell r="K325">
            <v>360</v>
          </cell>
          <cell r="L325">
            <v>0</v>
          </cell>
          <cell r="M325">
            <v>0</v>
          </cell>
          <cell r="O325" t="str">
            <v>1Q15</v>
          </cell>
        </row>
        <row r="326">
          <cell r="E326">
            <v>2400</v>
          </cell>
          <cell r="F326">
            <v>0</v>
          </cell>
          <cell r="G326">
            <v>0</v>
          </cell>
          <cell r="H326">
            <v>2400</v>
          </cell>
          <cell r="I326">
            <v>2400</v>
          </cell>
          <cell r="J326">
            <v>0</v>
          </cell>
          <cell r="K326">
            <v>360</v>
          </cell>
          <cell r="L326">
            <v>0</v>
          </cell>
          <cell r="M326">
            <v>0</v>
          </cell>
          <cell r="O326" t="str">
            <v>2Q15</v>
          </cell>
        </row>
        <row r="327">
          <cell r="E327">
            <v>2400</v>
          </cell>
          <cell r="F327">
            <v>0</v>
          </cell>
          <cell r="G327">
            <v>0</v>
          </cell>
          <cell r="H327">
            <v>2400</v>
          </cell>
          <cell r="I327">
            <v>2400</v>
          </cell>
          <cell r="J327">
            <v>0</v>
          </cell>
          <cell r="K327">
            <v>480</v>
          </cell>
          <cell r="L327">
            <v>0</v>
          </cell>
          <cell r="M327">
            <v>0</v>
          </cell>
          <cell r="O327" t="str">
            <v>3Q15</v>
          </cell>
        </row>
        <row r="328">
          <cell r="E328">
            <v>2400</v>
          </cell>
          <cell r="F328">
            <v>0</v>
          </cell>
          <cell r="G328">
            <v>0</v>
          </cell>
          <cell r="H328">
            <v>2400</v>
          </cell>
          <cell r="I328">
            <v>2400</v>
          </cell>
          <cell r="J328">
            <v>0</v>
          </cell>
          <cell r="K328">
            <v>480</v>
          </cell>
          <cell r="L328">
            <v>0</v>
          </cell>
          <cell r="M328">
            <v>0</v>
          </cell>
          <cell r="O328" t="str">
            <v>4Q15</v>
          </cell>
        </row>
        <row r="329">
          <cell r="E329">
            <v>0</v>
          </cell>
          <cell r="F329">
            <v>0</v>
          </cell>
          <cell r="G329">
            <v>0</v>
          </cell>
          <cell r="H329">
            <v>25000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O329" t="str">
            <v>4Q14</v>
          </cell>
        </row>
        <row r="330">
          <cell r="E330">
            <v>0</v>
          </cell>
          <cell r="F330">
            <v>0</v>
          </cell>
          <cell r="G330">
            <v>0</v>
          </cell>
          <cell r="H330">
            <v>20000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O330" t="str">
            <v>4Q15</v>
          </cell>
        </row>
        <row r="331">
          <cell r="E331">
            <v>0</v>
          </cell>
          <cell r="F331">
            <v>0</v>
          </cell>
          <cell r="G331">
            <v>0</v>
          </cell>
          <cell r="H331">
            <v>750</v>
          </cell>
          <cell r="I331">
            <v>1200</v>
          </cell>
          <cell r="J331">
            <v>0</v>
          </cell>
          <cell r="K331">
            <v>0</v>
          </cell>
          <cell r="L331">
            <v>0</v>
          </cell>
          <cell r="M331">
            <v>7500</v>
          </cell>
          <cell r="O331" t="str">
            <v>1Q14</v>
          </cell>
        </row>
        <row r="332">
          <cell r="E332">
            <v>0</v>
          </cell>
          <cell r="F332">
            <v>0</v>
          </cell>
          <cell r="G332">
            <v>0</v>
          </cell>
          <cell r="H332">
            <v>750</v>
          </cell>
          <cell r="I332">
            <v>1500</v>
          </cell>
          <cell r="J332">
            <v>0</v>
          </cell>
          <cell r="K332">
            <v>0</v>
          </cell>
          <cell r="L332">
            <v>0</v>
          </cell>
          <cell r="M332">
            <v>10500</v>
          </cell>
          <cell r="O332" t="str">
            <v>2Q14</v>
          </cell>
        </row>
        <row r="333">
          <cell r="E333">
            <v>0</v>
          </cell>
          <cell r="F333">
            <v>0</v>
          </cell>
          <cell r="G333">
            <v>0</v>
          </cell>
          <cell r="H333">
            <v>900</v>
          </cell>
          <cell r="I333">
            <v>1950</v>
          </cell>
          <cell r="J333">
            <v>0</v>
          </cell>
          <cell r="K333">
            <v>0</v>
          </cell>
          <cell r="L333">
            <v>0</v>
          </cell>
          <cell r="M333">
            <v>10500</v>
          </cell>
          <cell r="O333" t="str">
            <v>3Q14</v>
          </cell>
        </row>
        <row r="334">
          <cell r="E334">
            <v>0</v>
          </cell>
          <cell r="F334">
            <v>0</v>
          </cell>
          <cell r="G334">
            <v>0</v>
          </cell>
          <cell r="H334">
            <v>1200</v>
          </cell>
          <cell r="I334">
            <v>2250</v>
          </cell>
          <cell r="J334">
            <v>0</v>
          </cell>
          <cell r="K334">
            <v>0</v>
          </cell>
          <cell r="L334">
            <v>0</v>
          </cell>
          <cell r="M334">
            <v>15000</v>
          </cell>
          <cell r="O334" t="str">
            <v>4Q14</v>
          </cell>
        </row>
        <row r="335">
          <cell r="E335">
            <v>0</v>
          </cell>
          <cell r="F335">
            <v>0</v>
          </cell>
          <cell r="G335">
            <v>0</v>
          </cell>
          <cell r="H335">
            <v>1200</v>
          </cell>
          <cell r="I335">
            <v>2400</v>
          </cell>
          <cell r="J335">
            <v>0</v>
          </cell>
          <cell r="K335">
            <v>240</v>
          </cell>
          <cell r="L335">
            <v>0</v>
          </cell>
          <cell r="M335">
            <v>12000</v>
          </cell>
          <cell r="O335" t="str">
            <v>1Q15</v>
          </cell>
        </row>
        <row r="336">
          <cell r="E336">
            <v>0</v>
          </cell>
          <cell r="F336">
            <v>0</v>
          </cell>
          <cell r="G336">
            <v>0</v>
          </cell>
          <cell r="H336">
            <v>1200</v>
          </cell>
          <cell r="I336">
            <v>2400</v>
          </cell>
          <cell r="J336">
            <v>0</v>
          </cell>
          <cell r="K336">
            <v>240</v>
          </cell>
          <cell r="L336">
            <v>0</v>
          </cell>
          <cell r="M336">
            <v>18000</v>
          </cell>
          <cell r="O336" t="str">
            <v>2Q15</v>
          </cell>
        </row>
        <row r="337">
          <cell r="E337">
            <v>0</v>
          </cell>
          <cell r="F337">
            <v>0</v>
          </cell>
          <cell r="G337">
            <v>0</v>
          </cell>
          <cell r="H337">
            <v>1200</v>
          </cell>
          <cell r="I337">
            <v>2400</v>
          </cell>
          <cell r="J337">
            <v>0</v>
          </cell>
          <cell r="K337">
            <v>300</v>
          </cell>
          <cell r="L337">
            <v>0</v>
          </cell>
          <cell r="M337">
            <v>18000</v>
          </cell>
          <cell r="O337" t="str">
            <v>3Q15</v>
          </cell>
        </row>
        <row r="338">
          <cell r="E338">
            <v>0</v>
          </cell>
          <cell r="F338">
            <v>0</v>
          </cell>
          <cell r="G338">
            <v>0</v>
          </cell>
          <cell r="H338">
            <v>1600</v>
          </cell>
          <cell r="I338">
            <v>3000</v>
          </cell>
          <cell r="J338">
            <v>0</v>
          </cell>
          <cell r="K338">
            <v>300</v>
          </cell>
          <cell r="L338">
            <v>0</v>
          </cell>
          <cell r="M338">
            <v>18000</v>
          </cell>
          <cell r="O338" t="str">
            <v>4Q15</v>
          </cell>
        </row>
        <row r="339">
          <cell r="E339">
            <v>3000</v>
          </cell>
          <cell r="F339">
            <v>0</v>
          </cell>
          <cell r="G339">
            <v>0</v>
          </cell>
          <cell r="H339">
            <v>1500</v>
          </cell>
          <cell r="I339">
            <v>2250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O339" t="str">
            <v>1Q14</v>
          </cell>
        </row>
        <row r="340">
          <cell r="E340">
            <v>3000</v>
          </cell>
          <cell r="F340">
            <v>0</v>
          </cell>
          <cell r="G340">
            <v>0</v>
          </cell>
          <cell r="H340">
            <v>2000</v>
          </cell>
          <cell r="I340">
            <v>2750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O340" t="str">
            <v>2Q14</v>
          </cell>
        </row>
        <row r="341">
          <cell r="E341">
            <v>4000</v>
          </cell>
          <cell r="F341">
            <v>0</v>
          </cell>
          <cell r="G341">
            <v>0</v>
          </cell>
          <cell r="H341">
            <v>2500</v>
          </cell>
          <cell r="I341">
            <v>3250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O341" t="str">
            <v>3Q14</v>
          </cell>
        </row>
        <row r="342">
          <cell r="E342">
            <v>4500</v>
          </cell>
          <cell r="F342">
            <v>0</v>
          </cell>
          <cell r="G342">
            <v>0</v>
          </cell>
          <cell r="H342">
            <v>3000</v>
          </cell>
          <cell r="I342">
            <v>3750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O342" t="str">
            <v>4Q14</v>
          </cell>
        </row>
        <row r="343">
          <cell r="E343">
            <v>4200</v>
          </cell>
          <cell r="F343">
            <v>0</v>
          </cell>
          <cell r="G343">
            <v>0</v>
          </cell>
          <cell r="H343">
            <v>3000</v>
          </cell>
          <cell r="I343">
            <v>3600</v>
          </cell>
          <cell r="J343">
            <v>0</v>
          </cell>
          <cell r="K343">
            <v>400</v>
          </cell>
          <cell r="L343">
            <v>0</v>
          </cell>
          <cell r="M343">
            <v>0</v>
          </cell>
          <cell r="O343" t="str">
            <v>1Q15</v>
          </cell>
        </row>
        <row r="344">
          <cell r="E344">
            <v>4800</v>
          </cell>
          <cell r="F344">
            <v>0</v>
          </cell>
          <cell r="G344">
            <v>0</v>
          </cell>
          <cell r="H344">
            <v>3600</v>
          </cell>
          <cell r="I344">
            <v>4200</v>
          </cell>
          <cell r="J344">
            <v>0</v>
          </cell>
          <cell r="K344">
            <v>480</v>
          </cell>
          <cell r="L344">
            <v>0</v>
          </cell>
          <cell r="M344">
            <v>0</v>
          </cell>
          <cell r="O344" t="str">
            <v>2Q15</v>
          </cell>
        </row>
        <row r="345">
          <cell r="E345">
            <v>5400</v>
          </cell>
          <cell r="F345">
            <v>0</v>
          </cell>
          <cell r="G345">
            <v>0</v>
          </cell>
          <cell r="H345">
            <v>4000</v>
          </cell>
          <cell r="I345">
            <v>4800</v>
          </cell>
          <cell r="J345">
            <v>0</v>
          </cell>
          <cell r="K345">
            <v>500</v>
          </cell>
          <cell r="L345">
            <v>0</v>
          </cell>
          <cell r="M345">
            <v>0</v>
          </cell>
          <cell r="O345" t="str">
            <v>3Q15</v>
          </cell>
        </row>
        <row r="346">
          <cell r="E346">
            <v>6000</v>
          </cell>
          <cell r="F346">
            <v>0</v>
          </cell>
          <cell r="G346">
            <v>0</v>
          </cell>
          <cell r="H346">
            <v>4400</v>
          </cell>
          <cell r="I346">
            <v>5200</v>
          </cell>
          <cell r="J346">
            <v>0</v>
          </cell>
          <cell r="K346">
            <v>560</v>
          </cell>
          <cell r="L346">
            <v>0</v>
          </cell>
          <cell r="M346">
            <v>0</v>
          </cell>
          <cell r="O346" t="str">
            <v>4Q15</v>
          </cell>
        </row>
        <row r="347">
          <cell r="E347">
            <v>9000</v>
          </cell>
          <cell r="F347">
            <v>750</v>
          </cell>
          <cell r="G347">
            <v>0</v>
          </cell>
          <cell r="H347">
            <v>3750</v>
          </cell>
          <cell r="I347">
            <v>4500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O347" t="str">
            <v>1Q14</v>
          </cell>
        </row>
        <row r="348">
          <cell r="E348">
            <v>10500</v>
          </cell>
          <cell r="F348">
            <v>750</v>
          </cell>
          <cell r="G348">
            <v>0</v>
          </cell>
          <cell r="H348">
            <v>4500</v>
          </cell>
          <cell r="I348">
            <v>4500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O348" t="str">
            <v>2Q14</v>
          </cell>
        </row>
        <row r="349">
          <cell r="E349">
            <v>12000</v>
          </cell>
          <cell r="F349">
            <v>750</v>
          </cell>
          <cell r="G349">
            <v>0</v>
          </cell>
          <cell r="H349">
            <v>5250</v>
          </cell>
          <cell r="I349">
            <v>5250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O349" t="str">
            <v>3Q14</v>
          </cell>
        </row>
        <row r="350">
          <cell r="E350">
            <v>13500</v>
          </cell>
          <cell r="F350">
            <v>750</v>
          </cell>
          <cell r="G350">
            <v>0</v>
          </cell>
          <cell r="H350">
            <v>5750</v>
          </cell>
          <cell r="I350">
            <v>6000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O350" t="str">
            <v>4Q14</v>
          </cell>
        </row>
        <row r="351">
          <cell r="E351">
            <v>12000</v>
          </cell>
          <cell r="F351">
            <v>600</v>
          </cell>
          <cell r="G351">
            <v>0</v>
          </cell>
          <cell r="H351">
            <v>4800</v>
          </cell>
          <cell r="I351">
            <v>5400</v>
          </cell>
          <cell r="J351">
            <v>0</v>
          </cell>
          <cell r="K351">
            <v>480</v>
          </cell>
          <cell r="L351">
            <v>0</v>
          </cell>
          <cell r="M351">
            <v>0</v>
          </cell>
          <cell r="O351" t="str">
            <v>1Q15</v>
          </cell>
        </row>
        <row r="352">
          <cell r="E352">
            <v>12000</v>
          </cell>
          <cell r="F352">
            <v>600</v>
          </cell>
          <cell r="G352">
            <v>0</v>
          </cell>
          <cell r="H352">
            <v>5000</v>
          </cell>
          <cell r="I352">
            <v>5800</v>
          </cell>
          <cell r="J352">
            <v>0</v>
          </cell>
          <cell r="K352">
            <v>600</v>
          </cell>
          <cell r="L352">
            <v>0</v>
          </cell>
          <cell r="M352">
            <v>0</v>
          </cell>
          <cell r="O352" t="str">
            <v>2Q15</v>
          </cell>
        </row>
        <row r="353">
          <cell r="E353">
            <v>12000</v>
          </cell>
          <cell r="F353">
            <v>600</v>
          </cell>
          <cell r="G353">
            <v>0</v>
          </cell>
          <cell r="H353">
            <v>5600</v>
          </cell>
          <cell r="I353">
            <v>6000</v>
          </cell>
          <cell r="J353">
            <v>0</v>
          </cell>
          <cell r="K353">
            <v>7200</v>
          </cell>
          <cell r="L353">
            <v>0</v>
          </cell>
          <cell r="M353">
            <v>0</v>
          </cell>
          <cell r="O353" t="str">
            <v>3Q15</v>
          </cell>
        </row>
        <row r="354">
          <cell r="E354">
            <v>12000</v>
          </cell>
          <cell r="F354">
            <v>600</v>
          </cell>
          <cell r="G354">
            <v>0</v>
          </cell>
          <cell r="H354">
            <v>6000</v>
          </cell>
          <cell r="I354">
            <v>6600</v>
          </cell>
          <cell r="J354">
            <v>0</v>
          </cell>
          <cell r="K354">
            <v>840</v>
          </cell>
          <cell r="L354">
            <v>0</v>
          </cell>
          <cell r="M354">
            <v>0</v>
          </cell>
          <cell r="O354" t="str">
            <v>4Q15</v>
          </cell>
        </row>
        <row r="355">
          <cell r="E355">
            <v>0</v>
          </cell>
          <cell r="F355">
            <v>0</v>
          </cell>
          <cell r="G355">
            <v>0</v>
          </cell>
          <cell r="H355">
            <v>500</v>
          </cell>
          <cell r="I355">
            <v>500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O355" t="str">
            <v>1Q14</v>
          </cell>
        </row>
        <row r="356">
          <cell r="E356">
            <v>0</v>
          </cell>
          <cell r="F356">
            <v>0</v>
          </cell>
          <cell r="G356">
            <v>0</v>
          </cell>
          <cell r="H356">
            <v>500</v>
          </cell>
          <cell r="I356">
            <v>500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O356" t="str">
            <v>2Q14</v>
          </cell>
        </row>
        <row r="357">
          <cell r="E357">
            <v>0</v>
          </cell>
          <cell r="F357">
            <v>0</v>
          </cell>
          <cell r="G357">
            <v>0</v>
          </cell>
          <cell r="H357">
            <v>750</v>
          </cell>
          <cell r="I357">
            <v>750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O357" t="str">
            <v>3Q14</v>
          </cell>
        </row>
        <row r="358">
          <cell r="E358">
            <v>0</v>
          </cell>
          <cell r="F358">
            <v>0</v>
          </cell>
          <cell r="G358">
            <v>0</v>
          </cell>
          <cell r="H358">
            <v>900</v>
          </cell>
          <cell r="I358">
            <v>1050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O358" t="str">
            <v>4Q14</v>
          </cell>
        </row>
        <row r="359">
          <cell r="E359">
            <v>0</v>
          </cell>
          <cell r="F359">
            <v>0</v>
          </cell>
          <cell r="G359">
            <v>0</v>
          </cell>
          <cell r="H359">
            <v>720</v>
          </cell>
          <cell r="I359">
            <v>840</v>
          </cell>
          <cell r="J359">
            <v>0</v>
          </cell>
          <cell r="K359">
            <v>360</v>
          </cell>
          <cell r="L359">
            <v>0</v>
          </cell>
          <cell r="M359">
            <v>0</v>
          </cell>
          <cell r="O359" t="str">
            <v>1Q15</v>
          </cell>
        </row>
        <row r="360">
          <cell r="E360">
            <v>0</v>
          </cell>
          <cell r="F360">
            <v>0</v>
          </cell>
          <cell r="G360">
            <v>0</v>
          </cell>
          <cell r="H360">
            <v>840</v>
          </cell>
          <cell r="I360">
            <v>840</v>
          </cell>
          <cell r="J360">
            <v>0</v>
          </cell>
          <cell r="K360">
            <v>360</v>
          </cell>
          <cell r="L360">
            <v>0</v>
          </cell>
          <cell r="M360">
            <v>0</v>
          </cell>
          <cell r="O360" t="str">
            <v>2Q15</v>
          </cell>
        </row>
        <row r="361">
          <cell r="E361">
            <v>0</v>
          </cell>
          <cell r="F361">
            <v>0</v>
          </cell>
          <cell r="G361">
            <v>0</v>
          </cell>
          <cell r="H361">
            <v>840</v>
          </cell>
          <cell r="I361">
            <v>960</v>
          </cell>
          <cell r="J361">
            <v>0</v>
          </cell>
          <cell r="K361">
            <v>480</v>
          </cell>
          <cell r="L361">
            <v>0</v>
          </cell>
          <cell r="M361">
            <v>0</v>
          </cell>
          <cell r="O361" t="str">
            <v>3Q15</v>
          </cell>
        </row>
        <row r="362">
          <cell r="E362">
            <v>0</v>
          </cell>
          <cell r="F362">
            <v>0</v>
          </cell>
          <cell r="G362">
            <v>0</v>
          </cell>
          <cell r="H362">
            <v>17500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O362" t="str">
            <v>2Q14</v>
          </cell>
        </row>
        <row r="363">
          <cell r="E363">
            <v>0</v>
          </cell>
          <cell r="F363">
            <v>0</v>
          </cell>
          <cell r="G363">
            <v>0</v>
          </cell>
          <cell r="H363">
            <v>14000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O363" t="str">
            <v>4Q15</v>
          </cell>
        </row>
        <row r="364">
          <cell r="E364">
            <v>2250</v>
          </cell>
          <cell r="F364">
            <v>300</v>
          </cell>
          <cell r="G364">
            <v>0</v>
          </cell>
          <cell r="H364">
            <v>1500</v>
          </cell>
          <cell r="I364">
            <v>1500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O364" t="str">
            <v>1Q14</v>
          </cell>
        </row>
        <row r="365">
          <cell r="E365">
            <v>2250</v>
          </cell>
          <cell r="F365">
            <v>300</v>
          </cell>
          <cell r="G365">
            <v>0</v>
          </cell>
          <cell r="H365">
            <v>2000</v>
          </cell>
          <cell r="I365">
            <v>2250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O365" t="str">
            <v>2Q14</v>
          </cell>
        </row>
        <row r="366">
          <cell r="E366">
            <v>3000</v>
          </cell>
          <cell r="F366">
            <v>300</v>
          </cell>
          <cell r="G366">
            <v>0</v>
          </cell>
          <cell r="H366">
            <v>2500</v>
          </cell>
          <cell r="I366">
            <v>3000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O366" t="str">
            <v>3Q14</v>
          </cell>
        </row>
        <row r="367">
          <cell r="E367">
            <v>3750</v>
          </cell>
          <cell r="F367">
            <v>400</v>
          </cell>
          <cell r="G367">
            <v>0</v>
          </cell>
          <cell r="H367">
            <v>3000</v>
          </cell>
          <cell r="I367">
            <v>3750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O367" t="str">
            <v>4Q14</v>
          </cell>
        </row>
        <row r="368">
          <cell r="E368">
            <v>3400</v>
          </cell>
          <cell r="F368">
            <v>360</v>
          </cell>
          <cell r="G368">
            <v>0</v>
          </cell>
          <cell r="H368">
            <v>2800</v>
          </cell>
          <cell r="I368">
            <v>3400</v>
          </cell>
          <cell r="J368">
            <v>0</v>
          </cell>
          <cell r="K368">
            <v>360</v>
          </cell>
          <cell r="L368">
            <v>0</v>
          </cell>
          <cell r="M368">
            <v>0</v>
          </cell>
          <cell r="O368" t="str">
            <v>1Q15</v>
          </cell>
        </row>
        <row r="369">
          <cell r="E369">
            <v>3800</v>
          </cell>
          <cell r="F369">
            <v>360</v>
          </cell>
          <cell r="G369">
            <v>0</v>
          </cell>
          <cell r="H369">
            <v>3000</v>
          </cell>
          <cell r="I369">
            <v>3600</v>
          </cell>
          <cell r="J369">
            <v>0</v>
          </cell>
          <cell r="K369">
            <v>360</v>
          </cell>
          <cell r="L369">
            <v>0</v>
          </cell>
          <cell r="M369">
            <v>0</v>
          </cell>
          <cell r="O369" t="str">
            <v>2Q15</v>
          </cell>
        </row>
        <row r="370">
          <cell r="E370">
            <v>4800</v>
          </cell>
          <cell r="F370">
            <v>360</v>
          </cell>
          <cell r="G370">
            <v>0</v>
          </cell>
          <cell r="H370">
            <v>3400</v>
          </cell>
          <cell r="I370">
            <v>4000</v>
          </cell>
          <cell r="J370">
            <v>0</v>
          </cell>
          <cell r="K370">
            <v>420</v>
          </cell>
          <cell r="L370">
            <v>0</v>
          </cell>
          <cell r="M370">
            <v>0</v>
          </cell>
          <cell r="O370" t="str">
            <v>3Q15</v>
          </cell>
        </row>
        <row r="371">
          <cell r="E371">
            <v>1500</v>
          </cell>
          <cell r="F371">
            <v>0</v>
          </cell>
          <cell r="G371">
            <v>0</v>
          </cell>
          <cell r="H371">
            <v>1500</v>
          </cell>
          <cell r="I371">
            <v>1500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O371" t="str">
            <v>1Q14</v>
          </cell>
        </row>
        <row r="372">
          <cell r="E372">
            <v>2500</v>
          </cell>
          <cell r="F372">
            <v>300</v>
          </cell>
          <cell r="G372">
            <v>0</v>
          </cell>
          <cell r="H372">
            <v>2250</v>
          </cell>
          <cell r="I372">
            <v>2250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O372" t="str">
            <v>2Q14</v>
          </cell>
        </row>
        <row r="373">
          <cell r="E373">
            <v>3750</v>
          </cell>
          <cell r="F373">
            <v>450</v>
          </cell>
          <cell r="G373">
            <v>0</v>
          </cell>
          <cell r="H373">
            <v>2500</v>
          </cell>
          <cell r="I373">
            <v>3000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O373" t="str">
            <v>3Q14</v>
          </cell>
        </row>
        <row r="374">
          <cell r="E374">
            <v>4000</v>
          </cell>
          <cell r="F374">
            <v>500</v>
          </cell>
          <cell r="G374">
            <v>0</v>
          </cell>
          <cell r="H374">
            <v>3000</v>
          </cell>
          <cell r="I374">
            <v>3750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O374" t="str">
            <v>4Q14</v>
          </cell>
        </row>
        <row r="375">
          <cell r="E375">
            <v>3600</v>
          </cell>
          <cell r="F375">
            <v>400</v>
          </cell>
          <cell r="G375">
            <v>0</v>
          </cell>
          <cell r="H375">
            <v>3000</v>
          </cell>
          <cell r="I375">
            <v>3600</v>
          </cell>
          <cell r="J375">
            <v>0</v>
          </cell>
          <cell r="K375">
            <v>400</v>
          </cell>
          <cell r="L375">
            <v>0</v>
          </cell>
          <cell r="M375">
            <v>0</v>
          </cell>
          <cell r="O375" t="str">
            <v>1Q15</v>
          </cell>
        </row>
        <row r="376">
          <cell r="E376">
            <v>4000</v>
          </cell>
          <cell r="F376">
            <v>480</v>
          </cell>
          <cell r="G376">
            <v>0</v>
          </cell>
          <cell r="H376">
            <v>3400</v>
          </cell>
          <cell r="I376">
            <v>4200</v>
          </cell>
          <cell r="J376">
            <v>0</v>
          </cell>
          <cell r="K376">
            <v>600</v>
          </cell>
          <cell r="L376">
            <v>0</v>
          </cell>
          <cell r="M376">
            <v>0</v>
          </cell>
          <cell r="O376" t="str">
            <v>2Q15</v>
          </cell>
        </row>
        <row r="377">
          <cell r="E377">
            <v>4800</v>
          </cell>
          <cell r="F377">
            <v>480</v>
          </cell>
          <cell r="G377">
            <v>0</v>
          </cell>
          <cell r="H377">
            <v>4000</v>
          </cell>
          <cell r="I377">
            <v>4800</v>
          </cell>
          <cell r="J377">
            <v>0</v>
          </cell>
          <cell r="K377">
            <v>720</v>
          </cell>
          <cell r="L377">
            <v>0</v>
          </cell>
          <cell r="M377">
            <v>0</v>
          </cell>
          <cell r="O377" t="str">
            <v>3Q15</v>
          </cell>
        </row>
        <row r="378">
          <cell r="E378">
            <v>6000</v>
          </cell>
          <cell r="F378">
            <v>600</v>
          </cell>
          <cell r="G378">
            <v>0</v>
          </cell>
          <cell r="H378">
            <v>4800</v>
          </cell>
          <cell r="I378">
            <v>6000</v>
          </cell>
          <cell r="J378">
            <v>0</v>
          </cell>
          <cell r="K378">
            <v>840</v>
          </cell>
          <cell r="L378">
            <v>0</v>
          </cell>
          <cell r="M378">
            <v>0</v>
          </cell>
          <cell r="O378" t="str">
            <v>4Q15</v>
          </cell>
        </row>
        <row r="379">
          <cell r="E379">
            <v>5000</v>
          </cell>
          <cell r="F379">
            <v>0</v>
          </cell>
          <cell r="G379">
            <v>0</v>
          </cell>
          <cell r="H379">
            <v>1500</v>
          </cell>
          <cell r="I379">
            <v>2250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O379" t="str">
            <v>1Q14</v>
          </cell>
        </row>
        <row r="380">
          <cell r="E380">
            <v>6000</v>
          </cell>
          <cell r="F380">
            <v>0</v>
          </cell>
          <cell r="G380">
            <v>0</v>
          </cell>
          <cell r="H380">
            <v>2000</v>
          </cell>
          <cell r="I380">
            <v>2750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O380" t="str">
            <v>2Q14</v>
          </cell>
        </row>
        <row r="381">
          <cell r="E381">
            <v>7500</v>
          </cell>
          <cell r="F381">
            <v>0</v>
          </cell>
          <cell r="G381">
            <v>0</v>
          </cell>
          <cell r="H381">
            <v>2750</v>
          </cell>
          <cell r="I381">
            <v>3500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O381" t="str">
            <v>3Q14</v>
          </cell>
        </row>
        <row r="382">
          <cell r="E382">
            <v>9000</v>
          </cell>
          <cell r="F382">
            <v>0</v>
          </cell>
          <cell r="G382">
            <v>0</v>
          </cell>
          <cell r="H382">
            <v>3500</v>
          </cell>
          <cell r="I382">
            <v>4250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O382" t="str">
            <v>4Q14</v>
          </cell>
        </row>
        <row r="383">
          <cell r="E383">
            <v>8400</v>
          </cell>
          <cell r="F383">
            <v>0</v>
          </cell>
          <cell r="G383">
            <v>0</v>
          </cell>
          <cell r="H383">
            <v>3200</v>
          </cell>
          <cell r="I383">
            <v>4000</v>
          </cell>
          <cell r="J383">
            <v>0</v>
          </cell>
          <cell r="K383">
            <v>360</v>
          </cell>
          <cell r="L383">
            <v>0</v>
          </cell>
          <cell r="M383">
            <v>0</v>
          </cell>
          <cell r="O383" t="str">
            <v>1Q15</v>
          </cell>
        </row>
        <row r="384">
          <cell r="E384">
            <v>9600</v>
          </cell>
          <cell r="F384">
            <v>0</v>
          </cell>
          <cell r="G384">
            <v>0</v>
          </cell>
          <cell r="H384">
            <v>3600</v>
          </cell>
          <cell r="I384">
            <v>4600</v>
          </cell>
          <cell r="J384">
            <v>0</v>
          </cell>
          <cell r="K384">
            <v>480</v>
          </cell>
          <cell r="L384">
            <v>0</v>
          </cell>
          <cell r="M384">
            <v>0</v>
          </cell>
          <cell r="O384" t="str">
            <v>2Q15</v>
          </cell>
        </row>
        <row r="385">
          <cell r="E385">
            <v>10000</v>
          </cell>
          <cell r="F385">
            <v>0</v>
          </cell>
          <cell r="G385">
            <v>0</v>
          </cell>
          <cell r="H385">
            <v>4000</v>
          </cell>
          <cell r="I385">
            <v>5200</v>
          </cell>
          <cell r="J385">
            <v>0</v>
          </cell>
          <cell r="K385">
            <v>600</v>
          </cell>
          <cell r="L385">
            <v>0</v>
          </cell>
          <cell r="M385">
            <v>0</v>
          </cell>
          <cell r="O385" t="str">
            <v>3Q15</v>
          </cell>
        </row>
        <row r="386">
          <cell r="E386">
            <v>10800</v>
          </cell>
          <cell r="F386">
            <v>0</v>
          </cell>
          <cell r="G386">
            <v>0</v>
          </cell>
          <cell r="H386">
            <v>4600</v>
          </cell>
          <cell r="I386">
            <v>5800</v>
          </cell>
          <cell r="J386">
            <v>0</v>
          </cell>
          <cell r="K386">
            <v>720</v>
          </cell>
          <cell r="L386">
            <v>0</v>
          </cell>
          <cell r="M386">
            <v>0</v>
          </cell>
          <cell r="O386" t="str">
            <v>4Q15</v>
          </cell>
        </row>
        <row r="387">
          <cell r="E387">
            <v>4500</v>
          </cell>
          <cell r="F387">
            <v>0</v>
          </cell>
          <cell r="G387">
            <v>0</v>
          </cell>
          <cell r="H387">
            <v>2250</v>
          </cell>
          <cell r="I387">
            <v>3000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O387" t="str">
            <v>1Q14</v>
          </cell>
        </row>
        <row r="388">
          <cell r="E388">
            <v>6000</v>
          </cell>
          <cell r="F388">
            <v>0</v>
          </cell>
          <cell r="G388">
            <v>0</v>
          </cell>
          <cell r="H388">
            <v>2250</v>
          </cell>
          <cell r="I388">
            <v>3750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O388" t="str">
            <v>2Q14</v>
          </cell>
        </row>
        <row r="389">
          <cell r="E389">
            <v>6000</v>
          </cell>
          <cell r="F389">
            <v>0</v>
          </cell>
          <cell r="G389">
            <v>0</v>
          </cell>
          <cell r="H389">
            <v>2750</v>
          </cell>
          <cell r="I389">
            <v>4500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O389" t="str">
            <v>3Q14</v>
          </cell>
        </row>
        <row r="390">
          <cell r="E390">
            <v>7500</v>
          </cell>
          <cell r="F390">
            <v>0</v>
          </cell>
          <cell r="G390">
            <v>0</v>
          </cell>
          <cell r="H390">
            <v>3500</v>
          </cell>
          <cell r="I390">
            <v>5250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O390" t="str">
            <v>4Q14</v>
          </cell>
        </row>
        <row r="391">
          <cell r="E391">
            <v>6000</v>
          </cell>
          <cell r="F391">
            <v>0</v>
          </cell>
          <cell r="G391">
            <v>0</v>
          </cell>
          <cell r="H391">
            <v>3000</v>
          </cell>
          <cell r="I391">
            <v>4800</v>
          </cell>
          <cell r="J391">
            <v>0</v>
          </cell>
          <cell r="K391">
            <v>480</v>
          </cell>
          <cell r="L391">
            <v>0</v>
          </cell>
          <cell r="M391">
            <v>0</v>
          </cell>
          <cell r="O391" t="str">
            <v>1Q15</v>
          </cell>
        </row>
        <row r="392">
          <cell r="E392">
            <v>6600</v>
          </cell>
          <cell r="F392">
            <v>0</v>
          </cell>
          <cell r="G392">
            <v>0</v>
          </cell>
          <cell r="H392">
            <v>3400</v>
          </cell>
          <cell r="I392">
            <v>6000</v>
          </cell>
          <cell r="J392">
            <v>0</v>
          </cell>
          <cell r="K392">
            <v>600</v>
          </cell>
          <cell r="L392">
            <v>0</v>
          </cell>
          <cell r="M392">
            <v>0</v>
          </cell>
          <cell r="O392" t="str">
            <v>2Q15</v>
          </cell>
        </row>
        <row r="393">
          <cell r="E393">
            <v>7200</v>
          </cell>
          <cell r="F393">
            <v>0</v>
          </cell>
          <cell r="G393">
            <v>0</v>
          </cell>
          <cell r="H393">
            <v>3800</v>
          </cell>
          <cell r="I393">
            <v>7200</v>
          </cell>
          <cell r="J393">
            <v>0</v>
          </cell>
          <cell r="K393">
            <v>800</v>
          </cell>
          <cell r="L393">
            <v>0</v>
          </cell>
          <cell r="M393">
            <v>0</v>
          </cell>
          <cell r="O393" t="str">
            <v>3Q15</v>
          </cell>
        </row>
        <row r="394">
          <cell r="E394">
            <v>9600</v>
          </cell>
          <cell r="F394">
            <v>0</v>
          </cell>
          <cell r="G394">
            <v>0</v>
          </cell>
          <cell r="H394">
            <v>4400</v>
          </cell>
          <cell r="I394">
            <v>8400</v>
          </cell>
          <cell r="J394">
            <v>0</v>
          </cell>
          <cell r="K394">
            <v>960</v>
          </cell>
          <cell r="L394">
            <v>0</v>
          </cell>
          <cell r="M394">
            <v>0</v>
          </cell>
          <cell r="O394" t="str">
            <v>4Q15</v>
          </cell>
        </row>
        <row r="395">
          <cell r="E395">
            <v>600</v>
          </cell>
          <cell r="F395">
            <v>0</v>
          </cell>
          <cell r="G395">
            <v>0</v>
          </cell>
          <cell r="H395">
            <v>750</v>
          </cell>
          <cell r="I395">
            <v>750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O395" t="str">
            <v>1Q14</v>
          </cell>
        </row>
        <row r="396">
          <cell r="E396">
            <v>600</v>
          </cell>
          <cell r="F396">
            <v>0</v>
          </cell>
          <cell r="G396">
            <v>0</v>
          </cell>
          <cell r="H396">
            <v>750</v>
          </cell>
          <cell r="I396">
            <v>750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O396" t="str">
            <v>2Q14</v>
          </cell>
        </row>
        <row r="397">
          <cell r="E397">
            <v>600</v>
          </cell>
          <cell r="F397">
            <v>0</v>
          </cell>
          <cell r="G397">
            <v>0</v>
          </cell>
          <cell r="H397">
            <v>825</v>
          </cell>
          <cell r="I397">
            <v>825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O397" t="str">
            <v>3Q14</v>
          </cell>
        </row>
        <row r="398">
          <cell r="E398">
            <v>750</v>
          </cell>
          <cell r="F398">
            <v>0</v>
          </cell>
          <cell r="G398">
            <v>0</v>
          </cell>
          <cell r="H398">
            <v>825</v>
          </cell>
          <cell r="I398">
            <v>825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O398" t="str">
            <v>4Q14</v>
          </cell>
        </row>
        <row r="399">
          <cell r="E399">
            <v>600</v>
          </cell>
          <cell r="F399">
            <v>0</v>
          </cell>
          <cell r="G399">
            <v>0</v>
          </cell>
          <cell r="H399">
            <v>720</v>
          </cell>
          <cell r="I399">
            <v>720</v>
          </cell>
          <cell r="J399">
            <v>0</v>
          </cell>
          <cell r="K399">
            <v>180</v>
          </cell>
          <cell r="L399">
            <v>0</v>
          </cell>
          <cell r="M399">
            <v>0</v>
          </cell>
          <cell r="O399" t="str">
            <v>1Q15</v>
          </cell>
        </row>
        <row r="400">
          <cell r="E400">
            <v>600</v>
          </cell>
          <cell r="F400">
            <v>0</v>
          </cell>
          <cell r="G400">
            <v>0</v>
          </cell>
          <cell r="H400">
            <v>720</v>
          </cell>
          <cell r="I400">
            <v>720</v>
          </cell>
          <cell r="J400">
            <v>0</v>
          </cell>
          <cell r="K400">
            <v>180</v>
          </cell>
          <cell r="L400">
            <v>0</v>
          </cell>
          <cell r="M400">
            <v>0</v>
          </cell>
          <cell r="O400" t="str">
            <v>2Q15</v>
          </cell>
        </row>
        <row r="401">
          <cell r="E401">
            <v>600</v>
          </cell>
          <cell r="F401">
            <v>0</v>
          </cell>
          <cell r="G401">
            <v>0</v>
          </cell>
          <cell r="H401">
            <v>720</v>
          </cell>
          <cell r="I401">
            <v>720</v>
          </cell>
          <cell r="J401">
            <v>0</v>
          </cell>
          <cell r="K401">
            <v>240</v>
          </cell>
          <cell r="L401">
            <v>0</v>
          </cell>
          <cell r="M401">
            <v>0</v>
          </cell>
          <cell r="O401" t="str">
            <v>3Q15</v>
          </cell>
        </row>
        <row r="402">
          <cell r="E402">
            <v>840</v>
          </cell>
          <cell r="F402">
            <v>0</v>
          </cell>
          <cell r="G402">
            <v>0</v>
          </cell>
          <cell r="H402">
            <v>840</v>
          </cell>
          <cell r="I402">
            <v>840</v>
          </cell>
          <cell r="J402">
            <v>0</v>
          </cell>
          <cell r="K402">
            <v>240</v>
          </cell>
          <cell r="L402">
            <v>0</v>
          </cell>
          <cell r="M402">
            <v>0</v>
          </cell>
          <cell r="O402" t="str">
            <v>4Q15</v>
          </cell>
        </row>
        <row r="403">
          <cell r="E403">
            <v>0</v>
          </cell>
          <cell r="F403">
            <v>0</v>
          </cell>
          <cell r="G403">
            <v>0</v>
          </cell>
          <cell r="H403">
            <v>1500</v>
          </cell>
          <cell r="I403">
            <v>1500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O403" t="str">
            <v>1Q14</v>
          </cell>
        </row>
        <row r="404">
          <cell r="E404">
            <v>0</v>
          </cell>
          <cell r="F404">
            <v>0</v>
          </cell>
          <cell r="G404">
            <v>0</v>
          </cell>
          <cell r="H404">
            <v>2250</v>
          </cell>
          <cell r="I404">
            <v>3000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O404" t="str">
            <v>2Q14</v>
          </cell>
        </row>
        <row r="405">
          <cell r="E405">
            <v>0</v>
          </cell>
          <cell r="F405">
            <v>0</v>
          </cell>
          <cell r="G405">
            <v>0</v>
          </cell>
          <cell r="H405">
            <v>2250</v>
          </cell>
          <cell r="I405">
            <v>3750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O405" t="str">
            <v>3Q14</v>
          </cell>
        </row>
        <row r="406">
          <cell r="E406">
            <v>0</v>
          </cell>
          <cell r="F406">
            <v>0</v>
          </cell>
          <cell r="G406">
            <v>0</v>
          </cell>
          <cell r="H406">
            <v>3000</v>
          </cell>
          <cell r="I406">
            <v>4500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O406" t="str">
            <v>4Q14</v>
          </cell>
        </row>
        <row r="407">
          <cell r="E407">
            <v>0</v>
          </cell>
          <cell r="F407">
            <v>0</v>
          </cell>
          <cell r="G407">
            <v>0</v>
          </cell>
          <cell r="H407">
            <v>2400</v>
          </cell>
          <cell r="I407">
            <v>3600</v>
          </cell>
          <cell r="J407">
            <v>0</v>
          </cell>
          <cell r="K407">
            <v>300</v>
          </cell>
          <cell r="L407">
            <v>0</v>
          </cell>
          <cell r="M407">
            <v>0</v>
          </cell>
          <cell r="O407" t="str">
            <v>1Q15</v>
          </cell>
        </row>
        <row r="408">
          <cell r="E408">
            <v>0</v>
          </cell>
          <cell r="F408">
            <v>0</v>
          </cell>
          <cell r="G408">
            <v>0</v>
          </cell>
          <cell r="H408">
            <v>3000</v>
          </cell>
          <cell r="I408">
            <v>4200</v>
          </cell>
          <cell r="J408">
            <v>0</v>
          </cell>
          <cell r="K408">
            <v>360</v>
          </cell>
          <cell r="L408">
            <v>0</v>
          </cell>
          <cell r="M408">
            <v>0</v>
          </cell>
          <cell r="O408" t="str">
            <v>2Q15</v>
          </cell>
        </row>
        <row r="409">
          <cell r="E409">
            <v>0</v>
          </cell>
          <cell r="F409">
            <v>0</v>
          </cell>
          <cell r="G409">
            <v>0</v>
          </cell>
          <cell r="H409">
            <v>3000</v>
          </cell>
          <cell r="I409">
            <v>4200</v>
          </cell>
          <cell r="J409">
            <v>0</v>
          </cell>
          <cell r="K409">
            <v>360</v>
          </cell>
          <cell r="L409">
            <v>0</v>
          </cell>
          <cell r="M409">
            <v>0</v>
          </cell>
          <cell r="O409" t="str">
            <v>3Q15</v>
          </cell>
        </row>
        <row r="410">
          <cell r="E410">
            <v>0</v>
          </cell>
          <cell r="F410">
            <v>0</v>
          </cell>
          <cell r="G410">
            <v>0</v>
          </cell>
          <cell r="H410">
            <v>3600</v>
          </cell>
          <cell r="I410">
            <v>4800</v>
          </cell>
          <cell r="J410">
            <v>0</v>
          </cell>
          <cell r="K410">
            <v>480</v>
          </cell>
          <cell r="L410">
            <v>0</v>
          </cell>
          <cell r="M410">
            <v>0</v>
          </cell>
          <cell r="O410" t="str">
            <v>4Q15</v>
          </cell>
        </row>
        <row r="411">
          <cell r="E411">
            <v>0</v>
          </cell>
          <cell r="F411">
            <v>0</v>
          </cell>
          <cell r="G411">
            <v>0</v>
          </cell>
          <cell r="H411">
            <v>5000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O411" t="str">
            <v>2Q14</v>
          </cell>
        </row>
        <row r="412">
          <cell r="E412">
            <v>0</v>
          </cell>
          <cell r="F412">
            <v>0</v>
          </cell>
          <cell r="G412">
            <v>0</v>
          </cell>
          <cell r="H412">
            <v>8000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O412" t="str">
            <v>2Q15</v>
          </cell>
        </row>
        <row r="413">
          <cell r="E413">
            <v>2000</v>
          </cell>
          <cell r="F413">
            <v>300</v>
          </cell>
          <cell r="G413">
            <v>0</v>
          </cell>
          <cell r="H413">
            <v>1000</v>
          </cell>
          <cell r="I413">
            <v>2000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O413" t="str">
            <v>1Q14</v>
          </cell>
        </row>
        <row r="414">
          <cell r="E414">
            <v>2250</v>
          </cell>
          <cell r="F414">
            <v>300</v>
          </cell>
          <cell r="G414">
            <v>0</v>
          </cell>
          <cell r="H414">
            <v>1250</v>
          </cell>
          <cell r="I414">
            <v>2250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O414" t="str">
            <v>2Q14</v>
          </cell>
        </row>
        <row r="415">
          <cell r="E415">
            <v>2250</v>
          </cell>
          <cell r="F415">
            <v>300</v>
          </cell>
          <cell r="G415">
            <v>0</v>
          </cell>
          <cell r="H415">
            <v>1500</v>
          </cell>
          <cell r="I415">
            <v>2750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O415" t="str">
            <v>3Q14</v>
          </cell>
        </row>
        <row r="416">
          <cell r="E416">
            <v>2750</v>
          </cell>
          <cell r="F416">
            <v>300</v>
          </cell>
          <cell r="G416">
            <v>0</v>
          </cell>
          <cell r="H416">
            <v>1750</v>
          </cell>
          <cell r="I416">
            <v>3250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O416" t="str">
            <v>4Q14</v>
          </cell>
        </row>
        <row r="417">
          <cell r="E417">
            <v>2400</v>
          </cell>
          <cell r="F417">
            <v>300</v>
          </cell>
          <cell r="G417">
            <v>0</v>
          </cell>
          <cell r="H417">
            <v>1600</v>
          </cell>
          <cell r="I417">
            <v>2800</v>
          </cell>
          <cell r="J417">
            <v>0</v>
          </cell>
          <cell r="K417">
            <v>300</v>
          </cell>
          <cell r="L417">
            <v>0</v>
          </cell>
          <cell r="M417">
            <v>0</v>
          </cell>
          <cell r="O417" t="str">
            <v>1Q15</v>
          </cell>
        </row>
        <row r="418">
          <cell r="E418">
            <v>3000</v>
          </cell>
          <cell r="F418">
            <v>320</v>
          </cell>
          <cell r="G418">
            <v>0</v>
          </cell>
          <cell r="H418">
            <v>2000</v>
          </cell>
          <cell r="I418">
            <v>3200</v>
          </cell>
          <cell r="J418">
            <v>0</v>
          </cell>
          <cell r="K418">
            <v>340</v>
          </cell>
          <cell r="L418">
            <v>0</v>
          </cell>
          <cell r="M418">
            <v>0</v>
          </cell>
          <cell r="O418" t="str">
            <v>2Q15</v>
          </cell>
        </row>
        <row r="419">
          <cell r="E419">
            <v>3600</v>
          </cell>
          <cell r="F419">
            <v>360</v>
          </cell>
          <cell r="G419">
            <v>0</v>
          </cell>
          <cell r="H419">
            <v>2200</v>
          </cell>
          <cell r="I419">
            <v>3600</v>
          </cell>
          <cell r="J419">
            <v>0</v>
          </cell>
          <cell r="K419">
            <v>360</v>
          </cell>
          <cell r="L419">
            <v>0</v>
          </cell>
          <cell r="M419">
            <v>0</v>
          </cell>
          <cell r="O419" t="str">
            <v>3Q15</v>
          </cell>
        </row>
        <row r="420">
          <cell r="E420">
            <v>4000</v>
          </cell>
          <cell r="F420">
            <v>360</v>
          </cell>
          <cell r="G420">
            <v>0</v>
          </cell>
          <cell r="H420">
            <v>2600</v>
          </cell>
          <cell r="I420">
            <v>4000</v>
          </cell>
          <cell r="J420">
            <v>0</v>
          </cell>
          <cell r="K420">
            <v>400</v>
          </cell>
          <cell r="L420">
            <v>0</v>
          </cell>
          <cell r="M420">
            <v>0</v>
          </cell>
          <cell r="O420" t="str">
            <v>4Q15</v>
          </cell>
        </row>
        <row r="421">
          <cell r="E421">
            <v>0</v>
          </cell>
          <cell r="F421">
            <v>0</v>
          </cell>
          <cell r="G421">
            <v>0</v>
          </cell>
          <cell r="H421">
            <v>3000</v>
          </cell>
          <cell r="I421">
            <v>3000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O421" t="str">
            <v>1Q14</v>
          </cell>
        </row>
        <row r="422">
          <cell r="E422">
            <v>0</v>
          </cell>
          <cell r="F422">
            <v>0</v>
          </cell>
          <cell r="G422">
            <v>0</v>
          </cell>
          <cell r="H422">
            <v>3000</v>
          </cell>
          <cell r="I422">
            <v>4500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O422" t="str">
            <v>2Q14</v>
          </cell>
        </row>
        <row r="423">
          <cell r="E423">
            <v>0</v>
          </cell>
          <cell r="F423">
            <v>0</v>
          </cell>
          <cell r="G423">
            <v>0</v>
          </cell>
          <cell r="H423">
            <v>4000</v>
          </cell>
          <cell r="I423">
            <v>6000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O423" t="str">
            <v>3Q14</v>
          </cell>
        </row>
        <row r="424">
          <cell r="E424">
            <v>0</v>
          </cell>
          <cell r="F424">
            <v>0</v>
          </cell>
          <cell r="G424">
            <v>0</v>
          </cell>
          <cell r="H424">
            <v>4000</v>
          </cell>
          <cell r="I424">
            <v>7500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O424" t="str">
            <v>4Q14</v>
          </cell>
        </row>
        <row r="425">
          <cell r="E425">
            <v>0</v>
          </cell>
          <cell r="F425">
            <v>0</v>
          </cell>
          <cell r="G425">
            <v>0</v>
          </cell>
          <cell r="H425">
            <v>4000</v>
          </cell>
          <cell r="I425">
            <v>7200</v>
          </cell>
          <cell r="J425">
            <v>0</v>
          </cell>
          <cell r="K425">
            <v>840</v>
          </cell>
          <cell r="L425">
            <v>0</v>
          </cell>
          <cell r="M425">
            <v>0</v>
          </cell>
          <cell r="O425" t="str">
            <v>1Q15</v>
          </cell>
        </row>
        <row r="426">
          <cell r="E426">
            <v>0</v>
          </cell>
          <cell r="F426">
            <v>0</v>
          </cell>
          <cell r="G426">
            <v>0</v>
          </cell>
          <cell r="H426">
            <v>4800</v>
          </cell>
          <cell r="I426">
            <v>8400</v>
          </cell>
          <cell r="J426">
            <v>0</v>
          </cell>
          <cell r="K426">
            <v>1200</v>
          </cell>
          <cell r="L426">
            <v>0</v>
          </cell>
          <cell r="M426">
            <v>0</v>
          </cell>
          <cell r="O426" t="str">
            <v>2Q15</v>
          </cell>
        </row>
        <row r="427">
          <cell r="E427">
            <v>0</v>
          </cell>
          <cell r="F427">
            <v>0</v>
          </cell>
          <cell r="G427">
            <v>0</v>
          </cell>
          <cell r="H427">
            <v>4800</v>
          </cell>
          <cell r="I427">
            <v>10000</v>
          </cell>
          <cell r="J427">
            <v>0</v>
          </cell>
          <cell r="K427">
            <v>1320</v>
          </cell>
          <cell r="L427">
            <v>0</v>
          </cell>
          <cell r="M427">
            <v>0</v>
          </cell>
          <cell r="O427" t="str">
            <v>3Q15</v>
          </cell>
        </row>
        <row r="428">
          <cell r="E428">
            <v>0</v>
          </cell>
          <cell r="F428">
            <v>0</v>
          </cell>
          <cell r="G428">
            <v>0</v>
          </cell>
          <cell r="H428">
            <v>6000</v>
          </cell>
          <cell r="I428">
            <v>11200</v>
          </cell>
          <cell r="J428">
            <v>0</v>
          </cell>
          <cell r="K428">
            <v>1400</v>
          </cell>
          <cell r="L428">
            <v>0</v>
          </cell>
          <cell r="M428">
            <v>0</v>
          </cell>
          <cell r="O428" t="str">
            <v>4Q15</v>
          </cell>
        </row>
        <row r="429">
          <cell r="E429">
            <v>0</v>
          </cell>
          <cell r="F429">
            <v>0</v>
          </cell>
          <cell r="G429">
            <v>0</v>
          </cell>
          <cell r="H429">
            <v>3000</v>
          </cell>
          <cell r="I429">
            <v>4500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O429" t="str">
            <v>1Q14</v>
          </cell>
        </row>
        <row r="430">
          <cell r="E430">
            <v>0</v>
          </cell>
          <cell r="F430">
            <v>0</v>
          </cell>
          <cell r="G430">
            <v>0</v>
          </cell>
          <cell r="H430">
            <v>3750</v>
          </cell>
          <cell r="I430">
            <v>4750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O430" t="str">
            <v>2Q14</v>
          </cell>
        </row>
        <row r="431">
          <cell r="E431">
            <v>0</v>
          </cell>
          <cell r="F431">
            <v>0</v>
          </cell>
          <cell r="G431">
            <v>0</v>
          </cell>
          <cell r="H431">
            <v>4500</v>
          </cell>
          <cell r="I431">
            <v>5500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O431" t="str">
            <v>3Q14</v>
          </cell>
        </row>
        <row r="432">
          <cell r="E432">
            <v>0</v>
          </cell>
          <cell r="F432">
            <v>0</v>
          </cell>
          <cell r="G432">
            <v>0</v>
          </cell>
          <cell r="H432">
            <v>5250</v>
          </cell>
          <cell r="I432">
            <v>6500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O432" t="str">
            <v>4Q14</v>
          </cell>
        </row>
        <row r="433">
          <cell r="E433">
            <v>0</v>
          </cell>
          <cell r="F433">
            <v>0</v>
          </cell>
          <cell r="G433">
            <v>0</v>
          </cell>
          <cell r="H433">
            <v>4800</v>
          </cell>
          <cell r="I433">
            <v>6000</v>
          </cell>
          <cell r="J433">
            <v>0</v>
          </cell>
          <cell r="K433">
            <v>600</v>
          </cell>
          <cell r="L433">
            <v>0</v>
          </cell>
          <cell r="M433">
            <v>0</v>
          </cell>
          <cell r="O433" t="str">
            <v>1Q15</v>
          </cell>
        </row>
        <row r="434">
          <cell r="E434">
            <v>0</v>
          </cell>
          <cell r="F434">
            <v>0</v>
          </cell>
          <cell r="G434">
            <v>0</v>
          </cell>
          <cell r="H434">
            <v>5000</v>
          </cell>
          <cell r="I434">
            <v>6400</v>
          </cell>
          <cell r="J434">
            <v>0</v>
          </cell>
          <cell r="K434">
            <v>840</v>
          </cell>
          <cell r="L434">
            <v>0</v>
          </cell>
          <cell r="M434">
            <v>0</v>
          </cell>
          <cell r="O434" t="str">
            <v>2Q15</v>
          </cell>
        </row>
        <row r="435">
          <cell r="E435">
            <v>0</v>
          </cell>
          <cell r="F435">
            <v>0</v>
          </cell>
          <cell r="G435">
            <v>0</v>
          </cell>
          <cell r="H435">
            <v>5200</v>
          </cell>
          <cell r="I435">
            <v>6800</v>
          </cell>
          <cell r="J435">
            <v>0</v>
          </cell>
          <cell r="K435">
            <v>840</v>
          </cell>
          <cell r="L435">
            <v>0</v>
          </cell>
          <cell r="M435">
            <v>0</v>
          </cell>
          <cell r="O435" t="str">
            <v>3Q15</v>
          </cell>
        </row>
        <row r="436">
          <cell r="E436">
            <v>0</v>
          </cell>
          <cell r="F436">
            <v>0</v>
          </cell>
          <cell r="G436">
            <v>0</v>
          </cell>
          <cell r="H436">
            <v>6000</v>
          </cell>
          <cell r="I436">
            <v>7400</v>
          </cell>
          <cell r="J436">
            <v>0</v>
          </cell>
          <cell r="K436">
            <v>840</v>
          </cell>
          <cell r="L436">
            <v>0</v>
          </cell>
          <cell r="M436">
            <v>0</v>
          </cell>
          <cell r="O436" t="str">
            <v>4Q15</v>
          </cell>
        </row>
        <row r="437">
          <cell r="E437">
            <v>1500</v>
          </cell>
          <cell r="F437">
            <v>0</v>
          </cell>
          <cell r="G437">
            <v>0</v>
          </cell>
          <cell r="H437">
            <v>1500</v>
          </cell>
          <cell r="I437">
            <v>1500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O437" t="str">
            <v>1Q14</v>
          </cell>
        </row>
        <row r="438">
          <cell r="E438">
            <v>1500</v>
          </cell>
          <cell r="F438">
            <v>0</v>
          </cell>
          <cell r="G438">
            <v>0</v>
          </cell>
          <cell r="H438">
            <v>1500</v>
          </cell>
          <cell r="I438">
            <v>1500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O438" t="str">
            <v>2Q14</v>
          </cell>
        </row>
        <row r="439">
          <cell r="E439">
            <v>1500</v>
          </cell>
          <cell r="F439">
            <v>0</v>
          </cell>
          <cell r="G439">
            <v>0</v>
          </cell>
          <cell r="H439">
            <v>2250</v>
          </cell>
          <cell r="I439">
            <v>2250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O439" t="str">
            <v>3Q14</v>
          </cell>
        </row>
        <row r="440">
          <cell r="E440">
            <v>1500</v>
          </cell>
          <cell r="F440">
            <v>0</v>
          </cell>
          <cell r="G440">
            <v>0</v>
          </cell>
          <cell r="H440">
            <v>2250</v>
          </cell>
          <cell r="I440">
            <v>2250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O440" t="str">
            <v>4Q14</v>
          </cell>
        </row>
        <row r="441">
          <cell r="E441">
            <v>1800</v>
          </cell>
          <cell r="F441">
            <v>0</v>
          </cell>
          <cell r="G441">
            <v>0</v>
          </cell>
          <cell r="H441">
            <v>2400</v>
          </cell>
          <cell r="I441">
            <v>2400</v>
          </cell>
          <cell r="J441">
            <v>0</v>
          </cell>
          <cell r="K441">
            <v>840</v>
          </cell>
          <cell r="L441">
            <v>0</v>
          </cell>
          <cell r="M441">
            <v>0</v>
          </cell>
          <cell r="O441" t="str">
            <v>1Q15</v>
          </cell>
        </row>
        <row r="442">
          <cell r="E442">
            <v>1800</v>
          </cell>
          <cell r="F442">
            <v>0</v>
          </cell>
          <cell r="G442">
            <v>0</v>
          </cell>
          <cell r="H442">
            <v>2400</v>
          </cell>
          <cell r="I442">
            <v>2400</v>
          </cell>
          <cell r="J442">
            <v>0</v>
          </cell>
          <cell r="K442">
            <v>840</v>
          </cell>
          <cell r="L442">
            <v>0</v>
          </cell>
          <cell r="M442">
            <v>0</v>
          </cell>
          <cell r="O442" t="str">
            <v>2Q15</v>
          </cell>
        </row>
        <row r="443">
          <cell r="E443">
            <v>2400</v>
          </cell>
          <cell r="F443">
            <v>0</v>
          </cell>
          <cell r="G443">
            <v>0</v>
          </cell>
          <cell r="H443">
            <v>3000</v>
          </cell>
          <cell r="I443">
            <v>3000</v>
          </cell>
          <cell r="J443">
            <v>0</v>
          </cell>
          <cell r="K443">
            <v>960</v>
          </cell>
          <cell r="L443">
            <v>0</v>
          </cell>
          <cell r="M443">
            <v>0</v>
          </cell>
          <cell r="O443" t="str">
            <v>3Q15</v>
          </cell>
        </row>
        <row r="444">
          <cell r="E444">
            <v>2400</v>
          </cell>
          <cell r="F444">
            <v>0</v>
          </cell>
          <cell r="G444">
            <v>0</v>
          </cell>
          <cell r="H444">
            <v>3000</v>
          </cell>
          <cell r="I444">
            <v>3000</v>
          </cell>
          <cell r="J444">
            <v>0</v>
          </cell>
          <cell r="K444">
            <v>960</v>
          </cell>
          <cell r="L444">
            <v>0</v>
          </cell>
          <cell r="M444">
            <v>0</v>
          </cell>
          <cell r="O444" t="str">
            <v>4Q15</v>
          </cell>
        </row>
        <row r="445">
          <cell r="E445">
            <v>6000</v>
          </cell>
          <cell r="F445">
            <v>0</v>
          </cell>
          <cell r="G445">
            <v>0</v>
          </cell>
          <cell r="H445">
            <v>1500</v>
          </cell>
          <cell r="I445">
            <v>3000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O445" t="str">
            <v>1Q14</v>
          </cell>
        </row>
        <row r="446">
          <cell r="E446">
            <v>6000</v>
          </cell>
          <cell r="F446">
            <v>0</v>
          </cell>
          <cell r="G446">
            <v>0</v>
          </cell>
          <cell r="H446">
            <v>1500</v>
          </cell>
          <cell r="I446">
            <v>3000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O446" t="str">
            <v>2Q14</v>
          </cell>
        </row>
        <row r="447">
          <cell r="E447">
            <v>7500</v>
          </cell>
          <cell r="F447">
            <v>0</v>
          </cell>
          <cell r="G447">
            <v>0</v>
          </cell>
          <cell r="H447">
            <v>2500</v>
          </cell>
          <cell r="I447">
            <v>4500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O447" t="str">
            <v>3Q14</v>
          </cell>
        </row>
        <row r="448">
          <cell r="E448">
            <v>9000</v>
          </cell>
          <cell r="F448">
            <v>0</v>
          </cell>
          <cell r="G448">
            <v>0</v>
          </cell>
          <cell r="H448">
            <v>3000</v>
          </cell>
          <cell r="I448">
            <v>5250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O448" t="str">
            <v>4Q14</v>
          </cell>
        </row>
        <row r="449">
          <cell r="E449">
            <v>8000</v>
          </cell>
          <cell r="F449">
            <v>0</v>
          </cell>
          <cell r="G449">
            <v>0</v>
          </cell>
          <cell r="H449">
            <v>3000</v>
          </cell>
          <cell r="I449">
            <v>4800</v>
          </cell>
          <cell r="J449">
            <v>0</v>
          </cell>
          <cell r="K449">
            <v>600</v>
          </cell>
          <cell r="L449">
            <v>0</v>
          </cell>
          <cell r="M449">
            <v>0</v>
          </cell>
          <cell r="O449" t="str">
            <v>1Q15</v>
          </cell>
        </row>
        <row r="450">
          <cell r="E450">
            <v>8400</v>
          </cell>
          <cell r="F450">
            <v>0</v>
          </cell>
          <cell r="G450">
            <v>0</v>
          </cell>
          <cell r="H450">
            <v>3600</v>
          </cell>
          <cell r="I450">
            <v>5600</v>
          </cell>
          <cell r="J450">
            <v>0</v>
          </cell>
          <cell r="K450">
            <v>720</v>
          </cell>
          <cell r="L450">
            <v>0</v>
          </cell>
          <cell r="M450">
            <v>0</v>
          </cell>
          <cell r="O450" t="str">
            <v>2Q15</v>
          </cell>
        </row>
        <row r="451">
          <cell r="E451">
            <v>9600</v>
          </cell>
          <cell r="F451">
            <v>0</v>
          </cell>
          <cell r="G451">
            <v>0</v>
          </cell>
          <cell r="H451">
            <v>4200</v>
          </cell>
          <cell r="I451">
            <v>6600</v>
          </cell>
          <cell r="J451">
            <v>0</v>
          </cell>
          <cell r="K451">
            <v>800</v>
          </cell>
          <cell r="L451">
            <v>0</v>
          </cell>
          <cell r="M451">
            <v>0</v>
          </cell>
          <cell r="O451" t="str">
            <v>3Q15</v>
          </cell>
        </row>
        <row r="452">
          <cell r="E452">
            <v>10800</v>
          </cell>
          <cell r="F452">
            <v>0</v>
          </cell>
          <cell r="G452">
            <v>0</v>
          </cell>
          <cell r="H452">
            <v>4600</v>
          </cell>
          <cell r="I452">
            <v>7200</v>
          </cell>
          <cell r="J452">
            <v>0</v>
          </cell>
          <cell r="K452">
            <v>840</v>
          </cell>
          <cell r="L452">
            <v>0</v>
          </cell>
          <cell r="M452">
            <v>0</v>
          </cell>
          <cell r="O452" t="str">
            <v>4Q15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"/>
      <sheetName val="Controls"/>
      <sheetName val="Writeup"/>
      <sheetName val="Annual Review"/>
      <sheetName val="Instructions"/>
      <sheetName val="Data"/>
      <sheetName val="Debt Funding"/>
      <sheetName val="Equity"/>
      <sheetName val="Off-Balance Sheet"/>
      <sheetName val="Loan Classification"/>
      <sheetName val="Largest 10 Loans"/>
      <sheetName val="Loans to Employee &amp; Board"/>
      <sheetName val="Branch Info"/>
      <sheetName val="Savings Product"/>
    </sheetNames>
    <sheetDataSet>
      <sheetData sheetId="0"/>
      <sheetData sheetId="1"/>
      <sheetData sheetId="2"/>
      <sheetData sheetId="3"/>
      <sheetData sheetId="4"/>
      <sheetData sheetId="5">
        <row r="7">
          <cell r="F7" t="str">
            <v>Q104</v>
          </cell>
          <cell r="G7" t="str">
            <v>Q204</v>
          </cell>
          <cell r="H7" t="str">
            <v>Q304</v>
          </cell>
          <cell r="I7" t="str">
            <v>Q404</v>
          </cell>
          <cell r="J7" t="str">
            <v>Q105</v>
          </cell>
          <cell r="K7" t="str">
            <v>Q205</v>
          </cell>
          <cell r="L7" t="str">
            <v>Q305</v>
          </cell>
          <cell r="M7" t="str">
            <v>Q405</v>
          </cell>
          <cell r="N7" t="str">
            <v>Q106</v>
          </cell>
          <cell r="O7" t="str">
            <v>Q206</v>
          </cell>
          <cell r="P7" t="str">
            <v>Q306</v>
          </cell>
          <cell r="Q7" t="str">
            <v>Q406</v>
          </cell>
          <cell r="R7" t="str">
            <v>Q107</v>
          </cell>
          <cell r="S7" t="str">
            <v>Q207</v>
          </cell>
          <cell r="T7" t="str">
            <v>Q307</v>
          </cell>
          <cell r="U7" t="str">
            <v>Q407</v>
          </cell>
          <cell r="V7" t="str">
            <v>Q108</v>
          </cell>
          <cell r="W7" t="str">
            <v>Q208</v>
          </cell>
          <cell r="X7" t="str">
            <v>Q308</v>
          </cell>
          <cell r="Y7" t="str">
            <v>Q408</v>
          </cell>
          <cell r="Z7" t="str">
            <v>Q109</v>
          </cell>
          <cell r="AA7" t="str">
            <v>Q209</v>
          </cell>
          <cell r="AB7" t="str">
            <v>Q309</v>
          </cell>
          <cell r="AC7" t="str">
            <v>Q409</v>
          </cell>
          <cell r="AD7" t="str">
            <v>Q110</v>
          </cell>
          <cell r="AE7" t="str">
            <v>Q210</v>
          </cell>
          <cell r="AF7" t="str">
            <v>Q310</v>
          </cell>
          <cell r="AG7" t="str">
            <v>Q410</v>
          </cell>
          <cell r="AH7" t="str">
            <v>Q111</v>
          </cell>
          <cell r="AI7" t="str">
            <v>Q211</v>
          </cell>
          <cell r="AJ7" t="str">
            <v>Q311</v>
          </cell>
          <cell r="AK7" t="str">
            <v>Q411</v>
          </cell>
          <cell r="AL7" t="str">
            <v>Q112</v>
          </cell>
          <cell r="AM7" t="str">
            <v>Q212</v>
          </cell>
          <cell r="AN7" t="str">
            <v>Q312</v>
          </cell>
          <cell r="AO7" t="str">
            <v>Q412</v>
          </cell>
          <cell r="AP7" t="str">
            <v>Q113</v>
          </cell>
          <cell r="AQ7" t="str">
            <v>Q213</v>
          </cell>
          <cell r="AR7" t="str">
            <v>Q313</v>
          </cell>
          <cell r="AS7" t="str">
            <v>Q413</v>
          </cell>
          <cell r="AT7" t="str">
            <v>Q114</v>
          </cell>
          <cell r="AU7" t="str">
            <v>Q214</v>
          </cell>
          <cell r="AV7" t="str">
            <v>Q314</v>
          </cell>
          <cell r="AW7" t="str">
            <v>Q414</v>
          </cell>
          <cell r="AX7" t="str">
            <v>Q115</v>
          </cell>
          <cell r="AY7" t="str">
            <v>Q215</v>
          </cell>
          <cell r="AZ7" t="str">
            <v>Q315</v>
          </cell>
          <cell r="BA7" t="str">
            <v>Q415</v>
          </cell>
          <cell r="BB7" t="str">
            <v>Q116</v>
          </cell>
          <cell r="BC7" t="str">
            <v>Q216</v>
          </cell>
          <cell r="BD7" t="str">
            <v>Q316</v>
          </cell>
          <cell r="BE7" t="str">
            <v>Q416</v>
          </cell>
          <cell r="BF7" t="str">
            <v>Q117</v>
          </cell>
          <cell r="BG7" t="str">
            <v>Q217</v>
          </cell>
          <cell r="BH7" t="str">
            <v>Q317</v>
          </cell>
          <cell r="BI7" t="str">
            <v>Q417</v>
          </cell>
          <cell r="BJ7" t="str">
            <v>Q118</v>
          </cell>
          <cell r="BK7" t="str">
            <v>Q218</v>
          </cell>
          <cell r="BL7" t="str">
            <v>Q318</v>
          </cell>
          <cell r="BM7" t="str">
            <v>Q418</v>
          </cell>
          <cell r="BN7" t="str">
            <v>Q119</v>
          </cell>
          <cell r="BO7" t="str">
            <v>Q219</v>
          </cell>
          <cell r="BP7" t="str">
            <v>Q319</v>
          </cell>
          <cell r="BQ7" t="str">
            <v>Q419</v>
          </cell>
          <cell r="BR7" t="str">
            <v>Q120</v>
          </cell>
          <cell r="BS7" t="str">
            <v>Q220</v>
          </cell>
        </row>
        <row r="13">
          <cell r="M13">
            <v>0</v>
          </cell>
          <cell r="N13">
            <v>0</v>
          </cell>
          <cell r="O13">
            <v>4700293693.7199993</v>
          </cell>
          <cell r="P13">
            <v>5557581124</v>
          </cell>
          <cell r="Q13">
            <v>6523006030.7599983</v>
          </cell>
          <cell r="R13">
            <v>7756934212.9800005</v>
          </cell>
          <cell r="S13">
            <v>8339060503.0199995</v>
          </cell>
          <cell r="T13">
            <v>8894295628</v>
          </cell>
          <cell r="U13">
            <v>10291642028</v>
          </cell>
          <cell r="V13">
            <v>10880766561</v>
          </cell>
          <cell r="W13">
            <v>12169648067</v>
          </cell>
          <cell r="X13">
            <v>15517435116</v>
          </cell>
          <cell r="Y13">
            <v>17392023942.619995</v>
          </cell>
          <cell r="Z13">
            <v>17631155382.650002</v>
          </cell>
          <cell r="AA13">
            <v>16222626469.869999</v>
          </cell>
          <cell r="AB13">
            <v>16310340017.759998</v>
          </cell>
          <cell r="AC13">
            <v>17560322347.43</v>
          </cell>
          <cell r="AD13">
            <v>17551963347</v>
          </cell>
          <cell r="AE13">
            <v>18720210146.719997</v>
          </cell>
          <cell r="AF13">
            <v>22111611327.960007</v>
          </cell>
          <cell r="AG13">
            <v>25988254445.090004</v>
          </cell>
          <cell r="AH13">
            <v>28388684291.299999</v>
          </cell>
          <cell r="AI13">
            <v>30918004081.939999</v>
          </cell>
          <cell r="AJ13">
            <v>34006487778.32</v>
          </cell>
          <cell r="AK13">
            <v>36439612325.450012</v>
          </cell>
          <cell r="AL13">
            <v>38760037255.150002</v>
          </cell>
          <cell r="AM13">
            <v>39332980731.549995</v>
          </cell>
          <cell r="AN13">
            <v>44092702579.410004</v>
          </cell>
          <cell r="AO13">
            <v>50440584250.789993</v>
          </cell>
          <cell r="AP13">
            <v>55565436164.599998</v>
          </cell>
        </row>
        <row r="14">
          <cell r="M14">
            <v>0</v>
          </cell>
          <cell r="N14">
            <v>0</v>
          </cell>
          <cell r="O14">
            <v>200</v>
          </cell>
          <cell r="P14">
            <v>0</v>
          </cell>
          <cell r="Q14">
            <v>273889.8</v>
          </cell>
          <cell r="R14">
            <v>18600409.469999999</v>
          </cell>
          <cell r="S14">
            <v>22386397.530000001</v>
          </cell>
          <cell r="T14">
            <v>8764263</v>
          </cell>
          <cell r="U14">
            <v>49422746</v>
          </cell>
          <cell r="V14">
            <v>1275488</v>
          </cell>
          <cell r="W14">
            <v>17593031</v>
          </cell>
          <cell r="X14">
            <v>28386125</v>
          </cell>
          <cell r="Y14">
            <v>546879183.14999998</v>
          </cell>
          <cell r="Z14">
            <v>63759932.299999997</v>
          </cell>
          <cell r="AA14">
            <v>410515389.5</v>
          </cell>
          <cell r="AB14">
            <v>266346258.28000003</v>
          </cell>
          <cell r="AC14">
            <v>175942170.18999994</v>
          </cell>
          <cell r="AD14">
            <v>85050434</v>
          </cell>
          <cell r="AE14">
            <v>76928512.939999998</v>
          </cell>
          <cell r="AF14">
            <v>120014112.96999997</v>
          </cell>
          <cell r="AG14">
            <v>109150232.09000003</v>
          </cell>
          <cell r="AH14">
            <v>62221207</v>
          </cell>
          <cell r="AI14">
            <v>108011735</v>
          </cell>
          <cell r="AJ14">
            <v>90983322</v>
          </cell>
          <cell r="AK14">
            <v>183181996</v>
          </cell>
          <cell r="AL14">
            <v>219654153</v>
          </cell>
          <cell r="AM14">
            <v>144244078</v>
          </cell>
          <cell r="AN14">
            <v>166843194</v>
          </cell>
          <cell r="AO14">
            <v>272201093</v>
          </cell>
          <cell r="AP14">
            <v>297387622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4700293893.7199993</v>
          </cell>
          <cell r="P15">
            <v>5557581124</v>
          </cell>
          <cell r="Q15">
            <v>6523279920.5599985</v>
          </cell>
          <cell r="R15">
            <v>7775534622.4500008</v>
          </cell>
          <cell r="S15">
            <v>8361446900.5499992</v>
          </cell>
          <cell r="T15">
            <v>8903059891</v>
          </cell>
          <cell r="U15">
            <v>10341064774</v>
          </cell>
          <cell r="V15">
            <v>10882042049</v>
          </cell>
          <cell r="W15">
            <v>12187241098</v>
          </cell>
          <cell r="X15">
            <v>15545821241</v>
          </cell>
          <cell r="Y15">
            <v>17938903125.769997</v>
          </cell>
          <cell r="Z15">
            <v>17694915314.950001</v>
          </cell>
          <cell r="AA15">
            <v>16633141859.369999</v>
          </cell>
          <cell r="AB15">
            <v>16576686276.039999</v>
          </cell>
          <cell r="AC15">
            <v>17736264517.619999</v>
          </cell>
          <cell r="AD15">
            <v>17637013781</v>
          </cell>
          <cell r="AE15">
            <v>18797138659.659996</v>
          </cell>
          <cell r="AF15">
            <v>22231625440.930008</v>
          </cell>
          <cell r="AG15">
            <v>26097404677.180004</v>
          </cell>
          <cell r="AH15">
            <v>28450905498.299999</v>
          </cell>
          <cell r="AI15">
            <v>31026015816.939999</v>
          </cell>
          <cell r="AJ15">
            <v>34097471100.32</v>
          </cell>
          <cell r="AK15">
            <v>36622794321.450012</v>
          </cell>
          <cell r="AL15">
            <v>38979691408.150002</v>
          </cell>
          <cell r="AM15">
            <v>39477224809.549995</v>
          </cell>
          <cell r="AN15">
            <v>44259545773.410004</v>
          </cell>
          <cell r="AO15">
            <v>50712785343.789993</v>
          </cell>
          <cell r="AP15">
            <v>55862823786.599998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</row>
        <row r="16">
          <cell r="M16">
            <v>0</v>
          </cell>
          <cell r="N16">
            <v>0</v>
          </cell>
          <cell r="O16">
            <v>594502754</v>
          </cell>
          <cell r="P16">
            <v>770102275</v>
          </cell>
          <cell r="Q16">
            <v>910694519</v>
          </cell>
          <cell r="R16">
            <v>1267524882.6600001</v>
          </cell>
          <cell r="S16">
            <v>1255994867.3399999</v>
          </cell>
          <cell r="T16">
            <v>1304811005.0000002</v>
          </cell>
          <cell r="U16">
            <v>1791425839</v>
          </cell>
          <cell r="V16">
            <v>1812691164</v>
          </cell>
          <cell r="W16">
            <v>2634038581</v>
          </cell>
          <cell r="X16">
            <v>3210926310</v>
          </cell>
          <cell r="Y16">
            <v>3184943046.3200016</v>
          </cell>
          <cell r="Z16">
            <v>4456434578.5999994</v>
          </cell>
          <cell r="AA16">
            <v>4868095742.4800005</v>
          </cell>
          <cell r="AB16">
            <v>4707779252.7600002</v>
          </cell>
          <cell r="AC16">
            <v>4818904595.0200005</v>
          </cell>
          <cell r="AD16">
            <v>4755694483</v>
          </cell>
          <cell r="AE16">
            <v>5001565800.3199997</v>
          </cell>
          <cell r="AF16">
            <v>6333664544.1299992</v>
          </cell>
          <cell r="AG16">
            <v>6929969908.0500011</v>
          </cell>
          <cell r="AH16">
            <v>7331794615</v>
          </cell>
          <cell r="AI16">
            <v>7738772525</v>
          </cell>
          <cell r="AJ16">
            <v>8149155006</v>
          </cell>
          <cell r="AK16">
            <v>8933684156</v>
          </cell>
          <cell r="AL16">
            <v>9512131004</v>
          </cell>
          <cell r="AM16">
            <v>10246605639</v>
          </cell>
          <cell r="AN16">
            <v>12161029398.860001</v>
          </cell>
          <cell r="AO16">
            <v>14734212319.139999</v>
          </cell>
          <cell r="AP16">
            <v>16837308954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4105791139.7199993</v>
          </cell>
          <cell r="P17">
            <v>4787478849</v>
          </cell>
          <cell r="Q17">
            <v>5612585401.5599985</v>
          </cell>
          <cell r="R17">
            <v>6508009739.7900009</v>
          </cell>
          <cell r="S17">
            <v>7105452033.2099991</v>
          </cell>
          <cell r="T17">
            <v>7598248886</v>
          </cell>
          <cell r="U17">
            <v>8549638935</v>
          </cell>
          <cell r="V17">
            <v>9069350885</v>
          </cell>
          <cell r="W17">
            <v>9553202517</v>
          </cell>
          <cell r="X17">
            <v>12334894931</v>
          </cell>
          <cell r="Y17">
            <v>14753960079.449995</v>
          </cell>
          <cell r="Z17">
            <v>13238480736.350002</v>
          </cell>
          <cell r="AA17">
            <v>11765046116.889999</v>
          </cell>
          <cell r="AB17">
            <v>11868907023.279999</v>
          </cell>
          <cell r="AC17">
            <v>12917359922.599998</v>
          </cell>
          <cell r="AD17">
            <v>12881319298</v>
          </cell>
          <cell r="AE17">
            <v>13795572859.339996</v>
          </cell>
          <cell r="AF17">
            <v>15897960896.800009</v>
          </cell>
          <cell r="AG17">
            <v>19167434769.130005</v>
          </cell>
          <cell r="AH17">
            <v>21119110883.299999</v>
          </cell>
          <cell r="AI17">
            <v>23287243291.939999</v>
          </cell>
          <cell r="AJ17">
            <v>25948316094.32</v>
          </cell>
          <cell r="AK17">
            <v>27689110165.450012</v>
          </cell>
          <cell r="AL17">
            <v>29467560404.150002</v>
          </cell>
          <cell r="AM17">
            <v>29230619170.549995</v>
          </cell>
          <cell r="AN17">
            <v>32098516374.550003</v>
          </cell>
          <cell r="AO17">
            <v>35978573024.649994</v>
          </cell>
          <cell r="AP17">
            <v>39025514832.599998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</row>
        <row r="19">
          <cell r="M19">
            <v>0</v>
          </cell>
          <cell r="N19">
            <v>0</v>
          </cell>
          <cell r="O19">
            <v>2211939134</v>
          </cell>
          <cell r="P19">
            <v>2152933618</v>
          </cell>
          <cell r="Q19">
            <v>3428413774</v>
          </cell>
          <cell r="R19">
            <v>2872829026</v>
          </cell>
          <cell r="S19">
            <v>2605491419</v>
          </cell>
          <cell r="T19">
            <v>3205469163</v>
          </cell>
          <cell r="U19">
            <v>3614601222</v>
          </cell>
          <cell r="V19">
            <v>4460606004</v>
          </cell>
          <cell r="W19">
            <v>4428671037</v>
          </cell>
          <cell r="X19">
            <v>4809043396</v>
          </cell>
          <cell r="Y19">
            <v>4543714714</v>
          </cell>
          <cell r="Z19">
            <v>6540640225</v>
          </cell>
          <cell r="AA19">
            <v>6308881654</v>
          </cell>
          <cell r="AB19">
            <v>6105415815</v>
          </cell>
          <cell r="AC19">
            <v>4964381274</v>
          </cell>
          <cell r="AD19">
            <v>6937402463</v>
          </cell>
          <cell r="AE19">
            <v>7330296397</v>
          </cell>
          <cell r="AF19">
            <v>6818473655</v>
          </cell>
          <cell r="AG19">
            <v>5938052490.0000038</v>
          </cell>
          <cell r="AH19">
            <v>8291052912</v>
          </cell>
          <cell r="AI19">
            <v>9067459924</v>
          </cell>
          <cell r="AJ19">
            <v>9505617937</v>
          </cell>
          <cell r="AK19">
            <v>8511721595</v>
          </cell>
          <cell r="AL19">
            <v>9892386469.7000008</v>
          </cell>
          <cell r="AM19">
            <v>10415209323.299999</v>
          </cell>
          <cell r="AN19">
            <v>11091886523</v>
          </cell>
          <cell r="AO19">
            <v>11350353562</v>
          </cell>
          <cell r="AP19">
            <v>12560562901.6</v>
          </cell>
        </row>
        <row r="20">
          <cell r="M20">
            <v>0</v>
          </cell>
          <cell r="N20">
            <v>0</v>
          </cell>
          <cell r="O20">
            <v>327918</v>
          </cell>
          <cell r="P20">
            <v>0</v>
          </cell>
          <cell r="Q20">
            <v>282930756</v>
          </cell>
          <cell r="R20">
            <v>114660771</v>
          </cell>
          <cell r="S20">
            <v>149732586</v>
          </cell>
          <cell r="T20">
            <v>130117941</v>
          </cell>
          <cell r="U20">
            <v>121804839</v>
          </cell>
          <cell r="V20">
            <v>119614068</v>
          </cell>
          <cell r="W20">
            <v>125652418</v>
          </cell>
          <cell r="X20">
            <v>129971331</v>
          </cell>
          <cell r="Y20">
            <v>153583952</v>
          </cell>
          <cell r="Z20">
            <v>126327374</v>
          </cell>
          <cell r="AA20">
            <v>143862016</v>
          </cell>
          <cell r="AB20">
            <v>279922060</v>
          </cell>
          <cell r="AC20">
            <v>304246763</v>
          </cell>
          <cell r="AD20">
            <v>270599893</v>
          </cell>
          <cell r="AE20">
            <v>350744208</v>
          </cell>
          <cell r="AF20">
            <v>443350245</v>
          </cell>
          <cell r="AG20">
            <v>463863764</v>
          </cell>
          <cell r="AH20">
            <v>395054468</v>
          </cell>
          <cell r="AI20">
            <v>388286529</v>
          </cell>
          <cell r="AJ20">
            <v>464234319</v>
          </cell>
          <cell r="AK20">
            <v>532296671</v>
          </cell>
          <cell r="AL20">
            <v>430383497</v>
          </cell>
          <cell r="AM20">
            <v>508660787</v>
          </cell>
          <cell r="AN20">
            <v>610232773</v>
          </cell>
          <cell r="AO20">
            <v>873669321</v>
          </cell>
          <cell r="AP20">
            <v>1076482194</v>
          </cell>
        </row>
        <row r="21">
          <cell r="M21">
            <v>0</v>
          </cell>
          <cell r="N21">
            <v>0</v>
          </cell>
          <cell r="O21">
            <v>1072635732</v>
          </cell>
          <cell r="P21">
            <v>1072050191</v>
          </cell>
          <cell r="Q21">
            <v>2015098659</v>
          </cell>
          <cell r="R21">
            <v>1271134914</v>
          </cell>
          <cell r="S21">
            <v>1582657332</v>
          </cell>
          <cell r="T21">
            <v>1548094518</v>
          </cell>
          <cell r="U21">
            <v>2523957533</v>
          </cell>
          <cell r="V21">
            <v>1867045722</v>
          </cell>
          <cell r="W21">
            <v>2780097187</v>
          </cell>
          <cell r="X21">
            <v>2700467782</v>
          </cell>
          <cell r="Y21">
            <v>2995152304</v>
          </cell>
          <cell r="Z21">
            <v>1614366848.5</v>
          </cell>
          <cell r="AA21">
            <v>2224078855.5</v>
          </cell>
          <cell r="AB21">
            <v>2210095273</v>
          </cell>
          <cell r="AC21">
            <v>3075989090.8600006</v>
          </cell>
          <cell r="AD21">
            <v>2742171428</v>
          </cell>
          <cell r="AE21">
            <v>3267569948.5200005</v>
          </cell>
          <cell r="AF21">
            <v>3451860402.9799995</v>
          </cell>
          <cell r="AG21">
            <v>3155174275.5</v>
          </cell>
          <cell r="AH21">
            <v>4021975668.5</v>
          </cell>
          <cell r="AI21">
            <v>4168997548.625</v>
          </cell>
          <cell r="AJ21">
            <v>3112390223.5149994</v>
          </cell>
          <cell r="AK21">
            <v>3343308470.3600006</v>
          </cell>
          <cell r="AL21">
            <v>4828451887.0500002</v>
          </cell>
          <cell r="AM21">
            <v>4181468775.8000002</v>
          </cell>
          <cell r="AN21">
            <v>4391906195</v>
          </cell>
          <cell r="AO21">
            <v>6549755660.1499996</v>
          </cell>
          <cell r="AP21">
            <v>6645041934.9499998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3284902784</v>
          </cell>
          <cell r="P22">
            <v>3224983809</v>
          </cell>
          <cell r="Q22">
            <v>5726443189</v>
          </cell>
          <cell r="R22">
            <v>4258624711</v>
          </cell>
          <cell r="S22">
            <v>4337881337</v>
          </cell>
          <cell r="T22">
            <v>4883681622</v>
          </cell>
          <cell r="U22">
            <v>6260363594</v>
          </cell>
          <cell r="V22">
            <v>6447265794</v>
          </cell>
          <cell r="W22">
            <v>7334420642</v>
          </cell>
          <cell r="X22">
            <v>7639482509</v>
          </cell>
          <cell r="Y22">
            <v>7692450970</v>
          </cell>
          <cell r="Z22">
            <v>8281334447.5</v>
          </cell>
          <cell r="AA22">
            <v>8676822525.5</v>
          </cell>
          <cell r="AB22">
            <v>8595433148</v>
          </cell>
          <cell r="AC22">
            <v>8344617127.8600006</v>
          </cell>
          <cell r="AD22">
            <v>9950173784</v>
          </cell>
          <cell r="AE22">
            <v>10948610553.52</v>
          </cell>
          <cell r="AF22">
            <v>10713684302.98</v>
          </cell>
          <cell r="AG22">
            <v>9557090529.5000038</v>
          </cell>
          <cell r="AH22">
            <v>12708083048.5</v>
          </cell>
          <cell r="AI22">
            <v>13624744001.625</v>
          </cell>
          <cell r="AJ22">
            <v>13082242479.514999</v>
          </cell>
          <cell r="AK22">
            <v>12387326736.360001</v>
          </cell>
          <cell r="AL22">
            <v>15151221853.75</v>
          </cell>
          <cell r="AM22">
            <v>15105338886.099998</v>
          </cell>
          <cell r="AN22">
            <v>16094025491</v>
          </cell>
          <cell r="AO22">
            <v>18773778543.150002</v>
          </cell>
          <cell r="AP22">
            <v>20282087030.549999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</row>
        <row r="24">
          <cell r="M24">
            <v>0</v>
          </cell>
          <cell r="N24">
            <v>0</v>
          </cell>
          <cell r="O24">
            <v>-17398889</v>
          </cell>
          <cell r="P24">
            <v>11444574</v>
          </cell>
          <cell r="Q24">
            <v>183751145</v>
          </cell>
          <cell r="R24">
            <v>105862118</v>
          </cell>
          <cell r="S24">
            <v>75881046</v>
          </cell>
          <cell r="T24">
            <v>89414283</v>
          </cell>
          <cell r="U24">
            <v>445147685</v>
          </cell>
          <cell r="V24">
            <v>18661476</v>
          </cell>
          <cell r="W24">
            <v>459316899</v>
          </cell>
          <cell r="X24">
            <v>846517215</v>
          </cell>
          <cell r="Y24">
            <v>505921227.16000009</v>
          </cell>
          <cell r="Z24">
            <v>150687313.19999999</v>
          </cell>
          <cell r="AA24">
            <v>-32505693.669999987</v>
          </cell>
          <cell r="AB24">
            <v>773804861.63999999</v>
          </cell>
          <cell r="AC24">
            <v>1224258857.6300001</v>
          </cell>
          <cell r="AD24">
            <v>711248914</v>
          </cell>
          <cell r="AE24">
            <v>1066247847.52</v>
          </cell>
          <cell r="AF24">
            <v>1244044100.72</v>
          </cell>
          <cell r="AG24">
            <v>1363946110.1199999</v>
          </cell>
          <cell r="AH24">
            <v>745996721.39999998</v>
          </cell>
          <cell r="AI24">
            <v>433015014.64999998</v>
          </cell>
          <cell r="AJ24">
            <v>747171257.59000015</v>
          </cell>
          <cell r="AK24">
            <v>1051984514.7899997</v>
          </cell>
          <cell r="AL24">
            <v>358196350</v>
          </cell>
          <cell r="AM24">
            <v>762448151.3499999</v>
          </cell>
          <cell r="AN24">
            <v>1889019709.7800002</v>
          </cell>
          <cell r="AO24">
            <v>1299205714.96</v>
          </cell>
          <cell r="AP24">
            <v>3140100750.7000003</v>
          </cell>
        </row>
        <row r="25">
          <cell r="M25">
            <v>0</v>
          </cell>
          <cell r="N25">
            <v>0</v>
          </cell>
          <cell r="O25">
            <v>2981972.12</v>
          </cell>
          <cell r="P25">
            <v>2673424</v>
          </cell>
          <cell r="Q25">
            <v>127333982.03999999</v>
          </cell>
          <cell r="R25">
            <v>124322494</v>
          </cell>
          <cell r="S25">
            <v>161150287</v>
          </cell>
          <cell r="T25">
            <v>-161937680</v>
          </cell>
          <cell r="U25">
            <v>503100235</v>
          </cell>
          <cell r="V25">
            <v>150348025</v>
          </cell>
          <cell r="W25">
            <v>235787147</v>
          </cell>
          <cell r="X25">
            <v>102474942</v>
          </cell>
          <cell r="Y25">
            <v>-240898375.52000001</v>
          </cell>
          <cell r="Z25">
            <v>35349651.560000002</v>
          </cell>
          <cell r="AA25">
            <v>-378018106.75</v>
          </cell>
          <cell r="AB25">
            <v>-83158214.040000021</v>
          </cell>
          <cell r="AC25">
            <v>170239822.03000003</v>
          </cell>
          <cell r="AD25">
            <v>-29892180</v>
          </cell>
          <cell r="AE25">
            <v>-26757333.640000001</v>
          </cell>
          <cell r="AF25">
            <v>-35527812.219999999</v>
          </cell>
          <cell r="AG25">
            <v>188085360.58000225</v>
          </cell>
          <cell r="AH25">
            <v>-49710217.300000004</v>
          </cell>
          <cell r="AI25">
            <v>540999176.66999996</v>
          </cell>
          <cell r="AJ25">
            <v>141895848.21000004</v>
          </cell>
          <cell r="AK25">
            <v>-75857728.610000014</v>
          </cell>
          <cell r="AL25">
            <v>-252617771</v>
          </cell>
          <cell r="AM25">
            <v>570634845.4000001</v>
          </cell>
          <cell r="AN25">
            <v>-42149605.090000033</v>
          </cell>
          <cell r="AO25">
            <v>87163054.889999986</v>
          </cell>
          <cell r="AP25">
            <v>596115994.94000006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841269216.83999932</v>
          </cell>
          <cell r="P27">
            <v>1553723890</v>
          </cell>
          <cell r="Q27">
            <v>-170274950.4000015</v>
          </cell>
          <cell r="R27">
            <v>2267845404.7900009</v>
          </cell>
          <cell r="S27">
            <v>2852839937.2099991</v>
          </cell>
          <cell r="T27">
            <v>2463215301</v>
          </cell>
          <cell r="U27">
            <v>2347227891</v>
          </cell>
          <cell r="V27">
            <v>2753771640</v>
          </cell>
          <cell r="W27">
            <v>1995252123</v>
          </cell>
          <cell r="X27">
            <v>3951370149</v>
          </cell>
          <cell r="Y27">
            <v>6314689506.7699947</v>
          </cell>
          <cell r="Z27">
            <v>4841808627.2100029</v>
          </cell>
          <cell r="AA27">
            <v>2742711178.3099995</v>
          </cell>
          <cell r="AB27">
            <v>2416510799.599999</v>
          </cell>
          <cell r="AC27">
            <v>3518723759.139998</v>
          </cell>
          <cell r="AD27">
            <v>2190004420</v>
          </cell>
          <cell r="AE27">
            <v>1753957124.6599958</v>
          </cell>
          <cell r="AF27">
            <v>3904704680.8800092</v>
          </cell>
          <cell r="AG27">
            <v>8434483490.090003</v>
          </cell>
          <cell r="AH27">
            <v>7615320896.0999994</v>
          </cell>
          <cell r="AI27">
            <v>9770483452.3349991</v>
          </cell>
          <cell r="AJ27">
            <v>12260798205.424999</v>
          </cell>
          <cell r="AK27">
            <v>14173941185.690012</v>
          </cell>
          <cell r="AL27">
            <v>13705524429.400002</v>
          </cell>
          <cell r="AM27">
            <v>13933466978.499996</v>
          </cell>
          <cell r="AN27">
            <v>14073321568.680002</v>
          </cell>
          <cell r="AO27">
            <v>15992751821.429993</v>
          </cell>
          <cell r="AP27">
            <v>16199443046.289999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</row>
        <row r="28">
          <cell r="M28">
            <v>0</v>
          </cell>
          <cell r="N28">
            <v>0</v>
          </cell>
          <cell r="O28">
            <v>-97880806.799999997</v>
          </cell>
          <cell r="P28">
            <v>6063884</v>
          </cell>
          <cell r="Q28">
            <v>-72466078</v>
          </cell>
          <cell r="R28">
            <v>-167146356</v>
          </cell>
          <cell r="S28">
            <v>-183757122</v>
          </cell>
          <cell r="T28">
            <v>66714351</v>
          </cell>
          <cell r="U28">
            <v>-420335162</v>
          </cell>
          <cell r="V28">
            <v>-200701874</v>
          </cell>
          <cell r="W28">
            <v>-23239683</v>
          </cell>
          <cell r="X28">
            <v>463197593</v>
          </cell>
          <cell r="Y28">
            <v>247632498</v>
          </cell>
          <cell r="Z28">
            <v>442803063</v>
          </cell>
          <cell r="AA28">
            <v>258629715</v>
          </cell>
          <cell r="AB28">
            <v>457059559</v>
          </cell>
          <cell r="AC28">
            <v>30734159</v>
          </cell>
          <cell r="AD28">
            <v>459892750</v>
          </cell>
          <cell r="AE28">
            <v>177558300</v>
          </cell>
          <cell r="AF28">
            <v>336786879</v>
          </cell>
          <cell r="AG28">
            <v>243006745</v>
          </cell>
          <cell r="AH28">
            <v>0</v>
          </cell>
          <cell r="AI28">
            <v>0</v>
          </cell>
          <cell r="AJ28">
            <v>0</v>
          </cell>
          <cell r="AK28">
            <v>288300750</v>
          </cell>
          <cell r="AL28">
            <v>203200</v>
          </cell>
          <cell r="AM28">
            <v>0</v>
          </cell>
          <cell r="AN28">
            <v>0</v>
          </cell>
          <cell r="AO28">
            <v>204190800</v>
          </cell>
          <cell r="AP28">
            <v>0</v>
          </cell>
        </row>
        <row r="29">
          <cell r="Y29">
            <v>223941557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17500000</v>
          </cell>
          <cell r="AI29">
            <v>20150150</v>
          </cell>
          <cell r="AJ29">
            <v>411900</v>
          </cell>
          <cell r="AK29">
            <v>79737096</v>
          </cell>
          <cell r="AL29">
            <v>0</v>
          </cell>
          <cell r="AM29">
            <v>20325000</v>
          </cell>
          <cell r="AN29">
            <v>403500</v>
          </cell>
          <cell r="AO29">
            <v>140250</v>
          </cell>
          <cell r="AP29">
            <v>95245255</v>
          </cell>
        </row>
        <row r="30">
          <cell r="V30">
            <v>510613953</v>
          </cell>
          <cell r="W30">
            <v>394402488</v>
          </cell>
          <cell r="X30">
            <v>882913548</v>
          </cell>
          <cell r="Y30">
            <v>1999358936.737999</v>
          </cell>
          <cell r="Z30">
            <v>1189425908.0420001</v>
          </cell>
          <cell r="AA30">
            <v>780738352.85800004</v>
          </cell>
          <cell r="AB30">
            <v>716442850.53999996</v>
          </cell>
          <cell r="AC30">
            <v>864468472.40999985</v>
          </cell>
          <cell r="AD30">
            <v>529979434</v>
          </cell>
          <cell r="AE30">
            <v>386303084.93199998</v>
          </cell>
          <cell r="AF30">
            <v>848298311.97600007</v>
          </cell>
          <cell r="AG30">
            <v>1991206054.02</v>
          </cell>
          <cell r="AH30">
            <v>1519564179.2199998</v>
          </cell>
          <cell r="AI30">
            <v>1981484647.0670004</v>
          </cell>
          <cell r="AJ30">
            <v>2477575184.4850011</v>
          </cell>
          <cell r="AK30">
            <v>2912866463.2279987</v>
          </cell>
          <cell r="AL30">
            <v>2770449807.4200001</v>
          </cell>
          <cell r="AM30">
            <v>2806449616.7600002</v>
          </cell>
          <cell r="AN30">
            <v>2852125793.7360001</v>
          </cell>
          <cell r="AO30">
            <v>3307938571.4860001</v>
          </cell>
          <cell r="AP30">
            <v>3259624187.4580002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743388410.03999937</v>
          </cell>
          <cell r="P31">
            <v>1559787774</v>
          </cell>
          <cell r="Q31">
            <v>-242741028.4000015</v>
          </cell>
          <cell r="R31">
            <v>2100699048.7900009</v>
          </cell>
          <cell r="S31">
            <v>2669082815.2099991</v>
          </cell>
          <cell r="T31">
            <v>2529929652</v>
          </cell>
          <cell r="U31">
            <v>1926892729</v>
          </cell>
          <cell r="V31">
            <v>2042455813</v>
          </cell>
          <cell r="W31">
            <v>1577609952</v>
          </cell>
          <cell r="X31">
            <v>3531654194</v>
          </cell>
          <cell r="Y31">
            <v>4339021511.0319958</v>
          </cell>
          <cell r="Z31">
            <v>4095185782.1680031</v>
          </cell>
          <cell r="AA31">
            <v>2220602540.4519997</v>
          </cell>
          <cell r="AB31">
            <v>2157127508.059999</v>
          </cell>
          <cell r="AC31">
            <v>2684989445.7299981</v>
          </cell>
          <cell r="AD31">
            <v>2119917736</v>
          </cell>
          <cell r="AE31">
            <v>1545212339.7279959</v>
          </cell>
          <cell r="AF31">
            <v>3393193247.9040089</v>
          </cell>
          <cell r="AG31">
            <v>6686284181.0700035</v>
          </cell>
          <cell r="AH31">
            <v>6078256716.8799992</v>
          </cell>
          <cell r="AI31">
            <v>7768848655.2679987</v>
          </cell>
          <cell r="AJ31">
            <v>9782811120.9399986</v>
          </cell>
          <cell r="AK31">
            <v>11469638376.462013</v>
          </cell>
          <cell r="AL31">
            <v>10935277821.980001</v>
          </cell>
          <cell r="AM31">
            <v>11106692361.739996</v>
          </cell>
          <cell r="AN31">
            <v>11220792274.944002</v>
          </cell>
          <cell r="AO31">
            <v>12888863799.943993</v>
          </cell>
          <cell r="AP31">
            <v>12844573603.831999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</row>
        <row r="32">
          <cell r="U32">
            <v>9226604245</v>
          </cell>
        </row>
        <row r="33">
          <cell r="U33">
            <v>7598046853.1499977</v>
          </cell>
        </row>
        <row r="36">
          <cell r="M36">
            <v>0</v>
          </cell>
          <cell r="N36">
            <v>0</v>
          </cell>
          <cell r="O36">
            <v>63421906799</v>
          </cell>
          <cell r="P36">
            <v>66206028248</v>
          </cell>
          <cell r="Y36">
            <v>3489961056</v>
          </cell>
          <cell r="Z36">
            <v>39970155653</v>
          </cell>
          <cell r="AA36">
            <v>58240914066</v>
          </cell>
          <cell r="AB36">
            <v>34180500292</v>
          </cell>
          <cell r="AC36">
            <v>18883796339</v>
          </cell>
          <cell r="AD36">
            <v>11629027862</v>
          </cell>
          <cell r="AE36">
            <v>9762093403</v>
          </cell>
          <cell r="AF36">
            <v>21357942645</v>
          </cell>
          <cell r="AG36">
            <v>23530228581.220001</v>
          </cell>
          <cell r="AH36">
            <v>12685213981.299999</v>
          </cell>
          <cell r="AI36">
            <v>13127523644.690001</v>
          </cell>
          <cell r="AJ36">
            <v>9391482114.8400002</v>
          </cell>
          <cell r="AK36">
            <v>9870100995.2900009</v>
          </cell>
          <cell r="AL36">
            <v>9357313650.9500008</v>
          </cell>
          <cell r="AM36">
            <v>48410972259.25</v>
          </cell>
          <cell r="AN36">
            <v>45246595622.93</v>
          </cell>
          <cell r="AO36">
            <v>125127635637.3</v>
          </cell>
          <cell r="AP36">
            <v>96995694421.350006</v>
          </cell>
        </row>
        <row r="37">
          <cell r="M37">
            <v>0</v>
          </cell>
          <cell r="N37">
            <v>0</v>
          </cell>
          <cell r="O37">
            <v>56090363434</v>
          </cell>
          <cell r="P37">
            <v>63580934074.119995</v>
          </cell>
          <cell r="Q37">
            <v>89416247051</v>
          </cell>
          <cell r="R37">
            <v>97960704738</v>
          </cell>
          <cell r="S37">
            <v>102825600024</v>
          </cell>
          <cell r="T37">
            <v>114736112729</v>
          </cell>
          <cell r="U37">
            <v>134294967538</v>
          </cell>
          <cell r="V37">
            <v>144254897900</v>
          </cell>
          <cell r="W37">
            <v>178823980711</v>
          </cell>
          <cell r="X37">
            <v>220697673323</v>
          </cell>
          <cell r="Y37">
            <v>240394456417</v>
          </cell>
          <cell r="Z37">
            <v>226260633401</v>
          </cell>
          <cell r="AA37">
            <v>209901059089</v>
          </cell>
          <cell r="AB37">
            <v>234017419397</v>
          </cell>
          <cell r="AC37">
            <v>267182990039</v>
          </cell>
          <cell r="AD37">
            <v>275738811312</v>
          </cell>
          <cell r="AE37">
            <v>308305390679</v>
          </cell>
          <cell r="AF37">
            <v>373522774489</v>
          </cell>
          <cell r="AG37">
            <v>425373582046.72998</v>
          </cell>
          <cell r="AH37">
            <v>473652322939.90002</v>
          </cell>
          <cell r="AI37">
            <v>502447250338.52002</v>
          </cell>
          <cell r="AJ37">
            <v>545000960842.31995</v>
          </cell>
          <cell r="AK37">
            <v>610857071218.12</v>
          </cell>
          <cell r="AL37">
            <v>632179015675</v>
          </cell>
          <cell r="AM37">
            <v>671004143375.30005</v>
          </cell>
          <cell r="AN37">
            <v>789826058451.52002</v>
          </cell>
          <cell r="AO37">
            <v>858356088470.75</v>
          </cell>
          <cell r="AP37">
            <v>1054983834948</v>
          </cell>
        </row>
        <row r="38">
          <cell r="M38">
            <v>0</v>
          </cell>
          <cell r="N38">
            <v>0</v>
          </cell>
          <cell r="O38">
            <v>1332140980</v>
          </cell>
          <cell r="P38">
            <v>1343586306.0999999</v>
          </cell>
          <cell r="Q38">
            <v>1527334894</v>
          </cell>
          <cell r="R38">
            <v>1633197000</v>
          </cell>
          <cell r="S38">
            <v>1709078059</v>
          </cell>
          <cell r="T38">
            <v>1798492353</v>
          </cell>
          <cell r="U38">
            <v>2243639998</v>
          </cell>
          <cell r="V38">
            <v>2262301474</v>
          </cell>
          <cell r="W38">
            <v>2721618373</v>
          </cell>
          <cell r="X38">
            <v>3568135588</v>
          </cell>
          <cell r="Y38">
            <v>3898226853</v>
          </cell>
          <cell r="Z38">
            <v>4048914166</v>
          </cell>
          <cell r="AA38">
            <v>4016408473</v>
          </cell>
          <cell r="AB38">
            <v>4790213334</v>
          </cell>
          <cell r="AC38">
            <v>5657860804</v>
          </cell>
          <cell r="AD38">
            <v>6369109720</v>
          </cell>
          <cell r="AE38">
            <v>7435357564</v>
          </cell>
          <cell r="AF38">
            <v>8679401667</v>
          </cell>
          <cell r="AG38">
            <v>10043347776</v>
          </cell>
          <cell r="AH38">
            <v>10789344326</v>
          </cell>
          <cell r="AI38">
            <v>11222359321.870001</v>
          </cell>
          <cell r="AJ38">
            <v>8630026325.0599632</v>
          </cell>
          <cell r="AK38">
            <v>9681943733.4899998</v>
          </cell>
          <cell r="AL38">
            <v>10040140083.550001</v>
          </cell>
          <cell r="AM38">
            <v>10802588264.85</v>
          </cell>
          <cell r="AN38">
            <v>12691607814.889999</v>
          </cell>
          <cell r="AO38">
            <v>13381379198.15</v>
          </cell>
          <cell r="AP38">
            <v>16521519694.65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54758222454</v>
          </cell>
          <cell r="P39">
            <v>62237347768.019997</v>
          </cell>
          <cell r="Q39">
            <v>87888912157</v>
          </cell>
          <cell r="R39">
            <v>96327507738</v>
          </cell>
          <cell r="S39">
            <v>101116521965</v>
          </cell>
          <cell r="T39">
            <v>112937620376</v>
          </cell>
          <cell r="U39">
            <v>132051327540</v>
          </cell>
          <cell r="V39">
            <v>141992596426</v>
          </cell>
          <cell r="W39">
            <v>176102362338</v>
          </cell>
          <cell r="X39">
            <v>217129537735</v>
          </cell>
          <cell r="Y39">
            <v>236496229564</v>
          </cell>
          <cell r="Z39">
            <v>222211719235</v>
          </cell>
          <cell r="AA39">
            <v>205884650616</v>
          </cell>
          <cell r="AB39">
            <v>229227206063</v>
          </cell>
          <cell r="AC39">
            <v>261525129235</v>
          </cell>
          <cell r="AD39">
            <v>269369701592</v>
          </cell>
          <cell r="AE39">
            <v>300870033115</v>
          </cell>
          <cell r="AF39">
            <v>364843372822</v>
          </cell>
          <cell r="AG39">
            <v>415330234270.72998</v>
          </cell>
          <cell r="AH39">
            <v>462862978613.90002</v>
          </cell>
          <cell r="AI39">
            <v>491224891016.65002</v>
          </cell>
          <cell r="AJ39">
            <v>536370934517.26001</v>
          </cell>
          <cell r="AK39">
            <v>601175127484.63</v>
          </cell>
          <cell r="AL39">
            <v>622138875591.44995</v>
          </cell>
          <cell r="AM39">
            <v>660201555110.45007</v>
          </cell>
          <cell r="AN39">
            <v>777134450636.63</v>
          </cell>
          <cell r="AO39">
            <v>844974709272.59998</v>
          </cell>
          <cell r="AP39">
            <v>1038462315253.35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</row>
        <row r="41">
          <cell r="Q41">
            <v>1537304739</v>
          </cell>
          <cell r="R41">
            <v>1548321013</v>
          </cell>
          <cell r="S41">
            <v>1464476346</v>
          </cell>
          <cell r="T41">
            <v>1387533831</v>
          </cell>
          <cell r="U41">
            <v>1397720262</v>
          </cell>
          <cell r="V41">
            <v>1428577850</v>
          </cell>
          <cell r="W41">
            <v>1637411689</v>
          </cell>
          <cell r="X41">
            <v>1637118409</v>
          </cell>
          <cell r="Y41">
            <v>1610305793</v>
          </cell>
          <cell r="Z41">
            <v>2581135551</v>
          </cell>
          <cell r="AA41">
            <v>4711972149</v>
          </cell>
          <cell r="AB41">
            <v>6158145987</v>
          </cell>
          <cell r="AC41">
            <v>6980812202</v>
          </cell>
          <cell r="AD41">
            <v>7057378787</v>
          </cell>
          <cell r="AE41">
            <v>7597637590</v>
          </cell>
          <cell r="AF41">
            <v>7572981574</v>
          </cell>
          <cell r="AG41">
            <v>7222052192</v>
          </cell>
          <cell r="AH41">
            <v>6958888010</v>
          </cell>
          <cell r="AI41">
            <v>6710436759</v>
          </cell>
          <cell r="AJ41">
            <v>7237603164</v>
          </cell>
          <cell r="AK41">
            <v>7127866526</v>
          </cell>
          <cell r="AL41">
            <v>8828963620</v>
          </cell>
          <cell r="AM41">
            <v>11364209939</v>
          </cell>
          <cell r="AN41">
            <v>13653612893</v>
          </cell>
          <cell r="AO41">
            <v>16675663889</v>
          </cell>
          <cell r="AP41">
            <v>17188461274</v>
          </cell>
        </row>
        <row r="42">
          <cell r="Q42">
            <v>16530905216</v>
          </cell>
          <cell r="R42">
            <v>9675097792</v>
          </cell>
          <cell r="S42">
            <v>4391952927</v>
          </cell>
          <cell r="T42">
            <v>20211760400</v>
          </cell>
          <cell r="U42">
            <v>14736534714</v>
          </cell>
          <cell r="V42">
            <v>13628643200</v>
          </cell>
          <cell r="W42">
            <v>18160863424</v>
          </cell>
          <cell r="X42">
            <v>13884359731</v>
          </cell>
          <cell r="Y42">
            <v>6417544460</v>
          </cell>
          <cell r="Z42">
            <v>13578485904</v>
          </cell>
          <cell r="AA42">
            <v>11607932609</v>
          </cell>
          <cell r="AB42">
            <v>12799970797</v>
          </cell>
          <cell r="AC42">
            <v>7898928948</v>
          </cell>
          <cell r="AD42">
            <v>6659155388</v>
          </cell>
          <cell r="AE42">
            <v>7177962529</v>
          </cell>
          <cell r="AF42">
            <v>18532478790</v>
          </cell>
          <cell r="AG42">
            <v>8783148695.8500004</v>
          </cell>
          <cell r="AH42">
            <v>8935139781.8999996</v>
          </cell>
          <cell r="AI42">
            <v>8806439463.3000011</v>
          </cell>
          <cell r="AJ42">
            <v>10069165124.52</v>
          </cell>
          <cell r="AK42">
            <v>11858143891.269999</v>
          </cell>
          <cell r="AL42">
            <v>12049022252.202051</v>
          </cell>
          <cell r="AM42">
            <v>13804281005.593451</v>
          </cell>
          <cell r="AN42">
            <v>18017506469.422207</v>
          </cell>
          <cell r="AO42">
            <v>18699308473.320198</v>
          </cell>
          <cell r="AP42">
            <v>22485036446.807999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118180129253</v>
          </cell>
          <cell r="P43">
            <v>128443376016.01999</v>
          </cell>
          <cell r="Q43">
            <v>105957122112</v>
          </cell>
          <cell r="R43">
            <v>107550926543</v>
          </cell>
          <cell r="S43">
            <v>106972951238</v>
          </cell>
          <cell r="T43">
            <v>134536914607</v>
          </cell>
          <cell r="U43">
            <v>148185582516</v>
          </cell>
          <cell r="V43">
            <v>157049817476</v>
          </cell>
          <cell r="W43">
            <v>195900637451</v>
          </cell>
          <cell r="X43">
            <v>232651015875</v>
          </cell>
          <cell r="Y43">
            <v>248014040873</v>
          </cell>
          <cell r="Z43">
            <v>278341496343</v>
          </cell>
          <cell r="AA43">
            <v>280445469440</v>
          </cell>
          <cell r="AB43">
            <v>282365823139</v>
          </cell>
          <cell r="AC43">
            <v>295288666724</v>
          </cell>
          <cell r="AD43">
            <v>294715263629</v>
          </cell>
          <cell r="AE43">
            <v>325407726637</v>
          </cell>
          <cell r="AF43">
            <v>412306775831</v>
          </cell>
          <cell r="AG43">
            <v>454865663739.79993</v>
          </cell>
          <cell r="AH43">
            <v>491442220387.10004</v>
          </cell>
          <cell r="AI43">
            <v>519869290883.64001</v>
          </cell>
          <cell r="AJ43">
            <v>563069184920.62</v>
          </cell>
          <cell r="AK43">
            <v>630031238897.19006</v>
          </cell>
          <cell r="AL43">
            <v>652374175114.60193</v>
          </cell>
          <cell r="AM43">
            <v>733781018314.29358</v>
          </cell>
          <cell r="AN43">
            <v>854052165621.9823</v>
          </cell>
          <cell r="AO43">
            <v>1005477317272.2202</v>
          </cell>
          <cell r="AP43">
            <v>1175131507395.5081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</row>
        <row r="45">
          <cell r="M45">
            <v>0</v>
          </cell>
          <cell r="N45">
            <v>0</v>
          </cell>
          <cell r="O45">
            <v>1141563241.7</v>
          </cell>
          <cell r="P45">
            <v>791325349.39999998</v>
          </cell>
          <cell r="Q45">
            <v>907900091</v>
          </cell>
          <cell r="R45">
            <v>736316506</v>
          </cell>
          <cell r="S45">
            <v>733812220</v>
          </cell>
          <cell r="T45">
            <v>731101285</v>
          </cell>
          <cell r="U45">
            <v>908617080</v>
          </cell>
          <cell r="V45">
            <v>514293951</v>
          </cell>
          <cell r="W45">
            <v>469868011</v>
          </cell>
          <cell r="X45">
            <v>529223758</v>
          </cell>
          <cell r="Y45">
            <v>254872268</v>
          </cell>
          <cell r="Z45">
            <v>555868077</v>
          </cell>
          <cell r="AA45">
            <v>449882534</v>
          </cell>
          <cell r="AB45">
            <v>662597714</v>
          </cell>
          <cell r="AC45">
            <v>2006347260</v>
          </cell>
          <cell r="AD45">
            <v>815655914</v>
          </cell>
          <cell r="AE45">
            <v>933390422</v>
          </cell>
          <cell r="AF45">
            <v>835298941</v>
          </cell>
          <cell r="AG45">
            <v>749526296.78999996</v>
          </cell>
          <cell r="AH45">
            <v>1097748734.8999999</v>
          </cell>
          <cell r="AI45">
            <v>2562539461.3099999</v>
          </cell>
          <cell r="AJ45">
            <v>4783895268.8000002</v>
          </cell>
          <cell r="AK45">
            <v>5574335388.0500002</v>
          </cell>
          <cell r="AL45">
            <v>9544629666.4500008</v>
          </cell>
          <cell r="AM45">
            <v>14806714566.75</v>
          </cell>
          <cell r="AN45">
            <v>20756719711.762001</v>
          </cell>
          <cell r="AO45">
            <v>26442997032.889999</v>
          </cell>
          <cell r="AP45">
            <v>44555151601.514999</v>
          </cell>
        </row>
        <row r="46">
          <cell r="M46">
            <v>0</v>
          </cell>
          <cell r="N46">
            <v>0</v>
          </cell>
          <cell r="O46">
            <v>282365922.86000001</v>
          </cell>
          <cell r="P46">
            <v>81215908.199999988</v>
          </cell>
          <cell r="Q46">
            <v>68771671</v>
          </cell>
          <cell r="R46">
            <v>63394127</v>
          </cell>
          <cell r="S46">
            <v>76989563</v>
          </cell>
          <cell r="T46">
            <v>84206450</v>
          </cell>
          <cell r="U46">
            <v>107029387</v>
          </cell>
          <cell r="V46">
            <v>17094533</v>
          </cell>
          <cell r="W46">
            <v>4424533</v>
          </cell>
          <cell r="X46">
            <v>4424533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12832000</v>
          </cell>
          <cell r="AI46">
            <v>6313158550</v>
          </cell>
          <cell r="AJ46">
            <v>9399624906.8800011</v>
          </cell>
          <cell r="AK46">
            <v>18543728896.830002</v>
          </cell>
          <cell r="AL46">
            <v>25783103474.150002</v>
          </cell>
          <cell r="AM46">
            <v>62278375531.050003</v>
          </cell>
          <cell r="AN46">
            <v>115248602466.95001</v>
          </cell>
          <cell r="AO46">
            <v>202117957411.85001</v>
          </cell>
          <cell r="AP46">
            <v>317896162342.75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1423929164.5599999</v>
          </cell>
          <cell r="P47">
            <v>872541257.5999999</v>
          </cell>
          <cell r="Q47">
            <v>976671762</v>
          </cell>
          <cell r="R47">
            <v>799710633</v>
          </cell>
          <cell r="S47">
            <v>810801783</v>
          </cell>
          <cell r="T47">
            <v>815307735</v>
          </cell>
          <cell r="U47">
            <v>1015646467</v>
          </cell>
          <cell r="V47">
            <v>531388484</v>
          </cell>
          <cell r="W47">
            <v>474292544</v>
          </cell>
          <cell r="X47">
            <v>533648291</v>
          </cell>
          <cell r="Y47">
            <v>254872268</v>
          </cell>
          <cell r="Z47">
            <v>555868077</v>
          </cell>
          <cell r="AA47">
            <v>449882534</v>
          </cell>
          <cell r="AB47">
            <v>662597714</v>
          </cell>
          <cell r="AC47">
            <v>2006347260</v>
          </cell>
          <cell r="AD47">
            <v>815655914</v>
          </cell>
          <cell r="AE47">
            <v>933390422</v>
          </cell>
          <cell r="AF47">
            <v>835298941</v>
          </cell>
          <cell r="AG47">
            <v>749526296.78999996</v>
          </cell>
          <cell r="AH47">
            <v>1110580734.8999999</v>
          </cell>
          <cell r="AI47">
            <v>8875698011.3099995</v>
          </cell>
          <cell r="AJ47">
            <v>14183520175.68</v>
          </cell>
          <cell r="AK47">
            <v>24118064284.880001</v>
          </cell>
          <cell r="AL47">
            <v>35327733140.600006</v>
          </cell>
          <cell r="AM47">
            <v>77085090097.800003</v>
          </cell>
          <cell r="AN47">
            <v>136005322178.71201</v>
          </cell>
          <cell r="AO47">
            <v>228560954444.73999</v>
          </cell>
          <cell r="AP47">
            <v>362451313944.26501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</row>
        <row r="49">
          <cell r="M49">
            <v>0</v>
          </cell>
          <cell r="N49">
            <v>0</v>
          </cell>
          <cell r="O49">
            <v>5130000000</v>
          </cell>
          <cell r="P49">
            <v>810000000</v>
          </cell>
          <cell r="Q49">
            <v>6910500000</v>
          </cell>
          <cell r="R49">
            <v>810000000</v>
          </cell>
          <cell r="S49">
            <v>810000000</v>
          </cell>
          <cell r="T49">
            <v>810000000</v>
          </cell>
          <cell r="U49">
            <v>810000000</v>
          </cell>
          <cell r="V49">
            <v>810000000</v>
          </cell>
          <cell r="W49">
            <v>810000000</v>
          </cell>
          <cell r="X49">
            <v>0</v>
          </cell>
          <cell r="Y49">
            <v>4081000000</v>
          </cell>
          <cell r="Z49">
            <v>4093000000</v>
          </cell>
          <cell r="AA49">
            <v>4164000000</v>
          </cell>
          <cell r="AB49">
            <v>4176000000</v>
          </cell>
          <cell r="AC49">
            <v>0</v>
          </cell>
          <cell r="AD49">
            <v>0</v>
          </cell>
          <cell r="AE49">
            <v>101661026838</v>
          </cell>
          <cell r="AF49">
            <v>109271427228</v>
          </cell>
          <cell r="AG49">
            <v>85009307420</v>
          </cell>
          <cell r="AH49">
            <v>83164050684</v>
          </cell>
          <cell r="AI49">
            <v>105085290143.66</v>
          </cell>
          <cell r="AJ49">
            <v>161113260235.88</v>
          </cell>
          <cell r="AK49">
            <v>197886817297.25</v>
          </cell>
          <cell r="AL49">
            <v>201014180144.35001</v>
          </cell>
          <cell r="AM49">
            <v>164440015324.10001</v>
          </cell>
          <cell r="AN49">
            <v>155157608489.59</v>
          </cell>
          <cell r="AO49">
            <v>172376681710.5</v>
          </cell>
          <cell r="AP49">
            <v>233996380232</v>
          </cell>
        </row>
        <row r="50">
          <cell r="M50">
            <v>0</v>
          </cell>
          <cell r="N50">
            <v>0</v>
          </cell>
          <cell r="O50">
            <v>1306826424</v>
          </cell>
          <cell r="P50">
            <v>2040480901</v>
          </cell>
          <cell r="Q50">
            <v>5746410888</v>
          </cell>
          <cell r="R50">
            <v>6394348041</v>
          </cell>
          <cell r="S50">
            <v>6132592573</v>
          </cell>
          <cell r="T50">
            <v>7294915471</v>
          </cell>
          <cell r="U50">
            <v>7656399539</v>
          </cell>
          <cell r="V50">
            <v>9031724008</v>
          </cell>
          <cell r="W50">
            <v>7584014096</v>
          </cell>
          <cell r="X50">
            <v>13217397189</v>
          </cell>
          <cell r="Y50">
            <v>10635957864</v>
          </cell>
          <cell r="Z50">
            <v>9524608436</v>
          </cell>
          <cell r="AA50">
            <v>10299627267</v>
          </cell>
          <cell r="AB50">
            <v>12457988278</v>
          </cell>
          <cell r="AC50">
            <v>10404063837</v>
          </cell>
          <cell r="AD50">
            <v>10738296166</v>
          </cell>
          <cell r="AE50">
            <v>9944163766</v>
          </cell>
          <cell r="AF50">
            <v>15122128889</v>
          </cell>
          <cell r="AG50">
            <v>16840453177.98</v>
          </cell>
          <cell r="AH50">
            <v>19706372167.02</v>
          </cell>
          <cell r="AI50">
            <v>23443049009.012001</v>
          </cell>
          <cell r="AJ50">
            <v>27615336288.732002</v>
          </cell>
          <cell r="AK50">
            <v>30892904968.43</v>
          </cell>
          <cell r="AL50">
            <v>24549460921.15205</v>
          </cell>
          <cell r="AM50">
            <v>27974860755.92345</v>
          </cell>
          <cell r="AN50">
            <v>32545497071.138206</v>
          </cell>
          <cell r="AO50">
            <v>33781264197.070198</v>
          </cell>
          <cell r="AP50">
            <v>29670137452.753002</v>
          </cell>
        </row>
        <row r="51">
          <cell r="M51">
            <v>0</v>
          </cell>
          <cell r="N51">
            <v>0</v>
          </cell>
          <cell r="O51">
            <v>16621200000</v>
          </cell>
          <cell r="P51">
            <v>22269600000</v>
          </cell>
          <cell r="Q51">
            <v>42490133871</v>
          </cell>
          <cell r="R51">
            <v>47612763227</v>
          </cell>
          <cell r="S51">
            <v>45669796069</v>
          </cell>
          <cell r="T51">
            <v>68803364707</v>
          </cell>
          <cell r="U51">
            <v>80039179664</v>
          </cell>
          <cell r="V51">
            <v>85969892325</v>
          </cell>
          <cell r="W51">
            <v>124747908200</v>
          </cell>
          <cell r="X51">
            <v>153083893591</v>
          </cell>
          <cell r="Y51">
            <v>152892112426</v>
          </cell>
          <cell r="Z51">
            <v>179922712732</v>
          </cell>
          <cell r="AA51">
            <v>179066050000</v>
          </cell>
          <cell r="AB51">
            <v>176446200000</v>
          </cell>
          <cell r="AC51">
            <v>191696754800</v>
          </cell>
          <cell r="AD51">
            <v>189733367221</v>
          </cell>
          <cell r="AE51">
            <v>117895988943</v>
          </cell>
          <cell r="AF51">
            <v>188711570857</v>
          </cell>
          <cell r="AG51">
            <v>247213742748</v>
          </cell>
          <cell r="AH51">
            <v>276330325987</v>
          </cell>
          <cell r="AI51">
            <v>263565514250.51001</v>
          </cell>
          <cell r="AJ51">
            <v>231474517630.23999</v>
          </cell>
          <cell r="AK51">
            <v>236981261960.08002</v>
          </cell>
          <cell r="AL51">
            <v>240395331698.39999</v>
          </cell>
          <cell r="AM51">
            <v>302086890565.75</v>
          </cell>
          <cell r="AN51">
            <v>356928784036.88</v>
          </cell>
          <cell r="AO51">
            <v>384454599273.90002</v>
          </cell>
          <cell r="AP51">
            <v>349865284517</v>
          </cell>
        </row>
        <row r="52"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34674672914</v>
          </cell>
          <cell r="R52">
            <v>34674672914</v>
          </cell>
          <cell r="S52">
            <v>34674672914</v>
          </cell>
          <cell r="T52">
            <v>45657577314</v>
          </cell>
          <cell r="U52">
            <v>45657577314</v>
          </cell>
          <cell r="V52">
            <v>45657577314</v>
          </cell>
          <cell r="W52">
            <v>45657577314</v>
          </cell>
          <cell r="X52">
            <v>45657577314</v>
          </cell>
          <cell r="Y52">
            <v>45657577314</v>
          </cell>
          <cell r="Z52">
            <v>45657577314</v>
          </cell>
          <cell r="AA52">
            <v>45657577314</v>
          </cell>
          <cell r="AB52">
            <v>45657577314</v>
          </cell>
          <cell r="AC52">
            <v>45657577314</v>
          </cell>
          <cell r="AD52">
            <v>45657577314</v>
          </cell>
          <cell r="AE52">
            <v>45657577314</v>
          </cell>
          <cell r="AF52">
            <v>45657577314</v>
          </cell>
          <cell r="AG52">
            <v>45657577314</v>
          </cell>
          <cell r="AH52">
            <v>45657577314</v>
          </cell>
          <cell r="AI52">
            <v>45657577314</v>
          </cell>
          <cell r="AJ52">
            <v>45657577314</v>
          </cell>
          <cell r="AK52">
            <v>45657577314</v>
          </cell>
          <cell r="AL52">
            <v>45657577314</v>
          </cell>
          <cell r="AM52">
            <v>45657577314</v>
          </cell>
          <cell r="AN52">
            <v>45657577314</v>
          </cell>
          <cell r="AO52">
            <v>45657577314</v>
          </cell>
          <cell r="AP52">
            <v>45657577314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24481955588.559998</v>
          </cell>
          <cell r="P53">
            <v>25992622158.599998</v>
          </cell>
          <cell r="Q53">
            <v>90798389435</v>
          </cell>
          <cell r="R53">
            <v>90291494815</v>
          </cell>
          <cell r="S53">
            <v>88097863339</v>
          </cell>
          <cell r="T53">
            <v>123381165227</v>
          </cell>
          <cell r="U53">
            <v>135178802984</v>
          </cell>
          <cell r="V53">
            <v>142000582131</v>
          </cell>
          <cell r="W53">
            <v>179273792154</v>
          </cell>
          <cell r="X53">
            <v>212492516385</v>
          </cell>
          <cell r="Y53">
            <v>213521519872</v>
          </cell>
          <cell r="Z53">
            <v>239753766559</v>
          </cell>
          <cell r="AA53">
            <v>239637137115</v>
          </cell>
          <cell r="AB53">
            <v>239400363306</v>
          </cell>
          <cell r="AC53">
            <v>249764743211</v>
          </cell>
          <cell r="AD53">
            <v>246944896615</v>
          </cell>
          <cell r="AE53">
            <v>276092147283</v>
          </cell>
          <cell r="AF53">
            <v>359598003229</v>
          </cell>
          <cell r="AG53">
            <v>395470606956.77002</v>
          </cell>
          <cell r="AH53">
            <v>425968906886.91998</v>
          </cell>
          <cell r="AI53">
            <v>446627128728.492</v>
          </cell>
          <cell r="AJ53">
            <v>480044211644.53198</v>
          </cell>
          <cell r="AK53">
            <v>535536625824.64001</v>
          </cell>
          <cell r="AL53">
            <v>546944283218.50208</v>
          </cell>
          <cell r="AM53">
            <v>617244434057.57349</v>
          </cell>
          <cell r="AN53">
            <v>726294789090.32019</v>
          </cell>
          <cell r="AO53">
            <v>864831076940.21021</v>
          </cell>
          <cell r="AP53">
            <v>1021640693460.0181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</row>
        <row r="54">
          <cell r="Y54">
            <v>2282878866</v>
          </cell>
          <cell r="Z54">
            <v>2282878866</v>
          </cell>
          <cell r="AA54">
            <v>2282878866</v>
          </cell>
          <cell r="AB54">
            <v>2282878866</v>
          </cell>
          <cell r="AC54">
            <v>2282878866</v>
          </cell>
          <cell r="AD54">
            <v>5216421900</v>
          </cell>
          <cell r="AE54">
            <v>5216421900</v>
          </cell>
          <cell r="AF54">
            <v>5216421900</v>
          </cell>
          <cell r="AG54">
            <v>8924830031.7000008</v>
          </cell>
          <cell r="AH54">
            <v>8924830032</v>
          </cell>
          <cell r="AI54">
            <v>8924830032</v>
          </cell>
          <cell r="AJ54">
            <v>8924830032</v>
          </cell>
          <cell r="AK54">
            <v>12628314056</v>
          </cell>
          <cell r="AL54">
            <v>12628314056</v>
          </cell>
          <cell r="AM54">
            <v>12628314056</v>
          </cell>
          <cell r="AN54">
            <v>12628314056</v>
          </cell>
          <cell r="AO54">
            <v>12628314056</v>
          </cell>
          <cell r="AP54">
            <v>12628314056</v>
          </cell>
        </row>
        <row r="55">
          <cell r="Q55">
            <v>10000000000</v>
          </cell>
          <cell r="R55">
            <v>10000000000</v>
          </cell>
          <cell r="S55">
            <v>10000000000</v>
          </cell>
          <cell r="T55">
            <v>5408000000</v>
          </cell>
          <cell r="U55">
            <v>5408000000</v>
          </cell>
          <cell r="V55">
            <v>5408000000</v>
          </cell>
          <cell r="W55">
            <v>5408000000</v>
          </cell>
          <cell r="X55">
            <v>5408000000</v>
          </cell>
          <cell r="Y55">
            <v>15403000000</v>
          </cell>
          <cell r="Z55">
            <v>15403000000</v>
          </cell>
          <cell r="AA55">
            <v>15403000000</v>
          </cell>
          <cell r="AB55">
            <v>15403000000</v>
          </cell>
          <cell r="AC55">
            <v>15403000000</v>
          </cell>
          <cell r="AD55">
            <v>15403000000</v>
          </cell>
          <cell r="AE55">
            <v>15403000000</v>
          </cell>
          <cell r="AF55">
            <v>15403000000</v>
          </cell>
          <cell r="AG55">
            <v>15403000000</v>
          </cell>
          <cell r="AH55">
            <v>15403000000</v>
          </cell>
          <cell r="AI55">
            <v>15403000000</v>
          </cell>
          <cell r="AJ55">
            <v>15403000000</v>
          </cell>
          <cell r="AK55">
            <v>15403000000</v>
          </cell>
          <cell r="AL55">
            <v>15403000000</v>
          </cell>
          <cell r="AM55">
            <v>80000000000</v>
          </cell>
          <cell r="AN55">
            <v>80000000000</v>
          </cell>
          <cell r="AO55">
            <v>80000000000</v>
          </cell>
          <cell r="AP55">
            <v>80000000000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39995457572</v>
          </cell>
          <cell r="P56">
            <v>41555245345</v>
          </cell>
          <cell r="Q56">
            <v>2443792830</v>
          </cell>
          <cell r="R56">
            <v>5158732679</v>
          </cell>
          <cell r="S56">
            <v>5158732679</v>
          </cell>
          <cell r="T56">
            <v>1712891826</v>
          </cell>
          <cell r="U56">
            <v>2283611545</v>
          </cell>
          <cell r="V56">
            <v>7598779532</v>
          </cell>
          <cell r="W56">
            <v>7598779532</v>
          </cell>
          <cell r="X56">
            <v>7598779532</v>
          </cell>
          <cell r="Y56">
            <v>5315900666</v>
          </cell>
          <cell r="Z56">
            <v>16806665136</v>
          </cell>
          <cell r="AA56">
            <v>16806665136</v>
          </cell>
          <cell r="AB56">
            <v>16806665136</v>
          </cell>
          <cell r="AC56">
            <v>16806665136</v>
          </cell>
          <cell r="AD56">
            <v>25031027378</v>
          </cell>
          <cell r="AE56">
            <v>25031027378</v>
          </cell>
          <cell r="AF56">
            <v>25031027378</v>
          </cell>
          <cell r="AG56">
            <v>21322619246.299999</v>
          </cell>
          <cell r="AH56">
            <v>35067226751</v>
          </cell>
          <cell r="AI56">
            <v>35067226751</v>
          </cell>
          <cell r="AJ56">
            <v>35067226751</v>
          </cell>
          <cell r="AK56">
            <v>31363744147</v>
          </cell>
          <cell r="AL56">
            <v>66463300017</v>
          </cell>
          <cell r="AM56">
            <v>1866300017</v>
          </cell>
          <cell r="AN56">
            <v>1866300017</v>
          </cell>
          <cell r="AO56">
            <v>1866300017</v>
          </cell>
          <cell r="AP56">
            <v>48017926275.608002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</row>
        <row r="57">
          <cell r="Q57">
            <v>2714939847</v>
          </cell>
          <cell r="R57">
            <v>2100699049</v>
          </cell>
          <cell r="S57">
            <v>3716355220</v>
          </cell>
          <cell r="T57">
            <v>4034857554</v>
          </cell>
          <cell r="U57">
            <v>5315167987</v>
          </cell>
          <cell r="V57">
            <v>2042455813</v>
          </cell>
          <cell r="W57">
            <v>3620065765</v>
          </cell>
          <cell r="X57">
            <v>7151719958</v>
          </cell>
          <cell r="Y57">
            <v>11490741469</v>
          </cell>
          <cell r="Z57">
            <v>4095185782</v>
          </cell>
          <cell r="AA57">
            <v>6315788322.6199999</v>
          </cell>
          <cell r="AB57">
            <v>8472915831</v>
          </cell>
          <cell r="AC57">
            <v>11031379511</v>
          </cell>
          <cell r="AD57">
            <v>2119917736</v>
          </cell>
          <cell r="AE57">
            <v>3665130076</v>
          </cell>
          <cell r="AF57">
            <v>7058323324</v>
          </cell>
          <cell r="AG57">
            <v>13744607504.99</v>
          </cell>
          <cell r="AH57">
            <v>6078256716.8800001</v>
          </cell>
          <cell r="AI57">
            <v>13847105372.148001</v>
          </cell>
          <cell r="AJ57">
            <v>23629916493.087997</v>
          </cell>
          <cell r="AK57">
            <v>35099554869.550003</v>
          </cell>
          <cell r="AL57">
            <v>10935277822.68</v>
          </cell>
          <cell r="AM57">
            <v>22041970183.720001</v>
          </cell>
          <cell r="AN57">
            <v>33262762458.664001</v>
          </cell>
          <cell r="AO57">
            <v>46151626258.608002</v>
          </cell>
          <cell r="AP57">
            <v>12844573603.832001</v>
          </cell>
        </row>
        <row r="58">
          <cell r="Y58">
            <v>0</v>
          </cell>
          <cell r="AE58">
            <v>0</v>
          </cell>
          <cell r="AF58">
            <v>0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39995457572</v>
          </cell>
          <cell r="P59">
            <v>41555245345</v>
          </cell>
          <cell r="Q59">
            <v>15158732677</v>
          </cell>
          <cell r="R59">
            <v>17259431728</v>
          </cell>
          <cell r="S59">
            <v>18875087899</v>
          </cell>
          <cell r="T59">
            <v>11155749380</v>
          </cell>
          <cell r="U59">
            <v>13006779532</v>
          </cell>
          <cell r="V59">
            <v>15049235345</v>
          </cell>
          <cell r="W59">
            <v>16626845297</v>
          </cell>
          <cell r="X59">
            <v>20158499490</v>
          </cell>
          <cell r="Y59">
            <v>34492521001</v>
          </cell>
          <cell r="Z59">
            <v>38587729784</v>
          </cell>
          <cell r="AA59">
            <v>40808332324.620003</v>
          </cell>
          <cell r="AB59">
            <v>42965459833</v>
          </cell>
          <cell r="AC59">
            <v>45523923513</v>
          </cell>
          <cell r="AD59">
            <v>47770367014</v>
          </cell>
          <cell r="AE59">
            <v>49315579354</v>
          </cell>
          <cell r="AF59">
            <v>52708772602</v>
          </cell>
          <cell r="AG59">
            <v>59395056782.989998</v>
          </cell>
          <cell r="AH59">
            <v>65473313499.879997</v>
          </cell>
          <cell r="AI59">
            <v>73242162155.147995</v>
          </cell>
          <cell r="AJ59">
            <v>83024973276.087997</v>
          </cell>
          <cell r="AK59">
            <v>94494613072.550003</v>
          </cell>
          <cell r="AL59">
            <v>105429891895.67999</v>
          </cell>
          <cell r="AM59">
            <v>116536584256.72</v>
          </cell>
          <cell r="AN59">
            <v>127757376531.664</v>
          </cell>
          <cell r="AO59">
            <v>140646240331.608</v>
          </cell>
          <cell r="AP59">
            <v>153490813935.44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64477413160.559998</v>
          </cell>
          <cell r="P60">
            <v>67547867503.599998</v>
          </cell>
          <cell r="Q60">
            <v>105957122112</v>
          </cell>
          <cell r="R60">
            <v>107550926543</v>
          </cell>
          <cell r="S60">
            <v>106972951238</v>
          </cell>
          <cell r="T60">
            <v>134536914607</v>
          </cell>
          <cell r="U60">
            <v>148185582516</v>
          </cell>
          <cell r="V60">
            <v>157049817476</v>
          </cell>
          <cell r="W60">
            <v>195900637451</v>
          </cell>
          <cell r="X60">
            <v>232651015875</v>
          </cell>
          <cell r="Y60">
            <v>248014040873</v>
          </cell>
          <cell r="Z60">
            <v>278341496343</v>
          </cell>
          <cell r="AA60">
            <v>280445469439.62</v>
          </cell>
          <cell r="AB60">
            <v>282365823139</v>
          </cell>
          <cell r="AC60">
            <v>295288666724</v>
          </cell>
          <cell r="AD60">
            <v>294715263629</v>
          </cell>
          <cell r="AE60">
            <v>325407726637</v>
          </cell>
          <cell r="AF60">
            <v>412306775831</v>
          </cell>
          <cell r="AG60">
            <v>454865663739.76001</v>
          </cell>
          <cell r="AH60">
            <v>491442220386.79999</v>
          </cell>
          <cell r="AI60">
            <v>519869290883.64001</v>
          </cell>
          <cell r="AJ60">
            <v>563069184920.62</v>
          </cell>
          <cell r="AK60">
            <v>630031238897.19006</v>
          </cell>
          <cell r="AL60">
            <v>652374175114.18213</v>
          </cell>
          <cell r="AM60">
            <v>733781018314.29346</v>
          </cell>
          <cell r="AN60">
            <v>854052165621.98413</v>
          </cell>
          <cell r="AO60">
            <v>1005477317271.8182</v>
          </cell>
          <cell r="AP60">
            <v>1175131507395.458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-53702716092.440002</v>
          </cell>
          <cell r="P61">
            <v>-60895508512.419991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-0.3800048828125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-3.99169921875E-2</v>
          </cell>
          <cell r="AH61">
            <v>-0.300048828125</v>
          </cell>
          <cell r="AI61">
            <v>0</v>
          </cell>
          <cell r="AJ61">
            <v>0</v>
          </cell>
          <cell r="AK61">
            <v>0</v>
          </cell>
          <cell r="AL61">
            <v>-0.4197998046875</v>
          </cell>
          <cell r="AM61">
            <v>0</v>
          </cell>
          <cell r="AN61">
            <v>1.8310546875E-3</v>
          </cell>
          <cell r="AO61">
            <v>-0.4019775390625</v>
          </cell>
          <cell r="AP61">
            <v>-5.0048828125E-2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</row>
        <row r="63">
          <cell r="N63"/>
          <cell r="O63" t="str">
            <v>A &lt;&gt; L + E</v>
          </cell>
          <cell r="P63" t="str">
            <v>A &lt;&gt; L + E</v>
          </cell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</row>
        <row r="66">
          <cell r="M66">
            <v>0</v>
          </cell>
          <cell r="N66">
            <v>0</v>
          </cell>
          <cell r="O66">
            <v>27848434926</v>
          </cell>
          <cell r="P66">
            <v>27888219180</v>
          </cell>
          <cell r="Q66">
            <v>49662307994</v>
          </cell>
          <cell r="R66">
            <v>45435468970</v>
          </cell>
          <cell r="S66">
            <v>44618865895</v>
          </cell>
          <cell r="T66">
            <v>48703962635</v>
          </cell>
          <cell r="U66">
            <v>61843765230</v>
          </cell>
          <cell r="V66">
            <v>63718904665</v>
          </cell>
          <cell r="W66">
            <v>88289250415</v>
          </cell>
          <cell r="X66">
            <v>95624837435</v>
          </cell>
          <cell r="Y66">
            <v>80032023375</v>
          </cell>
          <cell r="Z66">
            <v>65896665640</v>
          </cell>
          <cell r="AA66">
            <v>66783908190</v>
          </cell>
          <cell r="AB66">
            <v>100751630560</v>
          </cell>
          <cell r="AC66">
            <v>112881273970</v>
          </cell>
          <cell r="AD66">
            <v>103807640950</v>
          </cell>
          <cell r="AE66">
            <v>126480080630</v>
          </cell>
          <cell r="AF66">
            <v>162995573700</v>
          </cell>
          <cell r="AG66">
            <v>177059728293</v>
          </cell>
          <cell r="AH66">
            <v>204531200155</v>
          </cell>
          <cell r="AI66">
            <v>167484640402</v>
          </cell>
          <cell r="AJ66">
            <v>197793382429</v>
          </cell>
          <cell r="AK66">
            <v>234346991675</v>
          </cell>
          <cell r="AL66">
            <v>220751708075</v>
          </cell>
          <cell r="AM66">
            <v>222250441966</v>
          </cell>
          <cell r="AN66">
            <v>309496591075</v>
          </cell>
          <cell r="AO66">
            <v>278551764796</v>
          </cell>
          <cell r="AP66">
            <v>458073374260</v>
          </cell>
        </row>
        <row r="67">
          <cell r="M67">
            <v>0</v>
          </cell>
          <cell r="N67">
            <v>0</v>
          </cell>
          <cell r="O67">
            <v>28454733484</v>
          </cell>
          <cell r="P67">
            <v>27006801423</v>
          </cell>
          <cell r="Q67">
            <v>30975883912</v>
          </cell>
          <cell r="R67">
            <v>45000201699</v>
          </cell>
          <cell r="S67">
            <v>48322355269</v>
          </cell>
          <cell r="T67">
            <v>45475252340</v>
          </cell>
          <cell r="U67">
            <v>50984655634</v>
          </cell>
          <cell r="V67">
            <v>64848870258</v>
          </cell>
          <cell r="W67">
            <v>67482147385</v>
          </cell>
          <cell r="X67">
            <v>68397138287</v>
          </cell>
          <cell r="Y67">
            <v>76275060221</v>
          </cell>
          <cell r="Z67">
            <v>98851559699</v>
          </cell>
          <cell r="AA67">
            <v>102077610266</v>
          </cell>
          <cell r="AB67">
            <v>87448730345</v>
          </cell>
          <cell r="AC67">
            <v>96749285667.160004</v>
          </cell>
          <cell r="AD67">
            <v>113828516881</v>
          </cell>
          <cell r="AE67">
            <v>113895520058</v>
          </cell>
          <cell r="AF67">
            <v>118994487340</v>
          </cell>
          <cell r="AG67">
            <v>138516606439</v>
          </cell>
          <cell r="AH67">
            <v>180740341121</v>
          </cell>
          <cell r="AI67">
            <v>176657919706.98999</v>
          </cell>
          <cell r="AJ67">
            <v>181088348936</v>
          </cell>
          <cell r="AK67">
            <v>198826808876</v>
          </cell>
          <cell r="AL67">
            <v>233254372005</v>
          </cell>
          <cell r="AM67">
            <v>230854841051</v>
          </cell>
          <cell r="AN67">
            <v>230594924005</v>
          </cell>
          <cell r="AO67">
            <v>250102300872</v>
          </cell>
          <cell r="AP67">
            <v>315631544610</v>
          </cell>
        </row>
        <row r="68">
          <cell r="M68">
            <v>0</v>
          </cell>
          <cell r="N68">
            <v>0</v>
          </cell>
          <cell r="O68">
            <v>45830</v>
          </cell>
          <cell r="P68">
            <v>50081</v>
          </cell>
          <cell r="Q68">
            <v>60420</v>
          </cell>
          <cell r="R68">
            <v>61265</v>
          </cell>
          <cell r="S68">
            <v>63460</v>
          </cell>
          <cell r="T68">
            <v>67971</v>
          </cell>
          <cell r="U68">
            <v>70963</v>
          </cell>
          <cell r="V68">
            <v>65880</v>
          </cell>
          <cell r="W68">
            <v>68516</v>
          </cell>
          <cell r="X68">
            <v>77087</v>
          </cell>
          <cell r="Y68">
            <v>84322</v>
          </cell>
          <cell r="Z68">
            <v>80525</v>
          </cell>
          <cell r="AA68">
            <v>75649</v>
          </cell>
          <cell r="AB68">
            <v>78524</v>
          </cell>
          <cell r="AC68">
            <v>81616</v>
          </cell>
          <cell r="AD68">
            <v>79238</v>
          </cell>
          <cell r="AE68">
            <v>85369</v>
          </cell>
          <cell r="AF68">
            <v>97274</v>
          </cell>
          <cell r="AG68">
            <v>103826</v>
          </cell>
          <cell r="AH68">
            <v>105465</v>
          </cell>
          <cell r="AI68">
            <v>107466</v>
          </cell>
          <cell r="AJ68">
            <v>112317</v>
          </cell>
          <cell r="AK68">
            <v>116559</v>
          </cell>
          <cell r="AL68">
            <v>112061</v>
          </cell>
          <cell r="AM68">
            <v>113491</v>
          </cell>
          <cell r="AN68">
            <v>123242</v>
          </cell>
          <cell r="AO68">
            <v>127947</v>
          </cell>
          <cell r="AP68">
            <v>138806</v>
          </cell>
        </row>
        <row r="69">
          <cell r="M69">
            <v>0</v>
          </cell>
          <cell r="N69">
            <v>0</v>
          </cell>
          <cell r="O69">
            <v>18440</v>
          </cell>
          <cell r="P69">
            <v>16730</v>
          </cell>
          <cell r="Q69">
            <v>25477</v>
          </cell>
          <cell r="R69">
            <v>22195</v>
          </cell>
          <cell r="S69">
            <v>22968</v>
          </cell>
          <cell r="T69">
            <v>21517</v>
          </cell>
          <cell r="U69">
            <v>22330</v>
          </cell>
          <cell r="V69">
            <v>20664</v>
          </cell>
          <cell r="W69">
            <v>25828</v>
          </cell>
          <cell r="X69">
            <v>25912</v>
          </cell>
          <cell r="Y69">
            <v>23328</v>
          </cell>
          <cell r="Z69">
            <v>20017</v>
          </cell>
          <cell r="AA69">
            <v>20005</v>
          </cell>
          <cell r="AB69">
            <v>25046</v>
          </cell>
          <cell r="AC69">
            <v>24347</v>
          </cell>
          <cell r="AD69">
            <v>22358</v>
          </cell>
          <cell r="AE69">
            <v>29596</v>
          </cell>
          <cell r="AF69">
            <v>32937</v>
          </cell>
          <cell r="AG69">
            <v>29943</v>
          </cell>
          <cell r="AH69">
            <v>34409</v>
          </cell>
          <cell r="AI69">
            <v>30073</v>
          </cell>
          <cell r="AJ69">
            <v>30884</v>
          </cell>
          <cell r="AK69">
            <v>31630</v>
          </cell>
          <cell r="AL69">
            <v>29143</v>
          </cell>
          <cell r="AM69">
            <v>29187</v>
          </cell>
          <cell r="AN69">
            <v>34924</v>
          </cell>
          <cell r="AO69">
            <v>31222</v>
          </cell>
          <cell r="AP69">
            <v>46371</v>
          </cell>
        </row>
        <row r="70">
          <cell r="M70">
            <v>0</v>
          </cell>
          <cell r="N70">
            <v>0</v>
          </cell>
          <cell r="O70">
            <v>78476</v>
          </cell>
          <cell r="P70">
            <v>84052</v>
          </cell>
          <cell r="Q70">
            <v>94264</v>
          </cell>
          <cell r="R70">
            <v>86562</v>
          </cell>
          <cell r="S70">
            <v>87790</v>
          </cell>
          <cell r="T70">
            <v>92697</v>
          </cell>
          <cell r="U70">
            <v>94555</v>
          </cell>
          <cell r="V70">
            <v>84208</v>
          </cell>
          <cell r="W70">
            <v>87274</v>
          </cell>
          <cell r="X70">
            <v>96821</v>
          </cell>
          <cell r="Y70">
            <v>100116.3</v>
          </cell>
          <cell r="Z70">
            <v>93377</v>
          </cell>
          <cell r="AA70">
            <v>87742</v>
          </cell>
          <cell r="AB70">
            <v>88246</v>
          </cell>
          <cell r="AC70">
            <v>87945</v>
          </cell>
          <cell r="AD70">
            <v>83161</v>
          </cell>
          <cell r="AE70">
            <v>91396</v>
          </cell>
          <cell r="AF70">
            <v>105953</v>
          </cell>
          <cell r="AG70">
            <v>112872</v>
          </cell>
          <cell r="AH70">
            <v>112209</v>
          </cell>
          <cell r="AI70">
            <v>114974</v>
          </cell>
          <cell r="AJ70">
            <v>120792</v>
          </cell>
          <cell r="AK70">
            <v>125127</v>
          </cell>
          <cell r="AL70">
            <v>117517</v>
          </cell>
          <cell r="AM70">
            <v>119169</v>
          </cell>
          <cell r="AN70">
            <v>129818</v>
          </cell>
          <cell r="AO70">
            <v>134146</v>
          </cell>
          <cell r="AP70">
            <v>143274</v>
          </cell>
        </row>
        <row r="71"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str">
            <v>n/a</v>
          </cell>
          <cell r="S71" t="str">
            <v>n/a</v>
          </cell>
          <cell r="T71" t="str">
            <v>n/a</v>
          </cell>
          <cell r="U71" t="str">
            <v>n/a</v>
          </cell>
          <cell r="V71" t="str">
            <v>n/a</v>
          </cell>
          <cell r="W71" t="str">
            <v>n/a</v>
          </cell>
          <cell r="X71" t="str">
            <v>n/a</v>
          </cell>
          <cell r="Y71" t="str">
            <v>n/a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</row>
        <row r="72">
          <cell r="M72">
            <v>0</v>
          </cell>
          <cell r="N72">
            <v>0</v>
          </cell>
          <cell r="O72">
            <v>2389</v>
          </cell>
          <cell r="P72">
            <v>2316</v>
          </cell>
          <cell r="Q72">
            <v>2937</v>
          </cell>
          <cell r="R72">
            <v>2990</v>
          </cell>
          <cell r="S72">
            <v>3101</v>
          </cell>
          <cell r="T72">
            <v>3154</v>
          </cell>
          <cell r="U72">
            <v>3152</v>
          </cell>
          <cell r="V72">
            <v>3140</v>
          </cell>
          <cell r="W72">
            <v>3017</v>
          </cell>
          <cell r="X72">
            <v>2905</v>
          </cell>
          <cell r="Y72">
            <v>2920</v>
          </cell>
          <cell r="Z72">
            <v>1875</v>
          </cell>
          <cell r="AA72">
            <v>1906</v>
          </cell>
          <cell r="AB72">
            <v>2002</v>
          </cell>
          <cell r="AC72">
            <v>1444</v>
          </cell>
          <cell r="AD72">
            <v>1615</v>
          </cell>
          <cell r="AE72">
            <v>1776</v>
          </cell>
          <cell r="AF72">
            <v>1861</v>
          </cell>
          <cell r="AG72">
            <v>1913</v>
          </cell>
          <cell r="AH72">
            <v>2115</v>
          </cell>
          <cell r="AI72">
            <v>2620</v>
          </cell>
          <cell r="AJ72">
            <v>6408</v>
          </cell>
          <cell r="AK72">
            <v>8260</v>
          </cell>
          <cell r="AL72">
            <v>37635</v>
          </cell>
          <cell r="AM72">
            <v>67164</v>
          </cell>
          <cell r="AN72">
            <v>99314</v>
          </cell>
          <cell r="AO72">
            <v>291087</v>
          </cell>
          <cell r="AP72">
            <v>316287</v>
          </cell>
        </row>
        <row r="75"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78729082750.059998</v>
          </cell>
          <cell r="AA75">
            <v>73020614739.240005</v>
          </cell>
          <cell r="AB75">
            <v>82377907230.720001</v>
          </cell>
          <cell r="AC75">
            <v>95379323828.580002</v>
          </cell>
          <cell r="AD75">
            <v>101342404315.98</v>
          </cell>
          <cell r="AE75">
            <v>106966182272.8</v>
          </cell>
          <cell r="AF75">
            <v>126873540066.48</v>
          </cell>
          <cell r="AG75">
            <v>146474719914.03</v>
          </cell>
          <cell r="AH75">
            <v>161570107104.79999</v>
          </cell>
          <cell r="AI75">
            <v>161026701951.12</v>
          </cell>
          <cell r="AJ75">
            <v>170904620356.56</v>
          </cell>
          <cell r="AK75">
            <v>193269975234.38</v>
          </cell>
          <cell r="AL75">
            <v>200187811108.45001</v>
          </cell>
          <cell r="AM75">
            <v>200686130192.39999</v>
          </cell>
          <cell r="AN75">
            <v>231521742213.25</v>
          </cell>
          <cell r="AO75">
            <v>247921658172.10001</v>
          </cell>
          <cell r="AP75">
            <v>293003049049.54999</v>
          </cell>
        </row>
        <row r="76">
          <cell r="M76">
            <v>0</v>
          </cell>
          <cell r="N76">
            <v>0</v>
          </cell>
          <cell r="O76">
            <v>10977228115</v>
          </cell>
          <cell r="P76">
            <v>13087288052</v>
          </cell>
          <cell r="Q76">
            <v>19365455998</v>
          </cell>
          <cell r="R76">
            <v>22994843214</v>
          </cell>
          <cell r="S76">
            <v>24080505684</v>
          </cell>
          <cell r="T76">
            <v>27573868147</v>
          </cell>
          <cell r="U76">
            <v>34535560407</v>
          </cell>
          <cell r="V76">
            <v>40514300085</v>
          </cell>
          <cell r="W76">
            <v>51317283081</v>
          </cell>
          <cell r="X76">
            <v>71155937440</v>
          </cell>
          <cell r="Y76">
            <v>89943232442</v>
          </cell>
          <cell r="Z76">
            <v>30641064087.369999</v>
          </cell>
          <cell r="AA76">
            <v>29806621061.360001</v>
          </cell>
          <cell r="AB76">
            <v>34939856123.68</v>
          </cell>
          <cell r="AC76">
            <v>42709330971.150002</v>
          </cell>
          <cell r="AD76">
            <v>46214804733.339996</v>
          </cell>
          <cell r="AE76">
            <v>49162111013.660004</v>
          </cell>
          <cell r="AF76">
            <v>55245464630.669998</v>
          </cell>
          <cell r="AG76">
            <v>60699460049.199997</v>
          </cell>
          <cell r="AH76">
            <v>65469621927.900002</v>
          </cell>
          <cell r="AI76">
            <v>66641666380.279999</v>
          </cell>
          <cell r="AJ76">
            <v>71787669846.600006</v>
          </cell>
          <cell r="AK76">
            <v>80925776789.639999</v>
          </cell>
          <cell r="AL76">
            <v>86052084239.75</v>
          </cell>
          <cell r="AM76">
            <v>89776842597.949997</v>
          </cell>
          <cell r="AN76">
            <v>102806930388.51001</v>
          </cell>
          <cell r="AO76">
            <v>113003425938.55</v>
          </cell>
          <cell r="AP76">
            <v>134455159292.35001</v>
          </cell>
        </row>
        <row r="77">
          <cell r="M77">
            <v>0</v>
          </cell>
          <cell r="N77">
            <v>0</v>
          </cell>
          <cell r="O77">
            <v>6008836025</v>
          </cell>
          <cell r="P77">
            <v>7164750642</v>
          </cell>
          <cell r="Q77">
            <v>11564093195</v>
          </cell>
          <cell r="R77">
            <v>14278181257</v>
          </cell>
          <cell r="S77">
            <v>15129533720</v>
          </cell>
          <cell r="T77">
            <v>16996040945</v>
          </cell>
          <cell r="U77">
            <v>19806757439</v>
          </cell>
          <cell r="V77">
            <v>21481862885</v>
          </cell>
          <cell r="W77">
            <v>27811164174</v>
          </cell>
          <cell r="X77">
            <v>38159217905</v>
          </cell>
          <cell r="Y77">
            <v>43095269289</v>
          </cell>
          <cell r="Z77">
            <v>10827436867.290001</v>
          </cell>
          <cell r="AA77">
            <v>10361290287</v>
          </cell>
          <cell r="AB77">
            <v>10120183803.200001</v>
          </cell>
          <cell r="AC77">
            <v>10021011319.57</v>
          </cell>
          <cell r="AD77">
            <v>9822871219.3999996</v>
          </cell>
          <cell r="AE77">
            <v>9793716143.7199993</v>
          </cell>
          <cell r="AF77">
            <v>10201767736.610001</v>
          </cell>
          <cell r="AG77">
            <v>10462390766.74</v>
          </cell>
          <cell r="AH77">
            <v>11038204741.6</v>
          </cell>
          <cell r="AI77">
            <v>10290453425.950001</v>
          </cell>
          <cell r="AJ77">
            <v>9489527291.2399998</v>
          </cell>
          <cell r="AK77">
            <v>9333380592.7399998</v>
          </cell>
          <cell r="AL77">
            <v>18154541074.650002</v>
          </cell>
          <cell r="AM77">
            <v>20784856265.350002</v>
          </cell>
          <cell r="AN77">
            <v>8657338034.4799995</v>
          </cell>
          <cell r="AO77">
            <v>7131015878.3000002</v>
          </cell>
          <cell r="AP77">
            <v>7423153398.4000006</v>
          </cell>
        </row>
        <row r="78">
          <cell r="M78">
            <v>0</v>
          </cell>
          <cell r="N78">
            <v>0</v>
          </cell>
          <cell r="O78">
            <v>33746691601</v>
          </cell>
          <cell r="P78">
            <v>38111357697</v>
          </cell>
          <cell r="Q78">
            <v>49835939742</v>
          </cell>
          <cell r="R78">
            <v>47545429902</v>
          </cell>
          <cell r="S78">
            <v>48412276857</v>
          </cell>
          <cell r="T78">
            <v>52865444546</v>
          </cell>
          <cell r="U78">
            <v>59589729062</v>
          </cell>
          <cell r="V78">
            <v>56155296397</v>
          </cell>
          <cell r="W78">
            <v>65314091425</v>
          </cell>
          <cell r="X78">
            <v>79641429964</v>
          </cell>
          <cell r="Y78">
            <v>78403794307</v>
          </cell>
          <cell r="Z78">
            <v>76794415824.440002</v>
          </cell>
          <cell r="AA78">
            <v>66945752612.68</v>
          </cell>
          <cell r="AB78">
            <v>71535251435.360001</v>
          </cell>
          <cell r="AC78">
            <v>78556790546.770004</v>
          </cell>
          <cell r="AD78">
            <v>70310700282.179993</v>
          </cell>
          <cell r="AE78">
            <v>87239579376.660004</v>
          </cell>
          <cell r="AF78">
            <v>115080903302.89</v>
          </cell>
          <cell r="AG78">
            <v>131188718118.88</v>
          </cell>
          <cell r="AH78">
            <v>138388140737.39999</v>
          </cell>
          <cell r="AI78">
            <v>160414294885.32999</v>
          </cell>
          <cell r="AJ78">
            <v>180150647306.79999</v>
          </cell>
          <cell r="AK78">
            <v>202163160505.66</v>
          </cell>
          <cell r="AL78">
            <v>8000113349.3500004</v>
          </cell>
          <cell r="AM78">
            <v>8635465660.7000008</v>
          </cell>
          <cell r="AN78">
            <v>247728772137.83002</v>
          </cell>
          <cell r="AO78">
            <v>266611325648</v>
          </cell>
          <cell r="AP78">
            <v>319174926192.60004</v>
          </cell>
        </row>
        <row r="79">
          <cell r="Z79">
            <v>6153512909.3299999</v>
          </cell>
          <cell r="AA79">
            <v>7290946544.1599998</v>
          </cell>
          <cell r="AB79">
            <v>9596798160</v>
          </cell>
          <cell r="AC79">
            <v>12149701850.700001</v>
          </cell>
          <cell r="AD79">
            <v>15435204848.139999</v>
          </cell>
          <cell r="AE79">
            <v>18325952283.540001</v>
          </cell>
          <cell r="AF79">
            <v>20775654119.029999</v>
          </cell>
          <cell r="AG79">
            <v>22977749437.32</v>
          </cell>
          <cell r="AH79">
            <v>30803159063.200001</v>
          </cell>
          <cell r="AI79">
            <v>34802085433.720001</v>
          </cell>
          <cell r="AJ79">
            <v>37166131775.559998</v>
          </cell>
          <cell r="AK79">
            <v>41154570102.910004</v>
          </cell>
          <cell r="AL79">
            <v>197525773128</v>
          </cell>
          <cell r="AM79">
            <v>215240124945.55002</v>
          </cell>
          <cell r="AN79">
            <v>67129991347.630005</v>
          </cell>
          <cell r="AO79">
            <v>75331801924.5</v>
          </cell>
          <cell r="AP79">
            <v>108580254785.65001</v>
          </cell>
        </row>
        <row r="80">
          <cell r="M80">
            <v>0</v>
          </cell>
          <cell r="N80">
            <v>0</v>
          </cell>
          <cell r="O80">
            <v>5357607693</v>
          </cell>
          <cell r="P80">
            <v>5217537683</v>
          </cell>
          <cell r="Q80">
            <v>8650758116</v>
          </cell>
          <cell r="R80">
            <v>13142250365</v>
          </cell>
          <cell r="S80">
            <v>15203283763</v>
          </cell>
          <cell r="T80">
            <v>17300759091</v>
          </cell>
          <cell r="U80">
            <v>20362920630</v>
          </cell>
          <cell r="V80">
            <v>26103438533</v>
          </cell>
          <cell r="W80">
            <v>34381442031</v>
          </cell>
          <cell r="X80">
            <v>31741088014</v>
          </cell>
          <cell r="Y80">
            <v>28952160379</v>
          </cell>
          <cell r="Z80">
            <v>439682369.49000001</v>
          </cell>
          <cell r="AA80">
            <v>525470292.36000001</v>
          </cell>
          <cell r="AB80">
            <v>510341931.36000001</v>
          </cell>
          <cell r="AC80">
            <v>527256634.79000002</v>
          </cell>
          <cell r="AD80">
            <v>618979518.89999998</v>
          </cell>
          <cell r="AE80">
            <v>533673329.88</v>
          </cell>
          <cell r="AF80">
            <v>529061187.43000001</v>
          </cell>
          <cell r="AG80">
            <v>554126015.82000005</v>
          </cell>
          <cell r="AH80">
            <v>551903785.29999995</v>
          </cell>
          <cell r="AI80">
            <v>480061173.00999999</v>
          </cell>
          <cell r="AJ80">
            <v>554658287.88</v>
          </cell>
          <cell r="AK80">
            <v>690010051.25</v>
          </cell>
          <cell r="AL80">
            <v>47986394706.700005</v>
          </cell>
          <cell r="AM80">
            <v>55525216587.849998</v>
          </cell>
          <cell r="AN80">
            <v>985054685.19000006</v>
          </cell>
          <cell r="AO80">
            <v>1249101973</v>
          </cell>
          <cell r="AP80">
            <v>1570447522.6000001</v>
          </cell>
        </row>
        <row r="81">
          <cell r="Z81">
            <v>4985151530.3299999</v>
          </cell>
          <cell r="AA81">
            <v>4611349906.8400002</v>
          </cell>
          <cell r="AB81">
            <v>6098289611.6800003</v>
          </cell>
          <cell r="AC81">
            <v>7458118888.21</v>
          </cell>
          <cell r="AD81">
            <v>9239236344.6000004</v>
          </cell>
          <cell r="AE81">
            <v>12289343668.34</v>
          </cell>
          <cell r="AF81">
            <v>14837356609.93</v>
          </cell>
          <cell r="AG81">
            <v>16325421413.309999</v>
          </cell>
          <cell r="AH81">
            <v>19130707985.900002</v>
          </cell>
          <cell r="AI81">
            <v>18753966159.990002</v>
          </cell>
          <cell r="AJ81">
            <v>19162660946.919998</v>
          </cell>
          <cell r="AK81">
            <v>20814563588.48</v>
          </cell>
          <cell r="AL81">
            <v>881776436.30000007</v>
          </cell>
          <cell r="AM81">
            <v>977708663.39999998</v>
          </cell>
          <cell r="AN81">
            <v>31372222077.779999</v>
          </cell>
          <cell r="AO81">
            <v>34147834810.200001</v>
          </cell>
          <cell r="AP81">
            <v>42841681896.900002</v>
          </cell>
        </row>
        <row r="83">
          <cell r="Z83">
            <v>16375496929.389999</v>
          </cell>
          <cell r="AA83">
            <v>16154020485.32</v>
          </cell>
          <cell r="AB83">
            <v>16781163483.200001</v>
          </cell>
          <cell r="AC83">
            <v>17770352849.669998</v>
          </cell>
          <cell r="AD83">
            <v>19852506608.84</v>
          </cell>
          <cell r="AE83">
            <v>21346271478.919998</v>
          </cell>
          <cell r="AF83">
            <v>24889802757.139999</v>
          </cell>
          <cell r="AG83">
            <v>28566847484.330063</v>
          </cell>
          <cell r="AH83">
            <v>36216875427.599998</v>
          </cell>
          <cell r="AI83">
            <v>38539060280.859978</v>
          </cell>
          <cell r="AJ83">
            <v>42461133542.68</v>
          </cell>
          <cell r="AK83">
            <v>46485662754.260002</v>
          </cell>
          <cell r="AL83">
            <v>21666496407.25</v>
          </cell>
          <cell r="AM83">
            <v>24870318306.799999</v>
          </cell>
          <cell r="AN83">
            <v>64484523066.309998</v>
          </cell>
          <cell r="AO83">
            <v>70663498958.800003</v>
          </cell>
          <cell r="AP83">
            <v>91523104947.25</v>
          </cell>
        </row>
        <row r="84">
          <cell r="Z84">
            <v>1314790133.28</v>
          </cell>
          <cell r="AA84">
            <v>1184993160.3599999</v>
          </cell>
          <cell r="AB84">
            <v>2057627617.9200001</v>
          </cell>
          <cell r="AC84">
            <v>2611103149.3800001</v>
          </cell>
          <cell r="AD84">
            <v>2902103440.8800001</v>
          </cell>
          <cell r="AE84">
            <v>2648561111.3800001</v>
          </cell>
          <cell r="AF84">
            <v>5089224078.8999996</v>
          </cell>
          <cell r="AG84">
            <v>8124148847.6400003</v>
          </cell>
          <cell r="AH84">
            <v>10483602166.299999</v>
          </cell>
          <cell r="AI84">
            <v>11498960647.74</v>
          </cell>
          <cell r="AJ84">
            <v>13322068688.24</v>
          </cell>
          <cell r="AK84">
            <v>16019971598.800049</v>
          </cell>
          <cell r="AL84">
            <v>51724025224.549881</v>
          </cell>
          <cell r="AM84">
            <v>54507480155.300003</v>
          </cell>
          <cell r="AN84">
            <v>35139484500.540001</v>
          </cell>
          <cell r="AO84">
            <v>42296425167.300003</v>
          </cell>
          <cell r="AP84">
            <v>56412057862.700005</v>
          </cell>
        </row>
        <row r="87">
          <cell r="M87">
            <v>0</v>
          </cell>
          <cell r="N87">
            <v>0</v>
          </cell>
          <cell r="O87">
            <v>154764540</v>
          </cell>
          <cell r="P87">
            <v>153734123</v>
          </cell>
          <cell r="Q87">
            <v>91813111</v>
          </cell>
          <cell r="R87">
            <v>98677981</v>
          </cell>
          <cell r="S87">
            <v>153870335</v>
          </cell>
          <cell r="T87">
            <v>162625116</v>
          </cell>
          <cell r="U87">
            <v>107079581</v>
          </cell>
          <cell r="V87">
            <v>147247524</v>
          </cell>
          <cell r="W87">
            <v>146799357</v>
          </cell>
          <cell r="X87">
            <v>940111743</v>
          </cell>
          <cell r="Y87">
            <v>417552067</v>
          </cell>
          <cell r="Z87">
            <v>1301778933.03</v>
          </cell>
          <cell r="AA87">
            <v>1441824987</v>
          </cell>
          <cell r="AB87">
            <v>1690294057</v>
          </cell>
          <cell r="AC87">
            <v>789867404</v>
          </cell>
          <cell r="AD87">
            <v>615036809</v>
          </cell>
          <cell r="AE87">
            <v>691856077</v>
          </cell>
          <cell r="AF87">
            <v>1078874044</v>
          </cell>
          <cell r="AG87">
            <v>774546034</v>
          </cell>
          <cell r="AH87">
            <v>694374977</v>
          </cell>
          <cell r="AI87">
            <v>772979623.01999998</v>
          </cell>
          <cell r="AJ87">
            <v>2820250239.4000001</v>
          </cell>
          <cell r="AK87">
            <v>676481502.06000006</v>
          </cell>
          <cell r="AL87">
            <v>1494492897.5</v>
          </cell>
          <cell r="AM87">
            <v>2441525070</v>
          </cell>
          <cell r="AN87">
            <v>3960110445</v>
          </cell>
          <cell r="AO87">
            <v>2091554390</v>
          </cell>
          <cell r="AP87">
            <v>2744969783</v>
          </cell>
        </row>
        <row r="88">
          <cell r="M88">
            <v>0</v>
          </cell>
          <cell r="N88">
            <v>0</v>
          </cell>
          <cell r="O88">
            <v>18701035</v>
          </cell>
          <cell r="P88">
            <v>25239929</v>
          </cell>
          <cell r="Q88">
            <v>3646700</v>
          </cell>
          <cell r="R88">
            <v>4977012</v>
          </cell>
          <cell r="S88">
            <v>21119416</v>
          </cell>
          <cell r="T88">
            <v>9074827</v>
          </cell>
          <cell r="U88">
            <v>33256420</v>
          </cell>
          <cell r="V88">
            <v>57216003</v>
          </cell>
          <cell r="W88">
            <v>57578800</v>
          </cell>
          <cell r="X88">
            <v>29227481</v>
          </cell>
          <cell r="Y88">
            <v>150175584</v>
          </cell>
          <cell r="Z88">
            <v>566632535.75999999</v>
          </cell>
          <cell r="AA88">
            <v>632894399</v>
          </cell>
          <cell r="AB88">
            <v>491721652</v>
          </cell>
          <cell r="AC88">
            <v>254788563</v>
          </cell>
          <cell r="AD88">
            <v>233993167</v>
          </cell>
          <cell r="AE88">
            <v>147437289</v>
          </cell>
          <cell r="AF88">
            <v>64568240</v>
          </cell>
          <cell r="AG88">
            <v>195620352</v>
          </cell>
          <cell r="AH88">
            <v>99407097</v>
          </cell>
          <cell r="AI88">
            <v>62922832.560000002</v>
          </cell>
          <cell r="AJ88">
            <v>69443204.719999999</v>
          </cell>
          <cell r="AK88">
            <v>62283727.210000001</v>
          </cell>
          <cell r="AL88">
            <v>120408417</v>
          </cell>
          <cell r="AM88">
            <v>228237846</v>
          </cell>
          <cell r="AN88">
            <v>307198820</v>
          </cell>
          <cell r="AO88">
            <v>236749575</v>
          </cell>
          <cell r="AP88">
            <v>249428097</v>
          </cell>
        </row>
        <row r="89">
          <cell r="M89">
            <v>0</v>
          </cell>
          <cell r="N89">
            <v>0</v>
          </cell>
          <cell r="O89">
            <v>9830980</v>
          </cell>
          <cell r="P89">
            <v>4797474</v>
          </cell>
          <cell r="Q89">
            <v>4383916</v>
          </cell>
          <cell r="R89">
            <v>4054500</v>
          </cell>
          <cell r="S89">
            <v>5635395</v>
          </cell>
          <cell r="T89">
            <v>10837854</v>
          </cell>
          <cell r="U89">
            <v>11938987</v>
          </cell>
          <cell r="V89">
            <v>47335754</v>
          </cell>
          <cell r="W89">
            <v>41392526</v>
          </cell>
          <cell r="X89">
            <v>19220998</v>
          </cell>
          <cell r="Y89">
            <v>51588563</v>
          </cell>
          <cell r="Z89">
            <v>164163060.88999999</v>
          </cell>
          <cell r="AA89">
            <v>548035309</v>
          </cell>
          <cell r="AB89">
            <v>505790026</v>
          </cell>
          <cell r="AC89">
            <v>334581127</v>
          </cell>
          <cell r="AD89">
            <v>187256671</v>
          </cell>
          <cell r="AE89">
            <v>119841154</v>
          </cell>
          <cell r="AF89">
            <v>76563168</v>
          </cell>
          <cell r="AG89">
            <v>59269460</v>
          </cell>
          <cell r="AH89">
            <v>57923149</v>
          </cell>
          <cell r="AI89">
            <v>45721055.700000003</v>
          </cell>
          <cell r="AJ89">
            <v>79514588.040000007</v>
          </cell>
          <cell r="AK89">
            <v>26817975.75</v>
          </cell>
          <cell r="AL89">
            <v>90482095.25</v>
          </cell>
          <cell r="AM89">
            <v>269435314</v>
          </cell>
          <cell r="AN89">
            <v>137624181</v>
          </cell>
          <cell r="AO89">
            <v>253529288</v>
          </cell>
          <cell r="AP89">
            <v>152349762</v>
          </cell>
        </row>
        <row r="90">
          <cell r="M90">
            <v>0</v>
          </cell>
          <cell r="N90">
            <v>0</v>
          </cell>
          <cell r="O90">
            <v>31565565</v>
          </cell>
          <cell r="P90">
            <v>7574800</v>
          </cell>
          <cell r="Q90">
            <v>3584176</v>
          </cell>
          <cell r="R90">
            <v>11638857</v>
          </cell>
          <cell r="S90">
            <v>13770561</v>
          </cell>
          <cell r="T90">
            <v>32164283</v>
          </cell>
          <cell r="U90">
            <v>18059662</v>
          </cell>
          <cell r="V90">
            <v>64702937</v>
          </cell>
          <cell r="W90">
            <v>98728421</v>
          </cell>
          <cell r="X90">
            <v>79676557</v>
          </cell>
          <cell r="Y90">
            <v>71862970</v>
          </cell>
          <cell r="Z90">
            <v>360585224.96000004</v>
          </cell>
          <cell r="AA90">
            <v>983774039</v>
          </cell>
          <cell r="AB90">
            <v>1470864163</v>
          </cell>
          <cell r="AC90">
            <v>1199893266</v>
          </cell>
          <cell r="AD90">
            <v>541604472</v>
          </cell>
          <cell r="AE90">
            <v>358294848</v>
          </cell>
          <cell r="AF90">
            <v>163847708</v>
          </cell>
          <cell r="AG90">
            <v>197153271</v>
          </cell>
          <cell r="AH90">
            <v>142454871</v>
          </cell>
          <cell r="AI90">
            <v>133192068.32000001</v>
          </cell>
          <cell r="AJ90">
            <v>107797355.28</v>
          </cell>
          <cell r="AK90">
            <v>101612816.91</v>
          </cell>
          <cell r="AL90">
            <v>100593541.3</v>
          </cell>
          <cell r="AM90">
            <v>305079316</v>
          </cell>
          <cell r="AN90">
            <v>298298196</v>
          </cell>
          <cell r="AO90">
            <v>494005335</v>
          </cell>
          <cell r="AP90">
            <v>528163941</v>
          </cell>
        </row>
        <row r="91">
          <cell r="M91">
            <v>0</v>
          </cell>
          <cell r="N91">
            <v>0</v>
          </cell>
          <cell r="O91">
            <v>196161550</v>
          </cell>
          <cell r="P91">
            <v>205004100</v>
          </cell>
          <cell r="Q91">
            <v>200034100</v>
          </cell>
          <cell r="R91">
            <v>193967700</v>
          </cell>
          <cell r="S91">
            <v>199918100</v>
          </cell>
          <cell r="T91">
            <v>208360567</v>
          </cell>
          <cell r="U91">
            <v>232356395</v>
          </cell>
          <cell r="V91">
            <v>241293920</v>
          </cell>
          <cell r="W91">
            <v>299400181</v>
          </cell>
          <cell r="X91">
            <v>374017904</v>
          </cell>
          <cell r="Y91">
            <v>269816163</v>
          </cell>
          <cell r="Z91">
            <v>328759748.18000007</v>
          </cell>
          <cell r="AA91">
            <v>676493766</v>
          </cell>
          <cell r="AB91">
            <v>1617667207</v>
          </cell>
          <cell r="AC91">
            <v>2647367589</v>
          </cell>
          <cell r="AD91">
            <v>3520586537</v>
          </cell>
          <cell r="AE91">
            <v>3812021333</v>
          </cell>
          <cell r="AF91">
            <v>3948350038</v>
          </cell>
          <cell r="AG91">
            <v>3874103072</v>
          </cell>
          <cell r="AH91">
            <v>3909949174</v>
          </cell>
          <cell r="AI91">
            <v>3919703409.5099998</v>
          </cell>
          <cell r="AJ91">
            <v>620754378.55996346</v>
          </cell>
          <cell r="AK91">
            <v>663049721.49000001</v>
          </cell>
          <cell r="AL91">
            <v>704979198.35000002</v>
          </cell>
          <cell r="AM91">
            <v>780795054</v>
          </cell>
          <cell r="AN91">
            <v>1109604356</v>
          </cell>
          <cell r="AO91">
            <v>720807495</v>
          </cell>
          <cell r="AP91">
            <v>1105989050</v>
          </cell>
        </row>
        <row r="92"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175829900</v>
          </cell>
          <cell r="Z93">
            <v>0</v>
          </cell>
          <cell r="AA93">
            <v>0</v>
          </cell>
          <cell r="AB93">
            <v>0</v>
          </cell>
          <cell r="AC93">
            <v>356611387</v>
          </cell>
          <cell r="AD93">
            <v>0</v>
          </cell>
          <cell r="AE93">
            <v>0</v>
          </cell>
          <cell r="AF93">
            <v>0</v>
          </cell>
          <cell r="AJ93">
            <v>3339553515.8999996</v>
          </cell>
          <cell r="AK93">
            <v>0</v>
          </cell>
        </row>
        <row r="94">
          <cell r="R94">
            <v>66297700</v>
          </cell>
          <cell r="S94">
            <v>69288000</v>
          </cell>
          <cell r="T94">
            <v>76483323</v>
          </cell>
          <cell r="U94">
            <v>55548300</v>
          </cell>
          <cell r="V94">
            <v>84261700</v>
          </cell>
          <cell r="W94">
            <v>70778600</v>
          </cell>
          <cell r="X94">
            <v>58543000</v>
          </cell>
          <cell r="Y94">
            <v>34024800</v>
          </cell>
          <cell r="Z94">
            <v>32386200</v>
          </cell>
          <cell r="AA94">
            <v>41240900</v>
          </cell>
          <cell r="AB94">
            <v>32528200</v>
          </cell>
          <cell r="AC94">
            <v>26159500</v>
          </cell>
          <cell r="AD94">
            <v>57513271.600000001</v>
          </cell>
          <cell r="AE94">
            <v>35636828.440000005</v>
          </cell>
          <cell r="AF94">
            <v>41269854.959999993</v>
          </cell>
          <cell r="AG94">
            <v>47824128</v>
          </cell>
          <cell r="AH94">
            <v>39424660</v>
          </cell>
          <cell r="AI94">
            <v>33365160</v>
          </cell>
          <cell r="AJ94">
            <v>63638209</v>
          </cell>
          <cell r="AK94">
            <v>141436821</v>
          </cell>
          <cell r="AL94">
            <v>134346023</v>
          </cell>
          <cell r="AM94">
            <v>102888381</v>
          </cell>
          <cell r="AN94">
            <v>131065316</v>
          </cell>
          <cell r="AO94">
            <v>82548480</v>
          </cell>
          <cell r="AP94">
            <v>129607546</v>
          </cell>
        </row>
        <row r="96">
          <cell r="Q96">
            <v>405598662</v>
          </cell>
          <cell r="R96">
            <v>406100000</v>
          </cell>
          <cell r="S96">
            <v>407000000</v>
          </cell>
          <cell r="T96">
            <v>408300000</v>
          </cell>
          <cell r="U96">
            <v>400300000</v>
          </cell>
          <cell r="V96">
            <v>399900000</v>
          </cell>
          <cell r="W96">
            <v>1007616000</v>
          </cell>
          <cell r="X96">
            <v>1016462664</v>
          </cell>
          <cell r="Y96">
            <v>876227960</v>
          </cell>
          <cell r="Z96">
            <v>759137796.46000004</v>
          </cell>
          <cell r="AA96">
            <v>210478615</v>
          </cell>
          <cell r="AB96">
            <v>1044000000</v>
          </cell>
          <cell r="AC96">
            <v>1033886986</v>
          </cell>
          <cell r="AD96">
            <v>1025672808</v>
          </cell>
          <cell r="AE96">
            <v>1077292934</v>
          </cell>
          <cell r="AF96">
            <v>1345002871</v>
          </cell>
          <cell r="AG96">
            <v>1691331775</v>
          </cell>
          <cell r="AH96">
            <v>1996414590</v>
          </cell>
          <cell r="AI96">
            <v>1920450798</v>
          </cell>
          <cell r="AJ96">
            <v>1954729004</v>
          </cell>
          <cell r="AK96">
            <v>1961823080</v>
          </cell>
          <cell r="AL96">
            <v>1847819335</v>
          </cell>
          <cell r="AM96">
            <v>1994874360</v>
          </cell>
          <cell r="AN96">
            <v>2417714000</v>
          </cell>
          <cell r="AO96">
            <v>2761541633</v>
          </cell>
          <cell r="AP96">
            <v>3413000410</v>
          </cell>
        </row>
        <row r="99">
          <cell r="M99">
            <v>0</v>
          </cell>
          <cell r="N99">
            <v>0</v>
          </cell>
          <cell r="O99">
            <v>12</v>
          </cell>
          <cell r="P99">
            <v>12</v>
          </cell>
          <cell r="Q99">
            <v>12</v>
          </cell>
          <cell r="R99">
            <v>12</v>
          </cell>
          <cell r="S99">
            <v>12</v>
          </cell>
          <cell r="T99">
            <v>12</v>
          </cell>
          <cell r="U99">
            <v>14</v>
          </cell>
          <cell r="V99">
            <v>15</v>
          </cell>
          <cell r="W99">
            <v>15</v>
          </cell>
          <cell r="X99">
            <v>15</v>
          </cell>
          <cell r="Y99">
            <v>15</v>
          </cell>
          <cell r="Z99">
            <v>15</v>
          </cell>
          <cell r="AA99">
            <v>15</v>
          </cell>
          <cell r="AB99">
            <v>15</v>
          </cell>
          <cell r="AC99">
            <v>18</v>
          </cell>
          <cell r="AD99">
            <v>18</v>
          </cell>
          <cell r="AE99">
            <v>18</v>
          </cell>
          <cell r="AF99">
            <v>18</v>
          </cell>
          <cell r="AG99">
            <v>18</v>
          </cell>
          <cell r="AH99">
            <v>17</v>
          </cell>
          <cell r="AI99">
            <v>17</v>
          </cell>
          <cell r="AJ99">
            <v>17</v>
          </cell>
          <cell r="AK99">
            <v>17</v>
          </cell>
          <cell r="AL99">
            <v>16</v>
          </cell>
          <cell r="AM99">
            <v>16</v>
          </cell>
          <cell r="AN99">
            <v>16</v>
          </cell>
          <cell r="AO99">
            <v>16</v>
          </cell>
          <cell r="AP99">
            <v>16</v>
          </cell>
        </row>
        <row r="100">
          <cell r="M100">
            <v>0</v>
          </cell>
          <cell r="N100">
            <v>0</v>
          </cell>
          <cell r="O100">
            <v>271</v>
          </cell>
          <cell r="P100">
            <v>268</v>
          </cell>
          <cell r="Q100">
            <v>327</v>
          </cell>
          <cell r="R100">
            <v>328</v>
          </cell>
          <cell r="S100">
            <v>379</v>
          </cell>
          <cell r="T100">
            <v>374</v>
          </cell>
          <cell r="U100">
            <v>370</v>
          </cell>
          <cell r="V100">
            <v>479</v>
          </cell>
          <cell r="W100">
            <v>445</v>
          </cell>
          <cell r="X100">
            <v>435</v>
          </cell>
          <cell r="Y100">
            <v>535</v>
          </cell>
          <cell r="Z100">
            <v>554</v>
          </cell>
          <cell r="AA100">
            <v>545</v>
          </cell>
          <cell r="AB100">
            <v>576</v>
          </cell>
          <cell r="AC100">
            <v>544</v>
          </cell>
          <cell r="AD100">
            <v>594</v>
          </cell>
          <cell r="AE100">
            <v>666</v>
          </cell>
          <cell r="AF100">
            <v>667</v>
          </cell>
          <cell r="AG100">
            <v>667</v>
          </cell>
          <cell r="AH100">
            <v>717</v>
          </cell>
          <cell r="AI100">
            <v>704</v>
          </cell>
          <cell r="AJ100">
            <v>685</v>
          </cell>
          <cell r="AK100">
            <v>703</v>
          </cell>
          <cell r="AL100">
            <v>777</v>
          </cell>
          <cell r="AM100">
            <v>788</v>
          </cell>
          <cell r="AN100">
            <v>881</v>
          </cell>
          <cell r="AO100">
            <v>953</v>
          </cell>
          <cell r="AP100">
            <v>1146</v>
          </cell>
        </row>
        <row r="101">
          <cell r="M101">
            <v>0</v>
          </cell>
          <cell r="N101">
            <v>0</v>
          </cell>
          <cell r="O101">
            <v>530</v>
          </cell>
          <cell r="P101">
            <v>548</v>
          </cell>
          <cell r="Q101">
            <v>610</v>
          </cell>
          <cell r="R101">
            <v>629</v>
          </cell>
          <cell r="S101">
            <v>696</v>
          </cell>
          <cell r="T101">
            <v>728</v>
          </cell>
          <cell r="U101">
            <v>722</v>
          </cell>
          <cell r="V101">
            <v>874</v>
          </cell>
          <cell r="W101">
            <v>884</v>
          </cell>
          <cell r="X101">
            <v>923</v>
          </cell>
          <cell r="Y101">
            <v>1024</v>
          </cell>
          <cell r="Z101">
            <v>1111</v>
          </cell>
          <cell r="AA101">
            <v>112</v>
          </cell>
          <cell r="AB101">
            <v>1191</v>
          </cell>
          <cell r="AC101">
            <v>1246</v>
          </cell>
          <cell r="AD101">
            <v>1333</v>
          </cell>
          <cell r="AE101">
            <v>1437</v>
          </cell>
          <cell r="AF101">
            <v>1450</v>
          </cell>
          <cell r="AG101">
            <v>1440</v>
          </cell>
          <cell r="AH101">
            <v>1503</v>
          </cell>
          <cell r="AI101">
            <v>1504</v>
          </cell>
          <cell r="AJ101">
            <v>1474</v>
          </cell>
          <cell r="AK101">
            <v>1501</v>
          </cell>
          <cell r="AL101">
            <v>1639</v>
          </cell>
          <cell r="AM101">
            <v>1730</v>
          </cell>
          <cell r="AN101">
            <v>1936</v>
          </cell>
          <cell r="AO101">
            <v>2135</v>
          </cell>
          <cell r="AP101">
            <v>2459</v>
          </cell>
        </row>
        <row r="102">
          <cell r="Q102">
            <v>812650000</v>
          </cell>
          <cell r="R102">
            <v>885240000</v>
          </cell>
          <cell r="S102">
            <v>891650000</v>
          </cell>
          <cell r="T102">
            <v>962970000</v>
          </cell>
          <cell r="U102">
            <v>687000000</v>
          </cell>
          <cell r="V102">
            <v>473770000</v>
          </cell>
          <cell r="W102">
            <v>342560000</v>
          </cell>
          <cell r="X102">
            <v>224281269</v>
          </cell>
          <cell r="Y102">
            <v>127209886</v>
          </cell>
          <cell r="Z102">
            <v>644461354.86000001</v>
          </cell>
          <cell r="AA102">
            <v>2003978894.4400001</v>
          </cell>
          <cell r="AB102">
            <v>2410703323.1999998</v>
          </cell>
          <cell r="AC102">
            <v>2472718947.5999999</v>
          </cell>
          <cell r="AD102">
            <v>2810073018.48</v>
          </cell>
          <cell r="AE102">
            <v>2937175016.0999999</v>
          </cell>
          <cell r="AF102">
            <v>3111526098.8099999</v>
          </cell>
          <cell r="AG102">
            <v>3072515233.8399191</v>
          </cell>
          <cell r="AH102">
            <v>3714695700.3000002</v>
          </cell>
          <cell r="AI102">
            <v>4367152285.4400005</v>
          </cell>
          <cell r="AJ102">
            <v>5591807164.0799999</v>
          </cell>
          <cell r="AK102">
            <v>5292456555.2600002</v>
          </cell>
          <cell r="AL102">
            <v>4739877098</v>
          </cell>
          <cell r="AM102">
            <v>4647560516</v>
          </cell>
          <cell r="AN102">
            <v>4784943221</v>
          </cell>
          <cell r="AO102">
            <v>4756780662.3999996</v>
          </cell>
          <cell r="AP102">
            <v>4762005083.6999998</v>
          </cell>
        </row>
        <row r="106">
          <cell r="Q106">
            <v>54592498394</v>
          </cell>
          <cell r="R106">
            <v>43090553174</v>
          </cell>
          <cell r="S106">
            <v>43944560952</v>
          </cell>
          <cell r="T106">
            <v>61051518091</v>
          </cell>
          <cell r="U106">
            <v>62462734321</v>
          </cell>
          <cell r="V106">
            <v>62843297400</v>
          </cell>
          <cell r="W106">
            <v>67263825111</v>
          </cell>
          <cell r="X106">
            <v>70135791314</v>
          </cell>
          <cell r="Y106">
            <v>68907577650.169998</v>
          </cell>
          <cell r="Z106">
            <v>67593752277</v>
          </cell>
          <cell r="AA106">
            <v>68488291857</v>
          </cell>
          <cell r="AB106">
            <v>66744067839</v>
          </cell>
          <cell r="AC106">
            <v>68039881537</v>
          </cell>
          <cell r="AD106">
            <v>61894884963</v>
          </cell>
          <cell r="AE106">
            <v>62445639019</v>
          </cell>
          <cell r="AF106">
            <v>63698490648</v>
          </cell>
          <cell r="AG106">
            <v>71110656074</v>
          </cell>
          <cell r="AH106">
            <v>68145345980.220001</v>
          </cell>
          <cell r="AI106">
            <v>70031641104.287003</v>
          </cell>
          <cell r="AJ106">
            <v>85624991261.772003</v>
          </cell>
          <cell r="AK106">
            <v>83769562904</v>
          </cell>
          <cell r="AL106">
            <v>77597945026.452057</v>
          </cell>
          <cell r="AM106">
            <v>90433817167.47345</v>
          </cell>
          <cell r="AN106">
            <v>90444805624.338211</v>
          </cell>
          <cell r="AO106">
            <v>92606702509.520203</v>
          </cell>
          <cell r="AP106">
            <v>99092022116.053009</v>
          </cell>
        </row>
        <row r="107">
          <cell r="Q107">
            <v>36205891041</v>
          </cell>
          <cell r="R107">
            <v>47200941641</v>
          </cell>
          <cell r="S107">
            <v>44153302387</v>
          </cell>
          <cell r="T107">
            <v>62329647136</v>
          </cell>
          <cell r="U107">
            <v>72716068663</v>
          </cell>
          <cell r="V107">
            <v>79157284731</v>
          </cell>
          <cell r="W107">
            <v>112009967043</v>
          </cell>
          <cell r="X107">
            <v>142356725071</v>
          </cell>
          <cell r="Y107">
            <v>144613942221.21002</v>
          </cell>
          <cell r="Z107">
            <v>172160014282</v>
          </cell>
          <cell r="AA107">
            <v>171148845258</v>
          </cell>
          <cell r="AB107">
            <v>172656295467</v>
          </cell>
          <cell r="AC107">
            <v>181724861674</v>
          </cell>
          <cell r="AD107">
            <v>185050011652</v>
          </cell>
          <cell r="AE107">
            <v>213646508264</v>
          </cell>
          <cell r="AF107">
            <v>295899512581</v>
          </cell>
          <cell r="AG107">
            <v>320266625602.77002</v>
          </cell>
          <cell r="AH107">
            <v>353737486650.70001</v>
          </cell>
          <cell r="AI107">
            <v>372334859804.20496</v>
          </cell>
          <cell r="AJ107">
            <v>380329325956.76007</v>
          </cell>
          <cell r="AK107">
            <v>433781668106.63995</v>
          </cell>
          <cell r="AL107">
            <v>451137847066.04999</v>
          </cell>
          <cell r="AM107">
            <v>508506395942.10004</v>
          </cell>
          <cell r="AN107">
            <v>616718030039.98193</v>
          </cell>
          <cell r="AO107">
            <v>754934252970.69006</v>
          </cell>
          <cell r="AP107">
            <v>900911550314.01501</v>
          </cell>
        </row>
        <row r="108"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</row>
        <row r="109"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4093325280</v>
          </cell>
          <cell r="AH109">
            <v>4086074256</v>
          </cell>
          <cell r="AI109">
            <v>4260627820</v>
          </cell>
          <cell r="AJ109">
            <v>14089894426</v>
          </cell>
          <cell r="AK109">
            <v>17985394814</v>
          </cell>
          <cell r="AL109">
            <v>18208491126</v>
          </cell>
          <cell r="AM109">
            <v>18304220948</v>
          </cell>
          <cell r="AN109">
            <v>19131953426</v>
          </cell>
          <cell r="AO109">
            <v>17290121460</v>
          </cell>
          <cell r="AP109">
            <v>21637121029.950073</v>
          </cell>
        </row>
        <row r="110"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-0.6199951171875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</row>
        <row r="114">
          <cell r="Q114">
            <v>56343560597</v>
          </cell>
          <cell r="R114">
            <v>61721522313</v>
          </cell>
          <cell r="S114">
            <v>67775753398</v>
          </cell>
          <cell r="T114">
            <v>72306855356</v>
          </cell>
          <cell r="U114">
            <v>79128335298</v>
          </cell>
          <cell r="V114">
            <v>75316540525</v>
          </cell>
          <cell r="W114">
            <v>79301736239</v>
          </cell>
          <cell r="X114">
            <v>95569303566</v>
          </cell>
          <cell r="Y114">
            <v>111196642775</v>
          </cell>
          <cell r="Z114">
            <v>117016149419</v>
          </cell>
          <cell r="AA114">
            <v>121733168321</v>
          </cell>
          <cell r="AB114">
            <v>123061032992</v>
          </cell>
          <cell r="AC114">
            <v>124596363242</v>
          </cell>
          <cell r="AD114">
            <v>116143064959</v>
          </cell>
          <cell r="AE114">
            <v>129162275126</v>
          </cell>
          <cell r="AF114">
            <v>130616827659</v>
          </cell>
          <cell r="AG114">
            <v>134077041929</v>
          </cell>
          <cell r="AH114">
            <v>122286983582.8</v>
          </cell>
          <cell r="AI114">
            <v>131097956662</v>
          </cell>
          <cell r="AJ114">
            <v>151150260476</v>
          </cell>
          <cell r="AK114">
            <v>168585855039</v>
          </cell>
          <cell r="AL114">
            <v>165845767565.45206</v>
          </cell>
          <cell r="AM114">
            <v>198384535569.29346</v>
          </cell>
          <cell r="AN114">
            <v>203173891822.42221</v>
          </cell>
          <cell r="AO114">
            <v>227128366303.5202</v>
          </cell>
          <cell r="AP114">
            <v>250261591420.108</v>
          </cell>
        </row>
        <row r="115">
          <cell r="Q115">
            <v>49613561515</v>
          </cell>
          <cell r="R115">
            <v>45829404230</v>
          </cell>
          <cell r="S115">
            <v>39197197840</v>
          </cell>
          <cell r="T115">
            <v>62230059251</v>
          </cell>
          <cell r="U115">
            <v>69057247218</v>
          </cell>
          <cell r="V115">
            <v>81733276951</v>
          </cell>
          <cell r="W115">
            <v>116598901212</v>
          </cell>
          <cell r="X115">
            <v>137081712309</v>
          </cell>
          <cell r="Y115">
            <v>136817398097.37999</v>
          </cell>
          <cell r="Z115">
            <v>161325346924</v>
          </cell>
          <cell r="AA115">
            <v>158712301119</v>
          </cell>
          <cell r="AB115">
            <v>159304790147</v>
          </cell>
          <cell r="AC115">
            <v>170692303482</v>
          </cell>
          <cell r="AD115">
            <v>178572198670</v>
          </cell>
          <cell r="AE115">
            <v>196245451511</v>
          </cell>
          <cell r="AF115">
            <v>281689948172</v>
          </cell>
          <cell r="AG115">
            <v>318383004025.79999</v>
          </cell>
          <cell r="AH115">
            <v>360668165860</v>
          </cell>
          <cell r="AI115">
            <v>378066037907.64001</v>
          </cell>
          <cell r="AJ115">
            <v>399348978675.12</v>
          </cell>
          <cell r="AK115">
            <v>447206631411.19006</v>
          </cell>
          <cell r="AL115">
            <v>470813621486.15002</v>
          </cell>
          <cell r="AM115">
            <v>517027510974.00006</v>
          </cell>
          <cell r="AN115">
            <v>628687061653.56006</v>
          </cell>
          <cell r="AO115">
            <v>750689592628.70007</v>
          </cell>
          <cell r="AP115">
            <v>891191532035.40002</v>
          </cell>
        </row>
        <row r="116"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</row>
        <row r="117"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2405617785</v>
          </cell>
          <cell r="AH117">
            <v>8487070944</v>
          </cell>
          <cell r="AI117">
            <v>10705296314</v>
          </cell>
          <cell r="AJ117">
            <v>12569945769.5</v>
          </cell>
          <cell r="AK117">
            <v>14238752447</v>
          </cell>
          <cell r="AL117">
            <v>15714786063</v>
          </cell>
          <cell r="AM117">
            <v>18368971771</v>
          </cell>
          <cell r="AN117">
            <v>22191212146</v>
          </cell>
          <cell r="AO117">
            <v>27659358340</v>
          </cell>
          <cell r="AP117">
            <v>33678383940</v>
          </cell>
        </row>
        <row r="118"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-0.6199951171875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-0.300048828125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</row>
        <row r="123">
          <cell r="Q123">
            <v>102989168133</v>
          </cell>
          <cell r="R123">
            <v>105505784220</v>
          </cell>
          <cell r="S123">
            <v>105912555611</v>
          </cell>
          <cell r="T123">
            <v>131437860000</v>
          </cell>
          <cell r="U123">
            <v>137153120000</v>
          </cell>
          <cell r="V123">
            <v>153612020000</v>
          </cell>
          <cell r="W123">
            <v>192039990000</v>
          </cell>
          <cell r="X123">
            <v>230740270000</v>
          </cell>
          <cell r="Y123">
            <v>244789320576</v>
          </cell>
          <cell r="Z123">
            <v>273177134291</v>
          </cell>
          <cell r="AA123">
            <v>275781422809.79999</v>
          </cell>
          <cell r="AB123">
            <v>278460772645</v>
          </cell>
          <cell r="AC123">
            <v>292669689993.84003</v>
          </cell>
          <cell r="AD123">
            <v>290300234337.32001</v>
          </cell>
          <cell r="AE123">
            <v>321770073048</v>
          </cell>
          <cell r="AF123">
            <v>406975322247</v>
          </cell>
          <cell r="AG123">
            <v>450449888039.84003</v>
          </cell>
          <cell r="AH123">
            <v>486095664612</v>
          </cell>
          <cell r="AI123">
            <v>514562609694.89001</v>
          </cell>
          <cell r="AJ123">
            <v>557701523938.74011</v>
          </cell>
          <cell r="AK123">
            <v>623608942408</v>
          </cell>
          <cell r="AL123">
            <v>644581518105</v>
          </cell>
          <cell r="AM123">
            <v>713343060519.75</v>
          </cell>
          <cell r="AN123">
            <v>827589064331.15002</v>
          </cell>
          <cell r="AO123">
            <v>905137549055.5</v>
          </cell>
          <cell r="AP123">
            <v>1126133321654.3999</v>
          </cell>
        </row>
        <row r="124">
          <cell r="Z124">
            <v>68985088004</v>
          </cell>
          <cell r="AA124">
            <v>68985088004</v>
          </cell>
          <cell r="AB124">
            <v>68985088004</v>
          </cell>
          <cell r="AC124">
            <v>86355460662</v>
          </cell>
          <cell r="AD124">
            <v>91300898556</v>
          </cell>
          <cell r="AE124">
            <v>91287515955.020004</v>
          </cell>
          <cell r="AF124">
            <v>91287500121.369995</v>
          </cell>
          <cell r="AG124">
            <v>105039799340.3</v>
          </cell>
          <cell r="AH124">
            <v>104939685509.39999</v>
          </cell>
          <cell r="AI124">
            <v>104707170560.13</v>
          </cell>
          <cell r="AJ124">
            <v>104715999247.67999</v>
          </cell>
          <cell r="AK124">
            <v>104725536772.53</v>
          </cell>
          <cell r="AL124">
            <v>139946948262</v>
          </cell>
          <cell r="AM124">
            <v>139949217807</v>
          </cell>
          <cell r="AN124">
            <v>140152191387</v>
          </cell>
          <cell r="AO124">
            <v>173034380387</v>
          </cell>
          <cell r="AP124">
            <v>173034380387</v>
          </cell>
        </row>
        <row r="125">
          <cell r="Z125">
            <v>0.25252877838052917</v>
          </cell>
          <cell r="AA125">
            <v>0.25014407171137631</v>
          </cell>
          <cell r="AB125">
            <v>0.24773718520111521</v>
          </cell>
          <cell r="AC125">
            <v>0.29506116832193169</v>
          </cell>
          <cell r="AD125">
            <v>0.31450508045374548</v>
          </cell>
          <cell r="AE125">
            <v>0.28370418383005497</v>
          </cell>
          <cell r="AF125">
            <v>0.22430721257827549</v>
          </cell>
          <cell r="AG125">
            <v>0.23318864568351222</v>
          </cell>
          <cell r="AH125">
            <v>0.21588278429342198</v>
          </cell>
          <cell r="AI125">
            <v>0.2034877167274477</v>
          </cell>
          <cell r="AJ125">
            <v>0.18776351642026778</v>
          </cell>
          <cell r="AK125">
            <v>0.1679346296224416</v>
          </cell>
          <cell r="AL125">
            <v>0.2171128776286185</v>
          </cell>
          <cell r="AM125">
            <v>0.19618781698812823</v>
          </cell>
          <cell r="AN125">
            <v>0.16934997987228084</v>
          </cell>
          <cell r="AO125">
            <v>0.19116915497269921</v>
          </cell>
          <cell r="AP125">
            <v>0.15365354799447331</v>
          </cell>
        </row>
        <row r="128">
          <cell r="Q128">
            <v>0.56999999999999995</v>
          </cell>
          <cell r="R128">
            <v>0.55000000000000004</v>
          </cell>
          <cell r="S128">
            <v>0.55000000000000004</v>
          </cell>
          <cell r="T128">
            <v>0.55000000000000004</v>
          </cell>
          <cell r="U128">
            <v>0.54</v>
          </cell>
          <cell r="V128">
            <v>0.53</v>
          </cell>
          <cell r="W128">
            <v>0.54</v>
          </cell>
          <cell r="X128">
            <v>0.54</v>
          </cell>
          <cell r="Y128">
            <v>0.54</v>
          </cell>
          <cell r="Z128">
            <v>0.54</v>
          </cell>
          <cell r="AA128">
            <v>0.54</v>
          </cell>
          <cell r="AB128">
            <v>0.53800000000000003</v>
          </cell>
          <cell r="AC128">
            <v>0.52700000000000002</v>
          </cell>
          <cell r="AD128">
            <v>0.52700000000000002</v>
          </cell>
          <cell r="AE128">
            <v>0.54300000000000004</v>
          </cell>
          <cell r="AF128">
            <v>0.56599999999999995</v>
          </cell>
          <cell r="AG128">
            <v>0.5971542986746049</v>
          </cell>
          <cell r="AH128">
            <v>0.63894161787378911</v>
          </cell>
          <cell r="AI128">
            <v>0.67841425017830115</v>
          </cell>
          <cell r="AJ128">
            <v>0.70263759189350283</v>
          </cell>
          <cell r="AK128">
            <v>0.71430626483492776</v>
          </cell>
          <cell r="AL128">
            <v>0.71497740752401784</v>
          </cell>
          <cell r="AM128">
            <v>0.72975354328726427</v>
          </cell>
          <cell r="AN128">
            <v>0.76162781740590668</v>
          </cell>
          <cell r="AO128">
            <v>0.77882307336782308</v>
          </cell>
          <cell r="AP128">
            <v>0.80235772017253659</v>
          </cell>
        </row>
        <row r="129"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0.9</v>
          </cell>
          <cell r="AF129">
            <v>0.89700000000000002</v>
          </cell>
          <cell r="AG129">
            <v>0.94185449004181732</v>
          </cell>
          <cell r="AH129">
            <v>0.91923998966214826</v>
          </cell>
          <cell r="AI129">
            <v>0.91719867100387908</v>
          </cell>
          <cell r="AJ129">
            <v>0.91559871514669844</v>
          </cell>
          <cell r="AK129">
            <v>0.91434302748407614</v>
          </cell>
          <cell r="AL129">
            <v>0.90152063105763425</v>
          </cell>
          <cell r="AM129">
            <v>0.90022572984584914</v>
          </cell>
          <cell r="AN129">
            <v>0.89668612981250673</v>
          </cell>
          <cell r="AO129">
            <v>0.89475645938007842</v>
          </cell>
          <cell r="AP129">
            <v>0.888437539260438</v>
          </cell>
        </row>
        <row r="133">
          <cell r="AC133" t="str">
            <v>MicroFinanza</v>
          </cell>
          <cell r="AJ133" t="str">
            <v>Planet Rating</v>
          </cell>
        </row>
        <row r="134">
          <cell r="AC134" t="str">
            <v>BBB+</v>
          </cell>
          <cell r="AJ134" t="str">
            <v>A-</v>
          </cell>
        </row>
        <row r="135">
          <cell r="AC135">
            <v>39995</v>
          </cell>
          <cell r="AJ135">
            <v>40725</v>
          </cell>
        </row>
        <row r="140">
          <cell r="M140">
            <v>0</v>
          </cell>
          <cell r="N140">
            <v>0</v>
          </cell>
          <cell r="O140">
            <v>4101</v>
          </cell>
          <cell r="P140">
            <v>4127</v>
          </cell>
          <cell r="Q140">
            <v>4056</v>
          </cell>
          <cell r="R140">
            <v>4061</v>
          </cell>
          <cell r="S140">
            <v>4070</v>
          </cell>
          <cell r="T140">
            <v>4083</v>
          </cell>
          <cell r="U140">
            <v>4003</v>
          </cell>
          <cell r="V140">
            <v>3999</v>
          </cell>
          <cell r="W140">
            <v>4096</v>
          </cell>
          <cell r="X140">
            <v>4116</v>
          </cell>
          <cell r="Y140">
            <v>4081</v>
          </cell>
          <cell r="Z140">
            <v>4093</v>
          </cell>
          <cell r="AA140">
            <v>4164</v>
          </cell>
          <cell r="AB140">
            <v>4176</v>
          </cell>
          <cell r="AC140">
            <v>4169</v>
          </cell>
          <cell r="AD140">
            <v>4186</v>
          </cell>
          <cell r="AE140">
            <v>4226</v>
          </cell>
          <cell r="AF140">
            <v>4231</v>
          </cell>
          <cell r="AG140">
            <v>4053</v>
          </cell>
          <cell r="AH140">
            <v>4010</v>
          </cell>
          <cell r="AI140">
            <v>4119</v>
          </cell>
          <cell r="AJ140">
            <v>4084</v>
          </cell>
          <cell r="AK140">
            <v>4039</v>
          </cell>
          <cell r="AL140">
            <v>3995</v>
          </cell>
          <cell r="AM140">
            <v>4065</v>
          </cell>
          <cell r="AN140">
            <v>4043</v>
          </cell>
          <cell r="AO140">
            <v>3995</v>
          </cell>
          <cell r="AP140">
            <v>3995</v>
          </cell>
        </row>
        <row r="141">
          <cell r="F141"/>
          <cell r="G141"/>
          <cell r="H141"/>
          <cell r="I141"/>
          <cell r="J141">
            <v>455</v>
          </cell>
          <cell r="K141">
            <v>455</v>
          </cell>
          <cell r="L141">
            <v>455</v>
          </cell>
          <cell r="M141">
            <v>455</v>
          </cell>
          <cell r="N141">
            <v>526</v>
          </cell>
          <cell r="O141">
            <v>526</v>
          </cell>
          <cell r="P141">
            <v>526</v>
          </cell>
          <cell r="Q141">
            <v>526</v>
          </cell>
          <cell r="R141">
            <v>627</v>
          </cell>
          <cell r="S141">
            <v>627</v>
          </cell>
          <cell r="T141">
            <v>627</v>
          </cell>
          <cell r="U141">
            <v>627</v>
          </cell>
          <cell r="V141">
            <v>805</v>
          </cell>
          <cell r="W141">
            <v>805</v>
          </cell>
          <cell r="X141">
            <v>805</v>
          </cell>
          <cell r="Y141">
            <v>805</v>
          </cell>
          <cell r="Z141">
            <v>768</v>
          </cell>
          <cell r="AA141">
            <v>768</v>
          </cell>
          <cell r="AB141">
            <v>768</v>
          </cell>
          <cell r="AC141">
            <v>768</v>
          </cell>
          <cell r="AD141">
            <v>814</v>
          </cell>
          <cell r="AE141">
            <v>814</v>
          </cell>
          <cell r="AF141">
            <v>814</v>
          </cell>
          <cell r="AG141">
            <v>814</v>
          </cell>
          <cell r="AH141">
            <v>912</v>
          </cell>
          <cell r="AI141">
            <v>912</v>
          </cell>
          <cell r="AJ141">
            <v>912</v>
          </cell>
          <cell r="AK141">
            <v>912</v>
          </cell>
          <cell r="AL141">
            <v>998</v>
          </cell>
          <cell r="AM141">
            <v>998</v>
          </cell>
          <cell r="AN141">
            <v>998</v>
          </cell>
          <cell r="AO141">
            <v>998</v>
          </cell>
          <cell r="AP141">
            <v>1097</v>
          </cell>
          <cell r="AQ141">
            <v>1097</v>
          </cell>
          <cell r="AR141">
            <v>1097</v>
          </cell>
          <cell r="AS141">
            <v>1097</v>
          </cell>
          <cell r="AT141">
            <v>1215</v>
          </cell>
          <cell r="AU141">
            <v>1215</v>
          </cell>
          <cell r="AV141">
            <v>1215</v>
          </cell>
          <cell r="AW141">
            <v>1215</v>
          </cell>
          <cell r="AX141">
            <v>1336</v>
          </cell>
          <cell r="AY141">
            <v>1336</v>
          </cell>
          <cell r="AZ141">
            <v>1336</v>
          </cell>
          <cell r="BA141">
            <v>1336</v>
          </cell>
          <cell r="BB141">
            <v>1470</v>
          </cell>
          <cell r="BC141">
            <v>1470</v>
          </cell>
          <cell r="BD141">
            <v>1470</v>
          </cell>
          <cell r="BE141">
            <v>1470</v>
          </cell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</row>
        <row r="142">
          <cell r="Q142">
            <v>7.2639999999999996E-2</v>
          </cell>
          <cell r="R142">
            <v>8.6900000000000005E-2</v>
          </cell>
          <cell r="S142">
            <v>8.6900000000000005E-2</v>
          </cell>
          <cell r="T142">
            <v>8.6900000000000005E-2</v>
          </cell>
          <cell r="U142">
            <v>8.6900000000000005E-2</v>
          </cell>
          <cell r="V142">
            <v>0.10815</v>
          </cell>
          <cell r="W142">
            <v>0.10815</v>
          </cell>
          <cell r="X142">
            <v>0.10815</v>
          </cell>
          <cell r="Y142">
            <v>0.10815</v>
          </cell>
          <cell r="AC142">
            <v>-6.6130760241810502E-3</v>
          </cell>
          <cell r="AG142">
            <v>3.9962300795426099E-2</v>
          </cell>
          <cell r="AK142">
            <v>5.4800000000000001E-2</v>
          </cell>
          <cell r="AO142">
            <v>2.93E-2</v>
          </cell>
          <cell r="AP142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inStat"/>
      <sheetName val="InpC-PSC MISC"/>
      <sheetName val="InpC-SB"/>
      <sheetName val="InpR"/>
      <sheetName val="InpO&amp;M"/>
      <sheetName val="Inp O&amp;M-PrivOpStruct"/>
      <sheetName val="InpR&amp;R"/>
      <sheetName val="Time"/>
      <sheetName val="Esc"/>
      <sheetName val="CapEx"/>
      <sheetName val="O&amp;M"/>
      <sheetName val="R&amp;R"/>
      <sheetName val="MS PMNT"/>
      <sheetName val="Cap S"/>
      <sheetName val="Debt"/>
      <sheetName val="Reserve"/>
      <sheetName val="Equity"/>
      <sheetName val="AP"/>
      <sheetName val="Dep"/>
      <sheetName val="Tax"/>
      <sheetName val="Agency Rev"/>
      <sheetName val="NPV"/>
      <sheetName val="Check"/>
      <sheetName val="Restults Tabs-&gt;"/>
      <sheetName val="Standard Output"/>
      <sheetName val="S&amp;U"/>
      <sheetName val="Assumption Tables"/>
      <sheetName val="S&amp;U Summary"/>
      <sheetName val="Chart Data"/>
      <sheetName val="Chart Data 4-9-14 pres"/>
      <sheetName val="Sensitivity-Tornado"/>
      <sheetName val="Sensitivity-2"/>
      <sheetName val="Total AP"/>
      <sheetName val="AP Breakout"/>
      <sheetName val="SB Uses"/>
      <sheetName val="SB Sources"/>
      <sheetName val="S&amp;U SB"/>
      <sheetName val="S&amp;U PSC"/>
      <sheetName val="PL-DBBvsDBFOM CAPEX O&amp;M"/>
      <sheetName val="VfM Results"/>
      <sheetName val="O&amp;M Costs"/>
      <sheetName val="R&amp;R Costs"/>
      <sheetName val="Net Annual Cash Flows"/>
      <sheetName val="Debt Ser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70">
          <cell r="F70">
            <v>5.671990820813666E-2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bajo Realizado"/>
      <sheetName val="ESF"/>
      <sheetName val="EERR"/>
      <sheetName val="Eliminaciones"/>
      <sheetName val="TEST"/>
      <sheetName val="ESF TIAXA DCO"/>
      <sheetName val="EERR TIAXA DCO"/>
      <sheetName val="Patrimonio Inicial TIAXA"/>
      <sheetName val="P dolar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C6">
            <v>468.01</v>
          </cell>
        </row>
        <row r="45">
          <cell r="C45">
            <v>507.1</v>
          </cell>
        </row>
        <row r="86">
          <cell r="C86">
            <v>640.91</v>
          </cell>
        </row>
      </sheetData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ors' Statement"/>
      <sheetName val="Output (Historical)"/>
      <sheetName val="Monthly and Quarterly Reporting"/>
      <sheetName val="Equity"/>
      <sheetName val="Debt"/>
      <sheetName val="Covenants Calculation"/>
      <sheetName val="Off Balance Sheet"/>
      <sheetName val="Liquidity Gap Analysis - Nov21"/>
    </sheetNames>
    <sheetDataSet>
      <sheetData sheetId="0"/>
      <sheetData sheetId="1">
        <row r="6">
          <cell r="D6">
            <v>1000000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aheeda Solomon" id="{3750EB8A-EA14-4B65-9067-388B18ABF6C7}" userId="S::shaheeda.solomon@lulalend.co.za::e2c14bd7-68ac-408c-b66a-37354ef498c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6" dT="2025-01-27T11:53:31.24" personId="{3750EB8A-EA14-4B65-9067-388B18ABF6C7}" id="{84C73E58-ABBB-4CD7-9E9E-06D89BE0E93D}">
    <text>Changed this quarter to align with Q4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F39" dT="2025-09-17T08:50:15.01" personId="{3750EB8A-EA14-4B65-9067-388B18ABF6C7}" id="{ED276B80-410B-4F0D-8D8E-CCA3BC49C605}">
    <text>Due to implementation of new ECL methodology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3BA057-A168-4AB5-983D-BB2E1DC76B25}">
  <we:reference id="wa200002663" version="1.8.0.0" store="en-US" storeType="OMEX"/>
  <we:alternateReferences>
    <we:reference id="WA200002663" version="1.8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go.xero.com/Reports/report2.aspx?report=CashFlow&amp;date=1%2F07%2F2017&amp;addToReportId=1c1dae16-2d4d-4b54-87f0-c49e7927774d&amp;addToReportTitle=Executive%20Summary" TargetMode="External"/><Relationship Id="rId7" Type="http://schemas.openxmlformats.org/officeDocument/2006/relationships/hyperlink" Target="https://go.xero.com/Reports/report2.aspx?report=BankSummary&amp;fromDate=1%2F05%2F2017&amp;toDate=31%2F05%2F2017&amp;addToReportId=ffa75e42-95ea-4bfa-8aa3-c3c6a676f71a&amp;addToReportTitle=Executive%20Summary" TargetMode="External"/><Relationship Id="rId2" Type="http://schemas.openxmlformats.org/officeDocument/2006/relationships/hyperlink" Target="https://go.xero.com/Reports/report2.aspx?report=CashFlow&amp;date=1%2F07%2F2017&amp;addToReportId=1c1dae16-2d4d-4b54-87f0-c49e7927774d&amp;addToReportTitle=Executive%20Summary" TargetMode="External"/><Relationship Id="rId1" Type="http://schemas.openxmlformats.org/officeDocument/2006/relationships/hyperlink" Target="https://go.xero.com/Reports/report2.aspx?report=CashFlow&amp;date=1%2F05%2F2017&amp;addToReportId=ffa75e42-95ea-4bfa-8aa3-c3c6a676f71a&amp;addToReportTitle=Executive%20Summary" TargetMode="External"/><Relationship Id="rId6" Type="http://schemas.openxmlformats.org/officeDocument/2006/relationships/hyperlink" Target="https://go.xero.com/Reports/report2.aspx?report=CashFlow&amp;date=1%2F05%2F2017&amp;addToReportId=ffa75e42-95ea-4bfa-8aa3-c3c6a676f71a&amp;addToReportTitle=Executive%20Summary" TargetMode="External"/><Relationship Id="rId5" Type="http://schemas.openxmlformats.org/officeDocument/2006/relationships/hyperlink" Target="https://go.xero.com/Reports/report2.aspx?report=CashFlow&amp;date=1%2F05%2F2017&amp;addToReportId=ffa75e42-95ea-4bfa-8aa3-c3c6a676f71a&amp;addToReportTitle=Executive%20Summary" TargetMode="External"/><Relationship Id="rId4" Type="http://schemas.openxmlformats.org/officeDocument/2006/relationships/hyperlink" Target="https://go.xero.com/Reports/report2.aspx?report=CashFlow&amp;date=1%2F07%2F2017&amp;addToReportId=1c1dae16-2d4d-4b54-87f0-c49e7927774d&amp;addToReportTitle=Executive%20Summar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hyperlink" Target="https://go.xero.com/Reports/report2.aspx?report=BalanceSheet&amp;date=31-Jan-2018&amp;compareTo=-1&amp;addToReportId=3e15b211-59fc-4082-9098-2556819e3299&amp;addToReportTitle=Fixed%20Asset%20Reconciliation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https://go.xero.com/Reports/report2.aspx?report=BalanceSheet&amp;date=31-Jan-2018&amp;compareTo=-1&amp;addToReportId=3e15b211-59fc-4082-9098-2556819e3299&amp;addToReportTitle=Fixed%20Asset%20Reconciliation" TargetMode="External"/><Relationship Id="rId1" Type="http://schemas.openxmlformats.org/officeDocument/2006/relationships/hyperlink" Target="https://go.xero.com/Reports/report2.aspx?report=BalanceSheet&amp;date=28-Feb-2018&amp;compareTo=-1&amp;addToReportId=f79ec8e3-8784-45f9-8742-cca9e73ea50f&amp;addToReportTitle=Fixed%20Asset%20Reconciliation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go.xero.com/Reports/report2.aspx?report=BalanceSheet&amp;date=31-Jan-2018&amp;compareTo=-1&amp;addToReportId=3e15b211-59fc-4082-9098-2556819e3299&amp;addToReportTitle=Fixed%20Asset%20Reconciliation" TargetMode="External"/><Relationship Id="rId4" Type="http://schemas.openxmlformats.org/officeDocument/2006/relationships/hyperlink" Target="https://go.xero.com/Reports/report2.aspx?report=BalanceSheet&amp;date=28-Feb-2018&amp;compareTo=-1&amp;addToReportId=f79ec8e3-8784-45f9-8742-cca9e73ea50f&amp;addToReportTitle=Fixed%20Asset%20Reconcilia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go.xero.com/Reports/report2.aspx?report=BankSummary&amp;fromDate=1%2F05%2F2017&amp;toDate=31%2F05%2F2017&amp;addToReportId=ffa75e42-95ea-4bfa-8aa3-c3c6a676f71a&amp;addToReportTitle=Executive%20Summary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B55C-2B95-49C2-811A-211E48602E41}">
  <sheetPr>
    <tabColor theme="0" tint="-0.249977111117893"/>
  </sheetPr>
  <dimension ref="B2:V39"/>
  <sheetViews>
    <sheetView showGridLines="0" tabSelected="1" workbookViewId="0">
      <selection activeCell="D28" sqref="D28"/>
    </sheetView>
  </sheetViews>
  <sheetFormatPr defaultColWidth="9.109375" defaultRowHeight="14.4" outlineLevelCol="1"/>
  <cols>
    <col min="1" max="1" width="3.109375" style="1250" customWidth="1"/>
    <col min="2" max="2" width="4.44140625" style="1251" customWidth="1"/>
    <col min="3" max="3" width="53.6640625" style="1251" customWidth="1"/>
    <col min="4" max="6" width="18.109375" style="1251" customWidth="1"/>
    <col min="7" max="7" width="20.33203125" style="1251" customWidth="1"/>
    <col min="8" max="9" width="15.44140625" style="1251" customWidth="1"/>
    <col min="10" max="12" width="15.44140625" style="1251" customWidth="1" outlineLevel="1"/>
    <col min="13" max="13" width="15.44140625" style="1250" customWidth="1" outlineLevel="1"/>
    <col min="14" max="14" width="15.109375" style="1250" customWidth="1" outlineLevel="1"/>
    <col min="15" max="15" width="11.109375" style="1250" customWidth="1" outlineLevel="1"/>
    <col min="16" max="17" width="14.109375" style="1250" customWidth="1" outlineLevel="1"/>
    <col min="18" max="18" width="10.88671875" style="1250" bestFit="1" customWidth="1"/>
    <col min="19" max="16384" width="9.109375" style="1250"/>
  </cols>
  <sheetData>
    <row r="2" spans="2:22">
      <c r="B2" s="1246" t="s">
        <v>882</v>
      </c>
      <c r="C2" s="1246"/>
      <c r="D2" s="1246"/>
      <c r="E2" s="1246"/>
      <c r="F2" s="1246"/>
      <c r="G2" s="1246"/>
      <c r="H2" s="1246"/>
      <c r="I2" s="1246"/>
      <c r="J2" s="1246"/>
      <c r="K2" s="1246"/>
      <c r="L2" s="1246"/>
      <c r="M2" s="1247"/>
      <c r="N2" s="1247"/>
      <c r="O2" s="1247"/>
      <c r="P2" s="1247"/>
      <c r="Q2" s="1248"/>
      <c r="R2" s="1249"/>
      <c r="S2" s="1249"/>
      <c r="T2" s="1249"/>
      <c r="U2" s="1249"/>
      <c r="V2" s="1249"/>
    </row>
    <row r="3" spans="2:22">
      <c r="M3" s="1252"/>
      <c r="N3" s="1252"/>
      <c r="O3" s="1252"/>
      <c r="P3" s="1252"/>
      <c r="Q3" s="1253"/>
    </row>
    <row r="4" spans="2:22">
      <c r="C4" s="1250"/>
      <c r="D4" s="1254" t="s">
        <v>886</v>
      </c>
      <c r="E4" s="1254" t="s">
        <v>883</v>
      </c>
      <c r="F4" s="1254" t="s">
        <v>884</v>
      </c>
      <c r="G4" s="1254" t="s">
        <v>885</v>
      </c>
      <c r="H4" s="1254" t="s">
        <v>886</v>
      </c>
      <c r="I4" s="1254" t="s">
        <v>883</v>
      </c>
      <c r="J4" s="1254" t="s">
        <v>884</v>
      </c>
      <c r="K4" s="1254" t="s">
        <v>885</v>
      </c>
      <c r="L4" s="1254" t="s">
        <v>886</v>
      </c>
      <c r="M4" s="1254" t="s">
        <v>883</v>
      </c>
      <c r="N4" s="1254" t="s">
        <v>884</v>
      </c>
      <c r="O4" s="1254" t="s">
        <v>885</v>
      </c>
      <c r="P4" s="1254" t="s">
        <v>886</v>
      </c>
      <c r="Q4" s="1253"/>
    </row>
    <row r="5" spans="2:22">
      <c r="C5" s="1250"/>
      <c r="D5" s="1255" t="s">
        <v>923</v>
      </c>
      <c r="E5" s="1255" t="s">
        <v>856</v>
      </c>
      <c r="F5" s="1255" t="s">
        <v>848</v>
      </c>
      <c r="G5" s="1255" t="s">
        <v>887</v>
      </c>
      <c r="H5" s="1255" t="s">
        <v>888</v>
      </c>
      <c r="I5" s="1255" t="s">
        <v>889</v>
      </c>
      <c r="J5" s="1255" t="s">
        <v>890</v>
      </c>
      <c r="K5" s="1255" t="s">
        <v>891</v>
      </c>
      <c r="L5" s="1255" t="s">
        <v>892</v>
      </c>
      <c r="M5" s="1255" t="s">
        <v>893</v>
      </c>
      <c r="N5" s="1255" t="s">
        <v>894</v>
      </c>
      <c r="O5" s="1255" t="s">
        <v>895</v>
      </c>
      <c r="P5" s="1255" t="s">
        <v>896</v>
      </c>
    </row>
    <row r="6" spans="2:22">
      <c r="B6" s="1256" t="s">
        <v>491</v>
      </c>
      <c r="C6" s="1257" t="s">
        <v>897</v>
      </c>
      <c r="D6" s="1257"/>
      <c r="E6" s="1257"/>
      <c r="F6" s="1257"/>
      <c r="G6" s="1257"/>
      <c r="H6" s="1257"/>
      <c r="I6" s="1258"/>
      <c r="J6" s="1258"/>
      <c r="K6" s="1258"/>
      <c r="L6" s="1258"/>
      <c r="M6" s="1258"/>
      <c r="N6" s="1258"/>
      <c r="O6" s="1258"/>
      <c r="P6" s="1259"/>
    </row>
    <row r="7" spans="2:22">
      <c r="B7" s="1260" t="s">
        <v>492</v>
      </c>
      <c r="C7" s="1261" t="s">
        <v>898</v>
      </c>
      <c r="D7" s="1262">
        <f>SUM('P&amp;L -Dec25'!DP10:DR12)</f>
        <v>184145879.90000004</v>
      </c>
      <c r="E7" s="1262">
        <v>180628076.09999999</v>
      </c>
      <c r="F7" s="1262">
        <v>188579765</v>
      </c>
      <c r="G7" s="1262">
        <v>192335363.09999999</v>
      </c>
      <c r="H7" s="1262">
        <v>207782432.00999999</v>
      </c>
      <c r="I7" s="1262">
        <v>203952702.36000001</v>
      </c>
      <c r="J7" s="1262">
        <v>181877052.94999999</v>
      </c>
      <c r="K7" s="1262">
        <v>161415350.50999999</v>
      </c>
      <c r="L7" s="1262">
        <v>137561566.07999998</v>
      </c>
      <c r="M7" s="1262">
        <v>113508066.44</v>
      </c>
      <c r="N7" s="1262">
        <v>95112058.909999996</v>
      </c>
      <c r="O7" s="1262">
        <v>81434821.969999999</v>
      </c>
      <c r="P7" s="1262">
        <v>72661909.49000001</v>
      </c>
    </row>
    <row r="8" spans="2:22">
      <c r="B8" s="1260" t="s">
        <v>496</v>
      </c>
      <c r="C8" s="1261" t="s">
        <v>793</v>
      </c>
      <c r="D8" s="1263">
        <f>SUM('P&amp;L -Dec25'!DP193:DR193)</f>
        <v>1875504.4299999969</v>
      </c>
      <c r="E8" s="1263">
        <v>667728.60000000987</v>
      </c>
      <c r="F8" s="1263">
        <v>1607086.6800000083</v>
      </c>
      <c r="G8" s="1263">
        <v>-6027694.8200000068</v>
      </c>
      <c r="H8" s="1263">
        <v>-2239794.3799999864</v>
      </c>
      <c r="I8" s="1263">
        <v>7230381.2999999989</v>
      </c>
      <c r="J8" s="1263">
        <v>3398808.1499999939</v>
      </c>
      <c r="K8" s="1263">
        <v>15765214.740000006</v>
      </c>
      <c r="L8" s="1263">
        <v>11078509.00999999</v>
      </c>
      <c r="M8" s="1263">
        <v>4787161.0400000028</v>
      </c>
      <c r="N8" s="1263">
        <v>7546615.8200000077</v>
      </c>
      <c r="O8" s="1263">
        <v>2877871.5600000038</v>
      </c>
      <c r="P8" s="1263">
        <v>670856.46999999601</v>
      </c>
      <c r="Q8" s="1264"/>
    </row>
    <row r="9" spans="2:22">
      <c r="B9" s="1256" t="s">
        <v>217</v>
      </c>
      <c r="C9" s="1257" t="s">
        <v>899</v>
      </c>
      <c r="D9" s="1257"/>
      <c r="E9" s="1257"/>
      <c r="F9" s="1257"/>
      <c r="G9" s="1257"/>
      <c r="H9" s="1257"/>
      <c r="I9" s="1258"/>
      <c r="J9" s="1258"/>
      <c r="K9" s="1258"/>
      <c r="L9" s="1258"/>
      <c r="M9" s="1258"/>
      <c r="N9" s="1258"/>
      <c r="O9" s="1258"/>
      <c r="P9" s="1259"/>
    </row>
    <row r="10" spans="2:22">
      <c r="B10" s="1260" t="s">
        <v>900</v>
      </c>
      <c r="C10" s="1261" t="s">
        <v>901</v>
      </c>
      <c r="D10" s="1262">
        <f>SUM('Advance Analysis - Dec25'!H129:H131)</f>
        <v>4732</v>
      </c>
      <c r="E10" s="1262">
        <v>4634</v>
      </c>
      <c r="F10" s="1262">
        <v>4637</v>
      </c>
      <c r="G10" s="1262">
        <v>4960</v>
      </c>
      <c r="H10" s="1262">
        <v>6041</v>
      </c>
      <c r="I10" s="1262">
        <v>5967</v>
      </c>
      <c r="J10" s="1262">
        <v>5847</v>
      </c>
      <c r="K10" s="1262">
        <v>5806</v>
      </c>
      <c r="L10" s="1262">
        <v>4903</v>
      </c>
      <c r="M10" s="1262">
        <v>4079</v>
      </c>
      <c r="N10" s="1262">
        <v>3319</v>
      </c>
      <c r="O10" s="1262">
        <v>2831</v>
      </c>
      <c r="P10" s="1262">
        <v>2451</v>
      </c>
    </row>
    <row r="11" spans="2:22">
      <c r="B11" s="1260" t="s">
        <v>631</v>
      </c>
      <c r="C11" s="1261" t="s">
        <v>902</v>
      </c>
      <c r="D11" s="1262">
        <f>SUM('Advance Analysis - Dec25'!C129:C131)</f>
        <v>779651871.81999993</v>
      </c>
      <c r="E11" s="1262">
        <v>718080447.99000001</v>
      </c>
      <c r="F11" s="1262">
        <v>682236875</v>
      </c>
      <c r="G11" s="1262">
        <v>694787927</v>
      </c>
      <c r="H11" s="1262">
        <v>877464420</v>
      </c>
      <c r="I11" s="1262">
        <v>909623793.71000016</v>
      </c>
      <c r="J11" s="1262">
        <v>891190309</v>
      </c>
      <c r="K11" s="1262">
        <v>965864749</v>
      </c>
      <c r="L11" s="1262">
        <v>874151968</v>
      </c>
      <c r="M11" s="1262">
        <v>716148089.79999983</v>
      </c>
      <c r="N11" s="1262">
        <v>565912078</v>
      </c>
      <c r="O11" s="1262">
        <v>520086841.67999995</v>
      </c>
      <c r="P11" s="1262">
        <v>408919831</v>
      </c>
    </row>
    <row r="12" spans="2:22">
      <c r="B12" s="1260" t="s">
        <v>633</v>
      </c>
      <c r="C12" s="1261" t="s">
        <v>903</v>
      </c>
      <c r="D12" s="1262">
        <f>D11/D10</f>
        <v>164761.59590448011</v>
      </c>
      <c r="E12" s="1262">
        <v>154959.09537980147</v>
      </c>
      <c r="F12" s="1262">
        <v>147128.93573431097</v>
      </c>
      <c r="G12" s="1262">
        <v>140078.21108870968</v>
      </c>
      <c r="H12" s="1262">
        <v>145251.51796060256</v>
      </c>
      <c r="I12" s="1262">
        <v>152442.39881179825</v>
      </c>
      <c r="J12" s="1262">
        <v>152418.38703608688</v>
      </c>
      <c r="K12" s="1262">
        <v>166356.31226317602</v>
      </c>
      <c r="L12" s="1262">
        <v>178289.20416071793</v>
      </c>
      <c r="M12" s="1262">
        <v>175569.52434420196</v>
      </c>
      <c r="N12" s="1262">
        <v>170506.80265140103</v>
      </c>
      <c r="O12" s="1262">
        <v>183711.35347227126</v>
      </c>
      <c r="P12" s="1262">
        <v>166837.95634434925</v>
      </c>
    </row>
    <row r="13" spans="2:22">
      <c r="B13" s="1260" t="s">
        <v>634</v>
      </c>
      <c r="C13" s="1261" t="s">
        <v>904</v>
      </c>
      <c r="D13" s="1262">
        <f>'Notes - Dec25'!C8</f>
        <v>1506856930.9400001</v>
      </c>
      <c r="E13" s="1262">
        <v>1529150074.27</v>
      </c>
      <c r="F13" s="1262">
        <v>1606891780.6199999</v>
      </c>
      <c r="G13" s="1262">
        <v>1697756549.2899997</v>
      </c>
      <c r="H13" s="1262">
        <v>1806577762</v>
      </c>
      <c r="I13" s="1262">
        <v>1825326392</v>
      </c>
      <c r="J13" s="1262">
        <v>1708209213.1299999</v>
      </c>
      <c r="K13" s="1262">
        <v>1588820986.8299999</v>
      </c>
      <c r="L13" s="1262">
        <v>1309912408.3199999</v>
      </c>
      <c r="M13" s="1262">
        <v>1086572614.9299998</v>
      </c>
      <c r="N13" s="1262">
        <v>905624265.37</v>
      </c>
      <c r="O13" s="1262">
        <v>767871089.58000004</v>
      </c>
      <c r="P13" s="1262">
        <v>640403029.61000001</v>
      </c>
    </row>
    <row r="14" spans="2:22">
      <c r="B14" s="1260" t="s">
        <v>635</v>
      </c>
      <c r="C14" s="1261" t="s">
        <v>905</v>
      </c>
      <c r="D14" s="1262"/>
      <c r="E14" s="1262"/>
      <c r="F14" s="1262"/>
      <c r="G14" s="1262"/>
      <c r="H14" s="1262"/>
      <c r="I14" s="1262"/>
      <c r="J14" s="1262"/>
      <c r="K14" s="1262"/>
      <c r="L14" s="1262"/>
      <c r="M14" s="1262"/>
      <c r="N14" s="1262"/>
      <c r="O14" s="1262"/>
      <c r="P14" s="1262"/>
    </row>
    <row r="15" spans="2:22">
      <c r="B15" s="1260" t="s">
        <v>906</v>
      </c>
      <c r="C15" s="1265" t="s">
        <v>907</v>
      </c>
      <c r="D15" s="1262">
        <f>'Notes - Dec25'!C5-'Notes - Dec25'!I5</f>
        <v>-80270699.550000012</v>
      </c>
      <c r="E15" s="1262">
        <v>-48307722</v>
      </c>
      <c r="F15" s="1262">
        <v>-114658875.00000003</v>
      </c>
      <c r="G15" s="1262">
        <v>-24489772.169999987</v>
      </c>
      <c r="H15" s="1262">
        <v>-19085599.830000013</v>
      </c>
      <c r="I15" s="1262">
        <v>-27153339.919999987</v>
      </c>
      <c r="J15" s="1262">
        <v>-23730180.330000013</v>
      </c>
      <c r="K15" s="1262">
        <v>-26910923.199999988</v>
      </c>
      <c r="L15" s="1262">
        <v>-16763888.569999993</v>
      </c>
      <c r="M15" s="1262">
        <v>-14493891</v>
      </c>
      <c r="N15" s="1262">
        <v>-9124086</v>
      </c>
      <c r="O15" s="1262">
        <v>-12700787.000000007</v>
      </c>
      <c r="P15" s="1262">
        <v>-6666991</v>
      </c>
    </row>
    <row r="16" spans="2:22">
      <c r="B16" s="1260" t="s">
        <v>908</v>
      </c>
      <c r="C16" s="1265" t="s">
        <v>924</v>
      </c>
      <c r="D16" s="1263">
        <v>-251569961</v>
      </c>
      <c r="E16" s="1263">
        <v>-171299261</v>
      </c>
      <c r="F16" s="1263">
        <v>-120682891</v>
      </c>
      <c r="G16" s="1263">
        <v>-6024016</v>
      </c>
      <c r="H16" s="1263">
        <v>-77417696.900000006</v>
      </c>
      <c r="I16" s="1263">
        <v>-58332096.68</v>
      </c>
      <c r="J16" s="1262">
        <v>-31178756.989999995</v>
      </c>
      <c r="K16" s="1262">
        <v>-7448576.6599999815</v>
      </c>
      <c r="L16" s="1262">
        <v>-42875696.57</v>
      </c>
      <c r="M16" s="1262">
        <v>-26111808.000000007</v>
      </c>
      <c r="N16" s="1262">
        <v>-11617917.000000007</v>
      </c>
      <c r="O16" s="1262">
        <v>-2493831.0000000075</v>
      </c>
      <c r="P16" s="1262">
        <v>-19102882.259999998</v>
      </c>
      <c r="R16" s="1266"/>
    </row>
    <row r="17" spans="2:22">
      <c r="B17" s="1260" t="s">
        <v>909</v>
      </c>
      <c r="C17" s="1265" t="s">
        <v>910</v>
      </c>
      <c r="D17" s="1262">
        <v>-476147519.72000003</v>
      </c>
      <c r="E17" s="1262">
        <v>-395876820.17000002</v>
      </c>
      <c r="F17" s="1262">
        <v>-345260450.17000002</v>
      </c>
      <c r="G17" s="1262">
        <v>-230601575.16999999</v>
      </c>
      <c r="H17" s="1262">
        <v>-206111803</v>
      </c>
      <c r="I17" s="1262">
        <v>-187026203.16999999</v>
      </c>
      <c r="J17" s="1262">
        <v>-159872863.25</v>
      </c>
      <c r="K17" s="1262">
        <v>-136142682.91999999</v>
      </c>
      <c r="L17" s="1262">
        <v>-109231759.72</v>
      </c>
      <c r="M17" s="1262">
        <v>-92467871.150000006</v>
      </c>
      <c r="N17" s="1262">
        <v>-77973980.150000006</v>
      </c>
      <c r="O17" s="1262">
        <v>-68849894.150000006</v>
      </c>
      <c r="P17" s="1262">
        <v>-56149107.149999999</v>
      </c>
      <c r="R17" s="1266"/>
    </row>
    <row r="18" spans="2:22">
      <c r="B18" s="1260" t="s">
        <v>636</v>
      </c>
      <c r="C18" s="1261" t="s">
        <v>911</v>
      </c>
      <c r="D18" s="1267">
        <f>AVERAGE('Advance Analysis - Dec25'!G129:G131)</f>
        <v>0.4093242323054942</v>
      </c>
      <c r="E18" s="1267">
        <v>0.39655377220711024</v>
      </c>
      <c r="F18" s="1267">
        <v>0.41968004432959488</v>
      </c>
      <c r="G18" s="1267">
        <v>0.39253481139563773</v>
      </c>
      <c r="H18" s="1267">
        <v>0.41204759535073981</v>
      </c>
      <c r="I18" s="1267">
        <v>0.42537490046782228</v>
      </c>
      <c r="J18" s="1267">
        <v>0.41325823903030329</v>
      </c>
      <c r="K18" s="1267">
        <v>0.42848331066236622</v>
      </c>
      <c r="L18" s="1267">
        <v>0.44249041886488261</v>
      </c>
      <c r="M18" s="1267">
        <v>0.44428701918057129</v>
      </c>
      <c r="N18" s="1267">
        <v>0.44507762292070296</v>
      </c>
      <c r="O18" s="1267">
        <v>0.45498686999887156</v>
      </c>
      <c r="P18" s="1267">
        <v>0.46200035339062384</v>
      </c>
      <c r="Q18" s="1268"/>
    </row>
    <row r="19" spans="2:22">
      <c r="B19" s="1260" t="s">
        <v>637</v>
      </c>
      <c r="C19" s="1261" t="s">
        <v>912</v>
      </c>
      <c r="D19" s="1269">
        <f>'Balance Sheet - Dec25'!C53</f>
        <v>7.8022146220051047E-2</v>
      </c>
      <c r="E19" s="1269">
        <v>8.0367316673647132E-2</v>
      </c>
      <c r="F19" s="1269">
        <v>8.6420848317556628E-2</v>
      </c>
      <c r="G19" s="1269">
        <v>0.11733450963953705</v>
      </c>
      <c r="H19" s="1269">
        <v>9.0130190334152843E-2</v>
      </c>
      <c r="I19" s="1269">
        <v>6.9128130864562085E-2</v>
      </c>
      <c r="J19" s="1269">
        <v>5.6762138596642038E-2</v>
      </c>
      <c r="K19" s="1269">
        <v>4.4721984669202498E-2</v>
      </c>
      <c r="L19" s="1269">
        <v>4.2817933777520495E-2</v>
      </c>
      <c r="M19" s="1269">
        <v>4.0916738047098028E-2</v>
      </c>
      <c r="N19" s="1269">
        <v>4.259159215701544E-2</v>
      </c>
      <c r="O19" s="1269">
        <v>4.4835965527824713E-2</v>
      </c>
      <c r="P19" s="1269">
        <v>5.0030707449489585E-2</v>
      </c>
      <c r="Q19" s="1268"/>
    </row>
    <row r="20" spans="2:22">
      <c r="B20" s="1260" t="s">
        <v>640</v>
      </c>
      <c r="C20" s="1261" t="s">
        <v>913</v>
      </c>
      <c r="D20" s="1269">
        <f>'Covenants - Dec25'!G47/'Covenants - Dec25'!G54</f>
        <v>5.3955519003746989E-2</v>
      </c>
      <c r="E20" s="1269">
        <v>5.3493268796893659E-2</v>
      </c>
      <c r="F20" s="1269">
        <v>5.115631083313156E-2</v>
      </c>
      <c r="G20" s="1269">
        <v>8.50424208803673E-2</v>
      </c>
      <c r="H20" s="1269">
        <v>6.119064049634932E-2</v>
      </c>
      <c r="I20" s="1269">
        <v>3.8681647268150675E-2</v>
      </c>
      <c r="J20" s="1269">
        <v>2.7314632739473477E-2</v>
      </c>
      <c r="K20" s="1269">
        <v>2.1083441611987868E-2</v>
      </c>
      <c r="L20" s="1269">
        <v>2.1114483091690475E-2</v>
      </c>
      <c r="M20" s="1269">
        <v>2.2365324344386022E-2</v>
      </c>
      <c r="N20" s="1269">
        <v>2.6563286211628331E-2</v>
      </c>
      <c r="O20" s="1269">
        <v>2.0694971626309733E-2</v>
      </c>
      <c r="P20" s="1269">
        <v>2.5214517521385031E-2</v>
      </c>
      <c r="Q20" s="1268"/>
    </row>
    <row r="21" spans="2:22">
      <c r="B21" s="1256" t="s">
        <v>219</v>
      </c>
      <c r="C21" s="1257" t="s">
        <v>914</v>
      </c>
      <c r="D21" s="1257"/>
      <c r="E21" s="1257"/>
      <c r="F21" s="1257"/>
      <c r="G21" s="1257"/>
      <c r="H21" s="1257"/>
      <c r="I21" s="1258"/>
      <c r="J21" s="1258"/>
      <c r="K21" s="1258"/>
      <c r="L21" s="1258"/>
      <c r="M21" s="1258"/>
      <c r="N21" s="1258"/>
      <c r="O21" s="1258"/>
      <c r="P21" s="1259"/>
    </row>
    <row r="22" spans="2:22">
      <c r="B22" s="1260" t="s">
        <v>638</v>
      </c>
      <c r="C22" s="1270" t="s">
        <v>915</v>
      </c>
      <c r="D22" s="1263">
        <f>SUM('Advance Analysis - Dec25'!I129:I131)</f>
        <v>1200</v>
      </c>
      <c r="E22" s="1263">
        <v>1050</v>
      </c>
      <c r="F22" s="1263">
        <v>984</v>
      </c>
      <c r="G22" s="1263">
        <v>1087</v>
      </c>
      <c r="H22" s="1263">
        <v>1598</v>
      </c>
      <c r="I22" s="1263">
        <v>1688</v>
      </c>
      <c r="J22" s="1263">
        <v>1624</v>
      </c>
      <c r="K22" s="1263">
        <v>1699</v>
      </c>
      <c r="L22" s="1263">
        <v>1699</v>
      </c>
      <c r="M22" s="1263">
        <v>1685</v>
      </c>
      <c r="N22" s="1263">
        <v>1289</v>
      </c>
      <c r="O22" s="1263">
        <v>1039</v>
      </c>
      <c r="P22" s="1263">
        <v>1052</v>
      </c>
    </row>
    <row r="23" spans="2:22">
      <c r="B23" s="1260" t="s">
        <v>916</v>
      </c>
      <c r="C23" s="1265" t="s">
        <v>917</v>
      </c>
      <c r="D23" s="1263">
        <f>'Advance Analysis - Dec25'!K131</f>
        <v>9920</v>
      </c>
      <c r="E23" s="1263">
        <v>10294</v>
      </c>
      <c r="F23" s="1263">
        <v>10597</v>
      </c>
      <c r="G23" s="1263">
        <v>12288</v>
      </c>
      <c r="H23" s="1263">
        <v>11182</v>
      </c>
      <c r="I23" s="1263">
        <v>10455</v>
      </c>
      <c r="J23" s="1263">
        <v>9558</v>
      </c>
      <c r="K23" s="1263">
        <v>9415</v>
      </c>
      <c r="L23" s="1263">
        <v>7737</v>
      </c>
      <c r="M23" s="1263">
        <v>7075</v>
      </c>
      <c r="N23" s="1263">
        <v>5934</v>
      </c>
      <c r="O23" s="1263">
        <v>5356</v>
      </c>
      <c r="P23" s="1263">
        <v>4730</v>
      </c>
    </row>
    <row r="24" spans="2:22">
      <c r="B24" s="1260" t="s">
        <v>639</v>
      </c>
      <c r="C24" s="1261" t="s">
        <v>918</v>
      </c>
      <c r="D24" s="1263">
        <f>'Advance Analysis - Dec25'!I132</f>
        <v>24921</v>
      </c>
      <c r="E24" s="1263">
        <v>23721</v>
      </c>
      <c r="F24" s="1263">
        <v>22671</v>
      </c>
      <c r="G24" s="1263">
        <v>21687</v>
      </c>
      <c r="H24" s="1263">
        <v>20600</v>
      </c>
      <c r="I24" s="1263">
        <v>19002</v>
      </c>
      <c r="J24" s="1263">
        <v>17314</v>
      </c>
      <c r="K24" s="1263">
        <v>15690</v>
      </c>
      <c r="L24" s="1263">
        <v>13991</v>
      </c>
      <c r="M24" s="1263">
        <v>12292</v>
      </c>
      <c r="N24" s="1263">
        <v>10607</v>
      </c>
      <c r="O24" s="1263">
        <v>9318</v>
      </c>
      <c r="P24" s="1263">
        <v>8279</v>
      </c>
    </row>
    <row r="25" spans="2:22">
      <c r="B25" s="1260" t="s">
        <v>642</v>
      </c>
      <c r="C25" s="1261" t="s">
        <v>919</v>
      </c>
      <c r="D25" s="1271">
        <v>242</v>
      </c>
      <c r="E25" s="1271">
        <v>244</v>
      </c>
      <c r="F25" s="1271">
        <v>241</v>
      </c>
      <c r="G25" s="1271">
        <v>236</v>
      </c>
      <c r="H25" s="1271">
        <v>235</v>
      </c>
      <c r="I25" s="1271">
        <v>224</v>
      </c>
      <c r="J25" s="1271">
        <v>202</v>
      </c>
      <c r="K25" s="1271">
        <v>177</v>
      </c>
      <c r="L25" s="1271">
        <v>168</v>
      </c>
      <c r="M25" s="1271">
        <v>151</v>
      </c>
      <c r="N25" s="1271">
        <v>129</v>
      </c>
      <c r="O25" s="1271">
        <v>119</v>
      </c>
      <c r="P25" s="1271">
        <v>118</v>
      </c>
    </row>
    <row r="26" spans="2:22">
      <c r="B26" s="1260" t="s">
        <v>643</v>
      </c>
      <c r="C26" s="1261" t="s">
        <v>920</v>
      </c>
      <c r="D26" s="1271">
        <v>116</v>
      </c>
      <c r="E26" s="1271">
        <v>118</v>
      </c>
      <c r="F26" s="1271">
        <v>110</v>
      </c>
      <c r="G26" s="1271">
        <v>112</v>
      </c>
      <c r="H26" s="1271">
        <v>111</v>
      </c>
      <c r="I26" s="1271">
        <v>107</v>
      </c>
      <c r="J26" s="1271">
        <v>102</v>
      </c>
      <c r="K26" s="1271">
        <v>88</v>
      </c>
      <c r="L26" s="1271">
        <v>80</v>
      </c>
      <c r="M26" s="1271">
        <v>75</v>
      </c>
      <c r="N26" s="1271">
        <v>63</v>
      </c>
      <c r="O26" s="1271">
        <v>58</v>
      </c>
      <c r="P26" s="1271">
        <v>59</v>
      </c>
    </row>
    <row r="27" spans="2:22">
      <c r="B27" s="1260" t="s">
        <v>921</v>
      </c>
      <c r="C27" s="1261" t="s">
        <v>922</v>
      </c>
      <c r="D27" s="1271">
        <v>1</v>
      </c>
      <c r="E27" s="1271">
        <v>1</v>
      </c>
      <c r="F27" s="1271">
        <v>1</v>
      </c>
      <c r="G27" s="1271">
        <v>1</v>
      </c>
      <c r="H27" s="1271">
        <v>1</v>
      </c>
      <c r="I27" s="1271">
        <v>1</v>
      </c>
      <c r="J27" s="1271">
        <v>1</v>
      </c>
      <c r="K27" s="1271">
        <v>1</v>
      </c>
      <c r="L27" s="1271">
        <v>1</v>
      </c>
      <c r="M27" s="1271">
        <v>1</v>
      </c>
      <c r="N27" s="1271">
        <v>1</v>
      </c>
      <c r="O27" s="1271">
        <v>1</v>
      </c>
      <c r="P27" s="1271">
        <v>1</v>
      </c>
    </row>
    <row r="29" spans="2:22">
      <c r="M29" s="1272"/>
      <c r="N29" s="1272"/>
      <c r="O29" s="1272"/>
      <c r="P29" s="1272"/>
      <c r="R29" s="1273"/>
      <c r="T29" s="1273"/>
      <c r="V29" s="1274"/>
    </row>
    <row r="30" spans="2:22">
      <c r="M30" s="1272"/>
      <c r="N30" s="1272"/>
      <c r="O30" s="1272"/>
      <c r="P30" s="1272"/>
      <c r="R30" s="1273"/>
      <c r="T30" s="1273"/>
      <c r="V30" s="1274"/>
    </row>
    <row r="31" spans="2:22">
      <c r="M31" s="1272"/>
      <c r="N31" s="1272"/>
      <c r="O31" s="1272"/>
      <c r="P31" s="1272"/>
      <c r="R31" s="1273"/>
      <c r="T31" s="1273"/>
      <c r="V31" s="1274"/>
    </row>
    <row r="32" spans="2:22">
      <c r="M32" s="1272"/>
      <c r="N32" s="1272"/>
      <c r="O32" s="1272"/>
      <c r="P32" s="1272"/>
      <c r="R32" s="1273"/>
      <c r="T32" s="1273"/>
      <c r="V32" s="1274"/>
    </row>
    <row r="33" spans="13:22">
      <c r="M33" s="1272"/>
      <c r="N33" s="1272"/>
      <c r="O33" s="1272"/>
      <c r="P33" s="1272"/>
      <c r="R33" s="1273"/>
      <c r="T33" s="1273"/>
      <c r="V33" s="1274"/>
    </row>
    <row r="34" spans="13:22">
      <c r="M34" s="1272"/>
      <c r="N34" s="1272"/>
      <c r="O34" s="1272"/>
      <c r="P34" s="1272"/>
      <c r="R34" s="1273"/>
      <c r="T34" s="1273"/>
      <c r="V34" s="1274"/>
    </row>
    <row r="35" spans="13:22">
      <c r="M35" s="1272"/>
      <c r="N35" s="1272"/>
      <c r="O35" s="1272"/>
      <c r="P35" s="1272"/>
      <c r="R35" s="1273"/>
      <c r="T35" s="1273"/>
      <c r="V35" s="1274"/>
    </row>
    <row r="36" spans="13:22">
      <c r="M36" s="1272"/>
      <c r="N36" s="1272"/>
      <c r="O36" s="1272"/>
      <c r="P36" s="1272"/>
      <c r="R36" s="1273"/>
      <c r="T36" s="1273"/>
      <c r="V36" s="1274"/>
    </row>
    <row r="37" spans="13:22">
      <c r="M37" s="1272"/>
      <c r="N37" s="1272"/>
      <c r="O37" s="1272"/>
      <c r="P37" s="1272"/>
      <c r="R37" s="1273"/>
      <c r="T37" s="1273"/>
      <c r="V37" s="1274"/>
    </row>
    <row r="38" spans="13:22">
      <c r="M38" s="1272"/>
      <c r="N38" s="1272"/>
      <c r="O38" s="1272"/>
      <c r="P38" s="1272"/>
      <c r="R38" s="1273"/>
      <c r="T38" s="1273"/>
      <c r="V38" s="1274"/>
    </row>
    <row r="39" spans="13:22">
      <c r="M39" s="1272"/>
      <c r="N39" s="1272"/>
      <c r="O39" s="1272"/>
      <c r="P39" s="1272"/>
      <c r="R39" s="1273"/>
      <c r="T39" s="1273"/>
      <c r="V39" s="127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DW212"/>
  <sheetViews>
    <sheetView showGridLines="0" zoomScale="70" zoomScaleNormal="70" workbookViewId="0">
      <pane xSplit="1" ySplit="5" topLeftCell="DH161" activePane="bottomRight" state="frozen"/>
      <selection activeCell="G22" sqref="G22"/>
      <selection pane="topRight" activeCell="G22" sqref="G22"/>
      <selection pane="bottomLeft" activeCell="G22" sqref="G22"/>
      <selection pane="bottomRight" activeCell="DR193" sqref="DP193:DR193"/>
    </sheetView>
  </sheetViews>
  <sheetFormatPr defaultColWidth="14.44140625" defaultRowHeight="15" customHeight="1" outlineLevelRow="2" outlineLevelCol="2"/>
  <cols>
    <col min="1" max="1" width="50.5546875" customWidth="1"/>
    <col min="2" max="6" width="13.5546875" hidden="1" customWidth="1"/>
    <col min="7" max="19" width="13.5546875" hidden="1" customWidth="1" outlineLevel="2"/>
    <col min="20" max="20" width="12.44140625" hidden="1" customWidth="1" outlineLevel="1" collapsed="1"/>
    <col min="21" max="31" width="12.44140625" hidden="1" customWidth="1" outlineLevel="1"/>
    <col min="32" max="32" width="14" customWidth="1" collapsed="1"/>
    <col min="33" max="35" width="12.44140625" hidden="1" customWidth="1" outlineLevel="1"/>
    <col min="36" max="36" width="12.5546875" hidden="1" customWidth="1" outlineLevel="1"/>
    <col min="37" max="43" width="13.5546875" hidden="1" customWidth="1" outlineLevel="1"/>
    <col min="44" max="44" width="15.44140625" hidden="1" customWidth="1" outlineLevel="1"/>
    <col min="45" max="46" width="14.5546875" hidden="1" customWidth="1" outlineLevel="1"/>
    <col min="47" max="47" width="15.44140625" customWidth="1" collapsed="1"/>
    <col min="48" max="59" width="13.44140625" hidden="1" customWidth="1" outlineLevel="1"/>
    <col min="60" max="60" width="15.44140625" customWidth="1" collapsed="1"/>
    <col min="61" max="62" width="13.44140625" hidden="1" customWidth="1" outlineLevel="1"/>
    <col min="63" max="70" width="14.44140625" hidden="1" customWidth="1" outlineLevel="1"/>
    <col min="71" max="72" width="15" hidden="1" customWidth="1" outlineLevel="1"/>
    <col min="73" max="73" width="15" customWidth="1" collapsed="1"/>
    <col min="74" max="77" width="15" hidden="1" customWidth="1" outlineLevel="1"/>
    <col min="78" max="85" width="16.109375" hidden="1" customWidth="1" outlineLevel="1"/>
    <col min="86" max="86" width="15" customWidth="1" collapsed="1"/>
    <col min="87" max="98" width="16.109375" hidden="1" customWidth="1" outlineLevel="1"/>
    <col min="99" max="99" width="15.5546875" customWidth="1" collapsed="1"/>
    <col min="100" max="111" width="16.109375" hidden="1" customWidth="1" outlineLevel="1"/>
    <col min="112" max="112" width="15.5546875" customWidth="1" collapsed="1"/>
    <col min="113" max="122" width="16.109375" customWidth="1"/>
    <col min="123" max="124" width="16.109375" hidden="1" customWidth="1" outlineLevel="1"/>
    <col min="125" max="125" width="15.5546875" customWidth="1" collapsed="1"/>
  </cols>
  <sheetData>
    <row r="1" spans="1:125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 t="s">
        <v>0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2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1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94"/>
      <c r="BU1" s="394"/>
      <c r="BV1" s="394"/>
      <c r="BW1" s="2"/>
      <c r="BX1" s="2"/>
      <c r="BY1" s="394"/>
      <c r="BZ1" s="394"/>
      <c r="CA1" s="394"/>
      <c r="CB1" s="394"/>
      <c r="CC1" s="394"/>
      <c r="CD1" s="394"/>
      <c r="CE1" s="394"/>
      <c r="CF1" s="394"/>
      <c r="CG1" s="394"/>
      <c r="CH1" s="394"/>
      <c r="CI1" s="394"/>
      <c r="CJ1" s="394"/>
      <c r="CK1" s="394"/>
      <c r="CL1" s="394"/>
      <c r="CM1" s="394"/>
      <c r="CN1" s="394"/>
      <c r="CO1" s="394"/>
      <c r="CP1" s="394"/>
      <c r="CQ1" s="394"/>
      <c r="CR1" s="394"/>
      <c r="CS1" s="394"/>
      <c r="CT1" s="394"/>
      <c r="CU1" s="2"/>
      <c r="CV1" s="394"/>
      <c r="CW1" s="394"/>
      <c r="CX1" s="394"/>
      <c r="CY1" s="394"/>
      <c r="CZ1" s="394"/>
      <c r="DA1" s="394"/>
      <c r="DB1" s="963"/>
      <c r="DC1" s="963"/>
      <c r="DD1" s="394"/>
      <c r="DE1" s="394"/>
      <c r="DF1" s="394"/>
      <c r="DG1" s="394"/>
      <c r="DH1" s="2"/>
      <c r="DI1" s="394"/>
      <c r="DJ1" s="394"/>
      <c r="DK1" s="394"/>
      <c r="DL1" s="394"/>
      <c r="DM1" s="394"/>
      <c r="DN1" s="394"/>
      <c r="DO1" s="394"/>
      <c r="DP1" s="394"/>
      <c r="DQ1" s="394"/>
      <c r="DR1" s="394"/>
      <c r="DS1" s="394"/>
      <c r="DT1" s="394"/>
      <c r="DU1" s="2"/>
    </row>
    <row r="2" spans="1:125" ht="12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 t="s">
        <v>1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"/>
      <c r="AG2" s="2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1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94"/>
      <c r="BU2" s="394"/>
      <c r="BV2" s="394"/>
      <c r="BW2" s="2"/>
      <c r="BX2" s="2"/>
      <c r="BY2" s="394"/>
      <c r="BZ2" s="394"/>
      <c r="CA2" s="394"/>
      <c r="CB2" s="394"/>
      <c r="CC2" s="394"/>
      <c r="CD2" s="394"/>
      <c r="CE2" s="394"/>
      <c r="CF2" s="394"/>
      <c r="CG2" s="394"/>
      <c r="CH2" s="394"/>
      <c r="CI2" s="394"/>
      <c r="CJ2" s="394"/>
      <c r="CK2" s="394"/>
      <c r="CL2" s="394"/>
      <c r="CM2" s="394"/>
      <c r="CN2" s="394"/>
      <c r="CO2" s="394"/>
      <c r="CP2" s="394"/>
      <c r="CQ2" s="394"/>
      <c r="CR2" s="394"/>
      <c r="CS2" s="394"/>
      <c r="CT2" s="394"/>
      <c r="CU2" s="2"/>
      <c r="CV2" s="394"/>
      <c r="CW2" s="394"/>
      <c r="CX2" s="394"/>
      <c r="CY2" s="394"/>
      <c r="CZ2" s="394"/>
      <c r="DA2" s="394"/>
      <c r="DB2" s="963"/>
      <c r="DC2" s="963"/>
      <c r="DD2" s="963"/>
      <c r="DE2" s="963"/>
      <c r="DF2" s="963"/>
      <c r="DG2" s="963"/>
      <c r="DH2" s="974"/>
      <c r="DI2" s="963"/>
      <c r="DJ2" s="963"/>
      <c r="DK2" s="963"/>
      <c r="DL2" s="963"/>
      <c r="DM2" s="963"/>
      <c r="DN2" s="963"/>
      <c r="DO2" s="963"/>
      <c r="DP2" s="963"/>
      <c r="DQ2" s="963"/>
      <c r="DR2" s="963"/>
      <c r="DS2" s="963"/>
      <c r="DT2" s="963"/>
      <c r="DU2" s="974"/>
    </row>
    <row r="3" spans="1:125" ht="14.25" customHeight="1">
      <c r="A3" s="1" t="s">
        <v>878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2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2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1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394"/>
      <c r="BU3" s="394"/>
      <c r="BV3" s="394"/>
      <c r="BW3" s="2"/>
      <c r="BX3" s="2"/>
      <c r="BY3" s="394"/>
      <c r="BZ3" s="394"/>
      <c r="CA3" s="394"/>
      <c r="CB3" s="394"/>
      <c r="CC3" s="394"/>
      <c r="CD3" s="394"/>
      <c r="CE3" s="394"/>
      <c r="CF3" s="394"/>
      <c r="CG3" s="394"/>
      <c r="CH3" s="394"/>
      <c r="CI3" s="394"/>
      <c r="CJ3" s="394"/>
      <c r="CK3" s="394"/>
      <c r="CL3" s="394"/>
      <c r="CM3" s="394"/>
      <c r="CN3" s="394"/>
      <c r="CO3" s="394"/>
      <c r="CP3" s="394"/>
      <c r="CQ3" s="394"/>
      <c r="CR3" s="394"/>
      <c r="CS3" s="394"/>
      <c r="CT3" s="394"/>
      <c r="CU3" s="2"/>
      <c r="CV3" s="394"/>
      <c r="CW3" s="394"/>
      <c r="CX3" s="394"/>
      <c r="CY3" s="394"/>
      <c r="CZ3" s="394"/>
      <c r="DA3" s="394"/>
      <c r="DB3" s="963"/>
      <c r="DC3" s="963"/>
      <c r="DD3" s="394"/>
      <c r="DE3" s="394"/>
      <c r="DF3" s="394"/>
      <c r="DG3" s="394"/>
      <c r="DH3" s="2"/>
      <c r="DI3" s="394"/>
      <c r="DJ3" s="394"/>
      <c r="DK3" s="394"/>
      <c r="DL3" s="394"/>
      <c r="DM3" s="394"/>
      <c r="DN3" s="394"/>
      <c r="DO3" s="394"/>
      <c r="DP3" s="394"/>
      <c r="DQ3" s="394"/>
      <c r="DR3" s="394"/>
      <c r="DS3" s="394"/>
      <c r="DT3" s="394"/>
      <c r="DU3" s="2"/>
    </row>
    <row r="4" spans="1:125" ht="14.25" customHeight="1" thickBot="1">
      <c r="A4" s="3"/>
      <c r="B4" s="3"/>
      <c r="C4" s="3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4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4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4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394"/>
      <c r="BU4" s="394"/>
      <c r="BV4" s="394"/>
      <c r="BW4" s="2"/>
      <c r="BX4" s="2"/>
      <c r="BY4" s="394"/>
      <c r="BZ4" s="394"/>
      <c r="CA4" s="394"/>
      <c r="CB4" s="394"/>
      <c r="CC4" s="394"/>
      <c r="CD4" s="394"/>
      <c r="CE4" s="394"/>
      <c r="CF4" s="394"/>
      <c r="CG4" s="394"/>
      <c r="CH4" s="394"/>
      <c r="CI4" s="394"/>
      <c r="CJ4" s="394"/>
      <c r="CK4" s="394"/>
      <c r="CL4" s="394"/>
      <c r="CM4" s="394"/>
      <c r="CN4" s="394"/>
      <c r="CO4" s="394"/>
      <c r="CP4" s="394"/>
      <c r="CQ4" s="394"/>
      <c r="CR4" s="394"/>
      <c r="CS4" s="394"/>
      <c r="CT4" s="394"/>
      <c r="CU4" s="2"/>
      <c r="CV4" s="394"/>
      <c r="CW4" s="394"/>
      <c r="CX4" s="394"/>
      <c r="CY4" s="394"/>
      <c r="CZ4" s="394"/>
      <c r="DA4" s="394"/>
      <c r="DB4" s="963"/>
      <c r="DC4" s="963"/>
      <c r="DD4" s="394"/>
      <c r="DE4" s="394"/>
      <c r="DF4" s="394"/>
      <c r="DG4" s="394"/>
      <c r="DH4" s="2"/>
      <c r="DI4" s="394"/>
      <c r="DJ4" s="394"/>
      <c r="DK4" s="394"/>
      <c r="DL4" s="394"/>
      <c r="DM4" s="394"/>
      <c r="DN4" s="394"/>
      <c r="DO4" s="394"/>
      <c r="DP4" s="394"/>
      <c r="DQ4" s="394"/>
      <c r="DR4" s="394"/>
      <c r="DS4" s="394"/>
      <c r="DT4" s="394"/>
      <c r="DU4" s="2"/>
    </row>
    <row r="5" spans="1:125" ht="12.75" customHeight="1" thickBot="1">
      <c r="A5" s="5"/>
      <c r="B5" s="6" t="s">
        <v>3</v>
      </c>
      <c r="C5" s="7" t="s">
        <v>4</v>
      </c>
      <c r="D5" s="7" t="s">
        <v>5</v>
      </c>
      <c r="E5" s="7" t="s">
        <v>6</v>
      </c>
      <c r="F5" s="6" t="s">
        <v>7</v>
      </c>
      <c r="G5" s="7" t="s">
        <v>8</v>
      </c>
      <c r="H5" s="7" t="s">
        <v>9</v>
      </c>
      <c r="I5" s="7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8" t="s">
        <v>16</v>
      </c>
      <c r="P5" s="8" t="s">
        <v>17</v>
      </c>
      <c r="Q5" s="8" t="s">
        <v>18</v>
      </c>
      <c r="R5" s="8" t="s">
        <v>19</v>
      </c>
      <c r="S5" s="6" t="s">
        <v>20</v>
      </c>
      <c r="T5" s="9" t="s">
        <v>21</v>
      </c>
      <c r="U5" s="8" t="s">
        <v>22</v>
      </c>
      <c r="V5" s="8" t="s">
        <v>23</v>
      </c>
      <c r="W5" s="8" t="s">
        <v>24</v>
      </c>
      <c r="X5" s="8" t="s">
        <v>25</v>
      </c>
      <c r="Y5" s="8" t="s">
        <v>26</v>
      </c>
      <c r="Z5" s="8" t="s">
        <v>27</v>
      </c>
      <c r="AA5" s="8" t="s">
        <v>28</v>
      </c>
      <c r="AB5" s="8" t="s">
        <v>29</v>
      </c>
      <c r="AC5" s="8" t="s">
        <v>30</v>
      </c>
      <c r="AD5" s="8" t="s">
        <v>31</v>
      </c>
      <c r="AE5" s="8" t="s">
        <v>32</v>
      </c>
      <c r="AF5" s="6" t="s">
        <v>33</v>
      </c>
      <c r="AG5" s="8" t="s">
        <v>34</v>
      </c>
      <c r="AH5" s="8" t="s">
        <v>35</v>
      </c>
      <c r="AI5" s="8" t="s">
        <v>36</v>
      </c>
      <c r="AJ5" s="8" t="s">
        <v>37</v>
      </c>
      <c r="AK5" s="8" t="s">
        <v>38</v>
      </c>
      <c r="AL5" s="8" t="s">
        <v>39</v>
      </c>
      <c r="AM5" s="8" t="s">
        <v>40</v>
      </c>
      <c r="AN5" s="8" t="s">
        <v>41</v>
      </c>
      <c r="AO5" s="8" t="s">
        <v>42</v>
      </c>
      <c r="AP5" s="8" t="s">
        <v>43</v>
      </c>
      <c r="AQ5" s="8" t="s">
        <v>44</v>
      </c>
      <c r="AR5" s="8" t="s">
        <v>45</v>
      </c>
      <c r="AS5" s="6" t="s">
        <v>46</v>
      </c>
      <c r="AT5" s="6" t="s">
        <v>47</v>
      </c>
      <c r="AU5" s="6" t="s">
        <v>46</v>
      </c>
      <c r="AV5" s="549" t="s">
        <v>48</v>
      </c>
      <c r="AW5" s="550" t="s">
        <v>49</v>
      </c>
      <c r="AX5" s="550" t="s">
        <v>50</v>
      </c>
      <c r="AY5" s="550" t="s">
        <v>51</v>
      </c>
      <c r="AZ5" s="550" t="s">
        <v>52</v>
      </c>
      <c r="BA5" s="550" t="s">
        <v>53</v>
      </c>
      <c r="BB5" s="550" t="s">
        <v>54</v>
      </c>
      <c r="BC5" s="550" t="s">
        <v>55</v>
      </c>
      <c r="BD5" s="550" t="s">
        <v>56</v>
      </c>
      <c r="BE5" s="550" t="s">
        <v>57</v>
      </c>
      <c r="BF5" s="550" t="s">
        <v>58</v>
      </c>
      <c r="BG5" s="550" t="s">
        <v>59</v>
      </c>
      <c r="BH5" s="6" t="s">
        <v>60</v>
      </c>
      <c r="BI5" s="10" t="s">
        <v>61</v>
      </c>
      <c r="BJ5" s="10" t="s">
        <v>62</v>
      </c>
      <c r="BK5" s="10" t="s">
        <v>63</v>
      </c>
      <c r="BL5" s="10" t="s">
        <v>64</v>
      </c>
      <c r="BM5" s="10" t="s">
        <v>65</v>
      </c>
      <c r="BN5" s="10" t="s">
        <v>66</v>
      </c>
      <c r="BO5" s="10" t="s">
        <v>67</v>
      </c>
      <c r="BP5" s="10" t="s">
        <v>68</v>
      </c>
      <c r="BQ5" s="10" t="s">
        <v>477</v>
      </c>
      <c r="BR5" s="10" t="s">
        <v>69</v>
      </c>
      <c r="BS5" s="10" t="s">
        <v>70</v>
      </c>
      <c r="BT5" s="10" t="s">
        <v>478</v>
      </c>
      <c r="BU5" s="6" t="s">
        <v>581</v>
      </c>
      <c r="BV5" s="598" t="s">
        <v>572</v>
      </c>
      <c r="BW5" s="598" t="s">
        <v>580</v>
      </c>
      <c r="BX5" s="598" t="s">
        <v>584</v>
      </c>
      <c r="BY5" s="10" t="s">
        <v>586</v>
      </c>
      <c r="BZ5" s="10" t="s">
        <v>587</v>
      </c>
      <c r="CA5" s="10" t="s">
        <v>590</v>
      </c>
      <c r="CB5" s="10" t="s">
        <v>594</v>
      </c>
      <c r="CC5" s="10" t="s">
        <v>595</v>
      </c>
      <c r="CD5" s="10" t="s">
        <v>598</v>
      </c>
      <c r="CE5" s="10" t="s">
        <v>602</v>
      </c>
      <c r="CF5" s="10" t="s">
        <v>607</v>
      </c>
      <c r="CG5" s="10" t="s">
        <v>645</v>
      </c>
      <c r="CH5" s="6" t="s">
        <v>658</v>
      </c>
      <c r="CI5" s="10" t="s">
        <v>646</v>
      </c>
      <c r="CJ5" s="10" t="s">
        <v>647</v>
      </c>
      <c r="CK5" s="10" t="s">
        <v>648</v>
      </c>
      <c r="CL5" s="10" t="s">
        <v>649</v>
      </c>
      <c r="CM5" s="10" t="s">
        <v>650</v>
      </c>
      <c r="CN5" s="10" t="s">
        <v>651</v>
      </c>
      <c r="CO5" s="10" t="s">
        <v>652</v>
      </c>
      <c r="CP5" s="10" t="s">
        <v>653</v>
      </c>
      <c r="CQ5" s="10" t="s">
        <v>654</v>
      </c>
      <c r="CR5" s="10" t="s">
        <v>696</v>
      </c>
      <c r="CS5" s="10" t="s">
        <v>703</v>
      </c>
      <c r="CT5" s="10" t="s">
        <v>704</v>
      </c>
      <c r="CU5" s="6" t="s">
        <v>707</v>
      </c>
      <c r="CV5" s="10" t="s">
        <v>708</v>
      </c>
      <c r="CW5" s="10" t="s">
        <v>750</v>
      </c>
      <c r="CX5" s="10" t="s">
        <v>753</v>
      </c>
      <c r="CY5" s="10" t="s">
        <v>769</v>
      </c>
      <c r="CZ5" s="10" t="s">
        <v>794</v>
      </c>
      <c r="DA5" s="10" t="s">
        <v>801</v>
      </c>
      <c r="DB5" s="964" t="s">
        <v>803</v>
      </c>
      <c r="DC5" s="964" t="s">
        <v>805</v>
      </c>
      <c r="DD5" s="964" t="s">
        <v>810</v>
      </c>
      <c r="DE5" s="1009" t="s">
        <v>813</v>
      </c>
      <c r="DF5" s="1009" t="s">
        <v>817</v>
      </c>
      <c r="DG5" s="1009" t="s">
        <v>818</v>
      </c>
      <c r="DH5" s="6" t="s">
        <v>716</v>
      </c>
      <c r="DI5" s="10" t="s">
        <v>825</v>
      </c>
      <c r="DJ5" s="10" t="s">
        <v>826</v>
      </c>
      <c r="DK5" s="10" t="s">
        <v>827</v>
      </c>
      <c r="DL5" s="10" t="s">
        <v>828</v>
      </c>
      <c r="DM5" s="10" t="s">
        <v>829</v>
      </c>
      <c r="DN5" s="10" t="s">
        <v>830</v>
      </c>
      <c r="DO5" s="964" t="s">
        <v>831</v>
      </c>
      <c r="DP5" s="964" t="s">
        <v>832</v>
      </c>
      <c r="DQ5" s="964" t="s">
        <v>833</v>
      </c>
      <c r="DR5" s="1009" t="s">
        <v>834</v>
      </c>
      <c r="DS5" s="1009" t="s">
        <v>835</v>
      </c>
      <c r="DT5" s="1009" t="s">
        <v>836</v>
      </c>
      <c r="DU5" s="6" t="s">
        <v>837</v>
      </c>
    </row>
    <row r="6" spans="1:125" ht="12.75" customHeight="1">
      <c r="A6" s="2"/>
      <c r="B6" s="11"/>
      <c r="C6" s="2"/>
      <c r="D6" s="2"/>
      <c r="E6" s="2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1"/>
      <c r="T6" s="4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37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11"/>
      <c r="AT6" s="11"/>
      <c r="AU6" s="937"/>
      <c r="AV6" s="2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937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395"/>
      <c r="BU6" s="937"/>
      <c r="BV6" s="395"/>
      <c r="BW6" s="11"/>
      <c r="BX6" s="11"/>
      <c r="BY6" s="395"/>
      <c r="BZ6" s="395"/>
      <c r="CA6" s="395"/>
      <c r="CB6" s="395"/>
      <c r="CC6" s="395"/>
      <c r="CD6" s="395"/>
      <c r="CE6" s="395"/>
      <c r="CF6" s="395"/>
      <c r="CG6" s="395"/>
      <c r="CH6" s="937"/>
      <c r="CI6" s="395"/>
      <c r="CJ6" s="395"/>
      <c r="CK6" s="395"/>
      <c r="CL6" s="395"/>
      <c r="CM6" s="395"/>
      <c r="CN6" s="395"/>
      <c r="CO6" s="395"/>
      <c r="CP6" s="395"/>
      <c r="CQ6" s="395"/>
      <c r="CR6" s="395"/>
      <c r="CS6" s="395"/>
      <c r="CT6" s="395"/>
      <c r="CU6" s="937"/>
      <c r="CV6" s="937"/>
      <c r="CW6" s="937"/>
      <c r="CX6" s="928"/>
      <c r="CY6" s="928"/>
      <c r="CZ6" s="928"/>
      <c r="DA6" s="928"/>
      <c r="DB6" s="965"/>
      <c r="DC6" s="965"/>
      <c r="DD6" s="928"/>
      <c r="DE6" s="928"/>
      <c r="DF6" s="928"/>
      <c r="DG6" s="928"/>
      <c r="DH6" s="937"/>
      <c r="DI6" s="928"/>
      <c r="DJ6" s="928"/>
      <c r="DK6" s="928"/>
      <c r="DL6" s="928"/>
      <c r="DM6" s="928"/>
      <c r="DN6" s="928"/>
      <c r="DO6" s="928"/>
      <c r="DP6" s="928"/>
      <c r="DQ6" s="928"/>
      <c r="DR6" s="928"/>
      <c r="DS6" s="928"/>
      <c r="DT6" s="928"/>
      <c r="DU6" s="937"/>
    </row>
    <row r="7" spans="1:125" ht="12.75" customHeight="1">
      <c r="A7" s="540" t="s">
        <v>71</v>
      </c>
      <c r="B7" s="541"/>
      <c r="C7" s="542"/>
      <c r="D7" s="542"/>
      <c r="E7" s="542"/>
      <c r="F7" s="541"/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1"/>
      <c r="T7" s="543"/>
      <c r="U7" s="542"/>
      <c r="V7" s="542"/>
      <c r="W7" s="542"/>
      <c r="X7" s="542"/>
      <c r="Y7" s="542"/>
      <c r="Z7" s="542"/>
      <c r="AA7" s="542"/>
      <c r="AB7" s="542"/>
      <c r="AC7" s="542"/>
      <c r="AD7" s="542"/>
      <c r="AE7" s="542"/>
      <c r="AF7" s="541"/>
      <c r="AG7" s="542"/>
      <c r="AH7" s="542"/>
      <c r="AI7" s="542"/>
      <c r="AJ7" s="542"/>
      <c r="AK7" s="542"/>
      <c r="AL7" s="542"/>
      <c r="AM7" s="542"/>
      <c r="AN7" s="542"/>
      <c r="AO7" s="542"/>
      <c r="AP7" s="542"/>
      <c r="AQ7" s="542"/>
      <c r="AR7" s="542"/>
      <c r="AS7" s="541"/>
      <c r="AT7" s="541"/>
      <c r="AU7" s="541"/>
      <c r="AV7" s="542"/>
      <c r="AW7" s="541"/>
      <c r="AX7" s="541"/>
      <c r="AY7" s="541"/>
      <c r="AZ7" s="541"/>
      <c r="BA7" s="541"/>
      <c r="BB7" s="541"/>
      <c r="BC7" s="541"/>
      <c r="BD7" s="541"/>
      <c r="BE7" s="541"/>
      <c r="BF7" s="541"/>
      <c r="BG7" s="541"/>
      <c r="BH7" s="541"/>
      <c r="BI7" s="541"/>
      <c r="BJ7" s="541"/>
      <c r="BK7" s="541"/>
      <c r="BL7" s="541"/>
      <c r="BM7" s="541"/>
      <c r="BN7" s="541"/>
      <c r="BO7" s="541"/>
      <c r="BP7" s="541"/>
      <c r="BQ7" s="541"/>
      <c r="BR7" s="541"/>
      <c r="BS7" s="541"/>
      <c r="BT7" s="541"/>
      <c r="BU7" s="541"/>
      <c r="BV7" s="541"/>
      <c r="BW7" s="541"/>
      <c r="BX7" s="541"/>
      <c r="BY7" s="541"/>
      <c r="BZ7" s="541"/>
      <c r="CA7" s="541"/>
      <c r="CB7" s="541"/>
      <c r="CC7" s="541"/>
      <c r="CD7" s="541"/>
      <c r="CE7" s="541"/>
      <c r="CF7" s="541"/>
      <c r="CG7" s="541"/>
      <c r="CH7" s="541"/>
      <c r="CI7" s="541"/>
      <c r="CJ7" s="541"/>
      <c r="CK7" s="541"/>
      <c r="CL7" s="541"/>
      <c r="CM7" s="541"/>
      <c r="CN7" s="541"/>
      <c r="CO7" s="541"/>
      <c r="CP7" s="541"/>
      <c r="CQ7" s="541"/>
      <c r="CR7" s="541"/>
      <c r="CS7" s="541"/>
      <c r="CT7" s="541"/>
      <c r="CU7" s="541"/>
      <c r="CV7" s="541"/>
      <c r="CW7" s="541"/>
      <c r="CX7" s="929"/>
      <c r="CY7" s="929"/>
      <c r="CZ7" s="929"/>
      <c r="DA7" s="929"/>
      <c r="DB7" s="966"/>
      <c r="DC7" s="966"/>
      <c r="DD7" s="929"/>
      <c r="DE7" s="929"/>
      <c r="DF7" s="929"/>
      <c r="DG7" s="929"/>
      <c r="DH7" s="541"/>
      <c r="DI7" s="929"/>
      <c r="DJ7" s="929"/>
      <c r="DK7" s="929"/>
      <c r="DL7" s="929"/>
      <c r="DM7" s="929"/>
      <c r="DN7" s="929"/>
      <c r="DO7" s="929"/>
      <c r="DP7" s="929"/>
      <c r="DQ7" s="929"/>
      <c r="DR7" s="929"/>
      <c r="DS7" s="929"/>
      <c r="DT7" s="929"/>
      <c r="DU7" s="541"/>
    </row>
    <row r="8" spans="1:125" ht="12.75" customHeight="1">
      <c r="A8" s="402"/>
      <c r="B8" s="395"/>
      <c r="C8" s="394"/>
      <c r="D8" s="394"/>
      <c r="E8" s="394"/>
      <c r="F8" s="395"/>
      <c r="G8" s="394"/>
      <c r="H8" s="394"/>
      <c r="I8" s="394"/>
      <c r="J8" s="394"/>
      <c r="K8" s="394"/>
      <c r="L8" s="394"/>
      <c r="M8" s="394"/>
      <c r="N8" s="394"/>
      <c r="O8" s="394"/>
      <c r="P8" s="394"/>
      <c r="Q8" s="394"/>
      <c r="R8" s="394"/>
      <c r="S8" s="395"/>
      <c r="T8" s="456"/>
      <c r="U8" s="394"/>
      <c r="V8" s="394"/>
      <c r="W8" s="394"/>
      <c r="X8" s="394"/>
      <c r="Y8" s="394"/>
      <c r="Z8" s="394"/>
      <c r="AA8" s="394"/>
      <c r="AB8" s="394"/>
      <c r="AC8" s="394"/>
      <c r="AD8" s="394"/>
      <c r="AE8" s="394"/>
      <c r="AF8" s="395"/>
      <c r="AG8" s="394"/>
      <c r="AH8" s="394"/>
      <c r="AI8" s="394"/>
      <c r="AJ8" s="394"/>
      <c r="AK8" s="394"/>
      <c r="AL8" s="394"/>
      <c r="AM8" s="394"/>
      <c r="AN8" s="394"/>
      <c r="AO8" s="394"/>
      <c r="AP8" s="394"/>
      <c r="AQ8" s="394"/>
      <c r="AR8" s="394"/>
      <c r="AS8" s="395"/>
      <c r="AT8" s="395"/>
      <c r="AU8" s="395"/>
      <c r="AV8" s="394"/>
      <c r="AW8" s="395"/>
      <c r="AX8" s="395"/>
      <c r="AY8" s="395"/>
      <c r="AZ8" s="395"/>
      <c r="BA8" s="395"/>
      <c r="BB8" s="395"/>
      <c r="BC8" s="395"/>
      <c r="BD8" s="395"/>
      <c r="BE8" s="395"/>
      <c r="BF8" s="395"/>
      <c r="BG8" s="395"/>
      <c r="BH8" s="395"/>
      <c r="BI8" s="395"/>
      <c r="BJ8" s="395"/>
      <c r="BK8" s="395"/>
      <c r="BL8" s="395"/>
      <c r="BM8" s="395"/>
      <c r="BN8" s="395"/>
      <c r="BO8" s="395"/>
      <c r="BP8" s="395"/>
      <c r="BQ8" s="395"/>
      <c r="BR8" s="395"/>
      <c r="BS8" s="395"/>
      <c r="BT8" s="395"/>
      <c r="BU8" s="395"/>
      <c r="BV8" s="395"/>
      <c r="BW8" s="395"/>
      <c r="BX8" s="395"/>
      <c r="BY8" s="395"/>
      <c r="BZ8" s="395"/>
      <c r="CA8" s="395"/>
      <c r="CB8" s="395"/>
      <c r="CC8" s="395"/>
      <c r="CD8" s="395"/>
      <c r="CE8" s="395"/>
      <c r="CF8" s="395"/>
      <c r="CG8" s="395"/>
      <c r="CH8" s="395"/>
      <c r="CI8" s="395"/>
      <c r="CJ8" s="395"/>
      <c r="CK8" s="395"/>
      <c r="CL8" s="395"/>
      <c r="CM8" s="395"/>
      <c r="CN8" s="395"/>
      <c r="CO8" s="395"/>
      <c r="CP8" s="395"/>
      <c r="CQ8" s="395"/>
      <c r="CR8" s="395"/>
      <c r="CS8" s="395"/>
      <c r="CT8" s="395"/>
      <c r="CU8" s="395"/>
      <c r="CV8" s="395"/>
      <c r="CW8" s="395"/>
      <c r="CX8" s="928"/>
      <c r="CY8" s="928"/>
      <c r="CZ8" s="928"/>
      <c r="DA8" s="928"/>
      <c r="DB8" s="965"/>
      <c r="DC8" s="965"/>
      <c r="DD8" s="928"/>
      <c r="DE8" s="928"/>
      <c r="DF8" s="928"/>
      <c r="DG8" s="928"/>
      <c r="DH8" s="395"/>
      <c r="DI8" s="928"/>
      <c r="DJ8" s="928"/>
      <c r="DK8" s="928"/>
      <c r="DL8" s="928"/>
      <c r="DM8" s="928"/>
      <c r="DN8" s="928"/>
      <c r="DO8" s="928"/>
      <c r="DP8" s="928"/>
      <c r="DQ8" s="928"/>
      <c r="DR8" s="928"/>
      <c r="DS8" s="928"/>
      <c r="DT8" s="928"/>
      <c r="DU8" s="395"/>
    </row>
    <row r="9" spans="1:125" ht="12.75" customHeight="1">
      <c r="A9" s="402" t="s">
        <v>718</v>
      </c>
      <c r="B9" s="395"/>
      <c r="C9" s="394"/>
      <c r="D9" s="394"/>
      <c r="E9" s="394"/>
      <c r="F9" s="395"/>
      <c r="G9" s="394"/>
      <c r="H9" s="394"/>
      <c r="I9" s="394"/>
      <c r="J9" s="394"/>
      <c r="K9" s="394"/>
      <c r="L9" s="394"/>
      <c r="M9" s="394"/>
      <c r="N9" s="394"/>
      <c r="O9" s="394"/>
      <c r="P9" s="394"/>
      <c r="Q9" s="394"/>
      <c r="R9" s="394"/>
      <c r="S9" s="395"/>
      <c r="T9" s="456"/>
      <c r="U9" s="394"/>
      <c r="V9" s="394"/>
      <c r="W9" s="394"/>
      <c r="X9" s="394"/>
      <c r="Y9" s="394"/>
      <c r="Z9" s="394"/>
      <c r="AA9" s="394"/>
      <c r="AB9" s="394"/>
      <c r="AC9" s="394"/>
      <c r="AD9" s="394"/>
      <c r="AE9" s="394"/>
      <c r="AF9" s="762"/>
      <c r="AG9" s="394"/>
      <c r="AH9" s="394"/>
      <c r="AI9" s="394"/>
      <c r="AJ9" s="394"/>
      <c r="AK9" s="394"/>
      <c r="AL9" s="394"/>
      <c r="AM9" s="394"/>
      <c r="AN9" s="394"/>
      <c r="AO9" s="394"/>
      <c r="AP9" s="394"/>
      <c r="AQ9" s="394"/>
      <c r="AR9" s="394"/>
      <c r="AS9" s="395"/>
      <c r="AT9" s="395"/>
      <c r="AU9" s="762"/>
      <c r="AV9" s="394"/>
      <c r="AW9" s="395"/>
      <c r="AX9" s="395"/>
      <c r="AY9" s="395"/>
      <c r="AZ9" s="395"/>
      <c r="BA9" s="395"/>
      <c r="BB9" s="395"/>
      <c r="BC9" s="395"/>
      <c r="BD9" s="395"/>
      <c r="BE9" s="395"/>
      <c r="BF9" s="395"/>
      <c r="BG9" s="395"/>
      <c r="BH9" s="762"/>
      <c r="BI9" s="395"/>
      <c r="BJ9" s="395"/>
      <c r="BK9" s="395"/>
      <c r="BL9" s="395"/>
      <c r="BM9" s="395"/>
      <c r="BN9" s="395"/>
      <c r="BO9" s="395"/>
      <c r="BP9" s="395"/>
      <c r="BQ9" s="395"/>
      <c r="BR9" s="395"/>
      <c r="BS9" s="395"/>
      <c r="BT9" s="395"/>
      <c r="BU9" s="762"/>
      <c r="BV9" s="395"/>
      <c r="BW9" s="395"/>
      <c r="BX9" s="395"/>
      <c r="BY9" s="395"/>
      <c r="BZ9" s="395"/>
      <c r="CA9" s="395"/>
      <c r="CB9" s="395"/>
      <c r="CC9" s="395"/>
      <c r="CD9" s="395"/>
      <c r="CE9" s="395"/>
      <c r="CF9" s="395"/>
      <c r="CG9" s="395"/>
      <c r="CH9" s="762"/>
      <c r="CI9" s="762"/>
      <c r="CJ9" s="762"/>
      <c r="CK9" s="762"/>
      <c r="CL9" s="762"/>
      <c r="CM9" s="762"/>
      <c r="CN9" s="762"/>
      <c r="CO9" s="762"/>
      <c r="CP9" s="762"/>
      <c r="CQ9" s="762"/>
      <c r="CR9" s="762"/>
      <c r="CS9" s="762"/>
      <c r="CT9" s="762"/>
      <c r="CU9" s="762"/>
      <c r="CV9" s="762"/>
      <c r="CW9" s="762"/>
      <c r="CX9" s="930"/>
      <c r="CY9" s="930"/>
      <c r="CZ9" s="930"/>
      <c r="DA9" s="930"/>
      <c r="DB9" s="967"/>
      <c r="DC9" s="967"/>
      <c r="DD9" s="930"/>
      <c r="DE9" s="930"/>
      <c r="DF9" s="930"/>
      <c r="DG9" s="930"/>
      <c r="DH9" s="762"/>
      <c r="DI9" s="930"/>
      <c r="DJ9" s="930"/>
      <c r="DK9" s="930"/>
      <c r="DL9" s="930"/>
      <c r="DM9" s="930"/>
      <c r="DN9" s="930"/>
      <c r="DO9" s="930"/>
      <c r="DP9" s="930"/>
      <c r="DQ9" s="930"/>
      <c r="DR9" s="930"/>
      <c r="DS9" s="930"/>
      <c r="DT9" s="930"/>
      <c r="DU9" s="762"/>
    </row>
    <row r="10" spans="1:125" ht="12.75" customHeight="1">
      <c r="A10" s="14" t="s">
        <v>72</v>
      </c>
      <c r="B10" s="12">
        <v>1612107.52</v>
      </c>
      <c r="C10" s="4">
        <v>376479.18</v>
      </c>
      <c r="D10" s="4">
        <v>380118.85</v>
      </c>
      <c r="E10" s="4">
        <v>366150.87</v>
      </c>
      <c r="F10" s="12">
        <v>3994702.01</v>
      </c>
      <c r="G10" s="4">
        <v>503039</v>
      </c>
      <c r="H10" s="4">
        <v>497939.76</v>
      </c>
      <c r="I10" s="4">
        <v>518376.5</v>
      </c>
      <c r="J10" s="4">
        <v>616800.86</v>
      </c>
      <c r="K10" s="4">
        <v>683198.24</v>
      </c>
      <c r="L10" s="4">
        <v>818281.91</v>
      </c>
      <c r="M10" s="4">
        <v>845743.59</v>
      </c>
      <c r="N10" s="4">
        <v>802652.41</v>
      </c>
      <c r="O10" s="4">
        <v>857386.41</v>
      </c>
      <c r="P10" s="4">
        <v>1024526.4</v>
      </c>
      <c r="Q10" s="4">
        <v>1009094.94</v>
      </c>
      <c r="R10" s="4">
        <v>1035779.85</v>
      </c>
      <c r="S10" s="12">
        <v>9212819.8699999992</v>
      </c>
      <c r="T10" s="4">
        <v>1309133.08</v>
      </c>
      <c r="U10" s="4">
        <v>1150151</v>
      </c>
      <c r="V10" s="4">
        <v>1253953.71</v>
      </c>
      <c r="W10" s="4">
        <v>1420249.09</v>
      </c>
      <c r="X10" s="4">
        <v>1475498.82</v>
      </c>
      <c r="Y10" s="4">
        <v>1777647.49</v>
      </c>
      <c r="Z10" s="4">
        <v>1743165.84</v>
      </c>
      <c r="AA10" s="4">
        <v>2056626.68</v>
      </c>
      <c r="AB10" s="4">
        <v>2327350.4700000002</v>
      </c>
      <c r="AC10" s="4">
        <v>2617278.98</v>
      </c>
      <c r="AD10" s="4">
        <v>2646157.9700000002</v>
      </c>
      <c r="AE10" s="4">
        <v>2949013.86</v>
      </c>
      <c r="AF10" s="430">
        <v>22726226.989999998</v>
      </c>
      <c r="AG10" s="4">
        <v>3421586.84</v>
      </c>
      <c r="AH10" s="4">
        <v>3454018.5</v>
      </c>
      <c r="AI10" s="4">
        <v>3472579.05</v>
      </c>
      <c r="AJ10" s="4">
        <v>3574012.08</v>
      </c>
      <c r="AK10" s="4">
        <v>4132800.62</v>
      </c>
      <c r="AL10" s="4">
        <v>4371043.38</v>
      </c>
      <c r="AM10" s="4">
        <v>4309601.6500000004</v>
      </c>
      <c r="AN10" s="4">
        <v>4926256.79</v>
      </c>
      <c r="AO10" s="4">
        <v>5542864.7699999996</v>
      </c>
      <c r="AP10" s="4">
        <v>6758421.5800000001</v>
      </c>
      <c r="AQ10" s="4">
        <v>6942007.6200000001</v>
      </c>
      <c r="AR10" s="4">
        <v>6729387.7000000002</v>
      </c>
      <c r="AS10" s="15">
        <v>57634580.579999991</v>
      </c>
      <c r="AT10" s="15"/>
      <c r="AU10" s="430">
        <v>57634580.579999991</v>
      </c>
      <c r="AV10" s="16">
        <v>7590219.5899999999</v>
      </c>
      <c r="AW10" s="15">
        <v>6319900.3399999999</v>
      </c>
      <c r="AX10" s="15">
        <v>5290066.53</v>
      </c>
      <c r="AY10" s="15">
        <v>5848754.2400000002</v>
      </c>
      <c r="AZ10" s="15">
        <v>6420536.71</v>
      </c>
      <c r="BA10" s="15">
        <v>6300848.1900000004</v>
      </c>
      <c r="BB10" s="15">
        <v>6382928.9100000001</v>
      </c>
      <c r="BC10" s="15">
        <v>7051063.6799999997</v>
      </c>
      <c r="BD10" s="15">
        <v>7017252.0700000003</v>
      </c>
      <c r="BE10" s="15">
        <v>7834691.6799999997</v>
      </c>
      <c r="BF10" s="15">
        <v>7647493.5099999998</v>
      </c>
      <c r="BG10" s="15">
        <v>7958422.9000000004</v>
      </c>
      <c r="BH10" s="430">
        <v>81662178.350000009</v>
      </c>
      <c r="BI10" s="15">
        <v>9539930.5899999999</v>
      </c>
      <c r="BJ10" s="15">
        <v>10195341.9</v>
      </c>
      <c r="BK10" s="15">
        <v>10553392.859999999</v>
      </c>
      <c r="BL10" s="15">
        <v>9931901</v>
      </c>
      <c r="BM10" s="15">
        <v>11752285.609999999</v>
      </c>
      <c r="BN10" s="15">
        <f>12143711.46+100000</f>
        <v>12243711.460000001</v>
      </c>
      <c r="BO10" s="15">
        <v>13476587.390000001</v>
      </c>
      <c r="BP10" s="15">
        <v>14804006.890000001</v>
      </c>
      <c r="BQ10" s="15">
        <v>14687672</v>
      </c>
      <c r="BR10" s="15">
        <v>15634880.99</v>
      </c>
      <c r="BS10" s="12">
        <v>17092558.850000001</v>
      </c>
      <c r="BT10" s="396">
        <v>16070902.939999999</v>
      </c>
      <c r="BU10" s="430">
        <f>SUM(BI10:BT10)</f>
        <v>155983172.47999999</v>
      </c>
      <c r="BV10" s="396">
        <v>19214301.579999998</v>
      </c>
      <c r="BW10" s="15">
        <v>17427761.68</v>
      </c>
      <c r="BX10" s="15">
        <v>18349718.48</v>
      </c>
      <c r="BY10" s="430">
        <v>19078921.899999999</v>
      </c>
      <c r="BZ10" s="430">
        <v>20717684.829999998</v>
      </c>
      <c r="CA10" s="430">
        <v>20747708.43</v>
      </c>
      <c r="CB10" s="430">
        <v>20074616.879999999</v>
      </c>
      <c r="CC10" s="430">
        <v>23489682.859999999</v>
      </c>
      <c r="CD10" s="430">
        <v>23054634.809999999</v>
      </c>
      <c r="CE10" s="430">
        <v>26117591.82</v>
      </c>
      <c r="CF10" s="430">
        <v>26162565.93</v>
      </c>
      <c r="CG10" s="430">
        <v>26314764.780000001</v>
      </c>
      <c r="CH10" s="430">
        <f>SUM(BV10:CG10)</f>
        <v>260749953.97999999</v>
      </c>
      <c r="CI10" s="430">
        <v>28957491.260000002</v>
      </c>
      <c r="CJ10" s="430">
        <v>28813277.989999998</v>
      </c>
      <c r="CK10" s="430">
        <v>32665912.079999998</v>
      </c>
      <c r="CL10" s="430">
        <v>33632868.840000004</v>
      </c>
      <c r="CM10" s="430">
        <v>36817299.770000003</v>
      </c>
      <c r="CN10" s="430">
        <v>37636512.420000002</v>
      </c>
      <c r="CO10" s="430">
        <v>39054254.25</v>
      </c>
      <c r="CP10" s="430">
        <v>43228923.390000001</v>
      </c>
      <c r="CQ10" s="430">
        <v>45193129.689999998</v>
      </c>
      <c r="CR10" s="430">
        <v>49139513</v>
      </c>
      <c r="CS10" s="430">
        <v>51746873.359999999</v>
      </c>
      <c r="CT10" s="430">
        <v>73149316.340000004</v>
      </c>
      <c r="CU10" s="430">
        <f>SUM(CI10:CT10)</f>
        <v>500035372.38999999</v>
      </c>
      <c r="CV10" s="430">
        <v>56078872.030000001</v>
      </c>
      <c r="CW10" s="430">
        <v>60749393.390000001</v>
      </c>
      <c r="CX10" s="767">
        <v>60040502.799999997</v>
      </c>
      <c r="CY10" s="767">
        <v>61087156.759999998</v>
      </c>
      <c r="CZ10" s="767">
        <v>67698354.159999996</v>
      </c>
      <c r="DA10" s="767">
        <v>68072376.700000003</v>
      </c>
      <c r="DB10" s="767">
        <v>68181971.5</v>
      </c>
      <c r="DC10" s="767">
        <v>66088564.210000001</v>
      </c>
      <c r="DD10" s="767">
        <v>70263805.540000007</v>
      </c>
      <c r="DE10" s="767">
        <v>71430062.260000005</v>
      </c>
      <c r="DF10" s="767">
        <v>64703645.82</v>
      </c>
      <c r="DG10" s="767">
        <v>28937021.530000001</v>
      </c>
      <c r="DH10" s="430">
        <f>SUM(CV10:DG10)</f>
        <v>743331726.69999993</v>
      </c>
      <c r="DI10" s="767">
        <v>67585758.75</v>
      </c>
      <c r="DJ10" s="767">
        <v>64064941.710000001</v>
      </c>
      <c r="DK10" s="767">
        <v>64447739.240000002</v>
      </c>
      <c r="DL10" s="767">
        <v>60067084.049999997</v>
      </c>
      <c r="DM10" s="767">
        <v>60007608.170000002</v>
      </c>
      <c r="DN10" s="767">
        <v>60524917.020000003</v>
      </c>
      <c r="DO10" s="767">
        <v>60098550.909999996</v>
      </c>
      <c r="DP10" s="767">
        <v>61925142.700000003</v>
      </c>
      <c r="DQ10" s="767">
        <v>56622421.100000001</v>
      </c>
      <c r="DR10" s="767">
        <v>65156272.799999997</v>
      </c>
      <c r="DS10" s="767"/>
      <c r="DT10" s="767"/>
      <c r="DU10" s="430">
        <f>SUM(DI10:DT10)</f>
        <v>620500436.44999993</v>
      </c>
    </row>
    <row r="11" spans="1:125" ht="12.75" customHeight="1">
      <c r="A11" s="537"/>
      <c r="B11" s="396"/>
      <c r="C11" s="456"/>
      <c r="D11" s="456"/>
      <c r="E11" s="456"/>
      <c r="F11" s="396"/>
      <c r="G11" s="456"/>
      <c r="H11" s="456"/>
      <c r="I11" s="456"/>
      <c r="J11" s="456"/>
      <c r="K11" s="456"/>
      <c r="L11" s="456"/>
      <c r="M11" s="456"/>
      <c r="N11" s="456"/>
      <c r="O11" s="456"/>
      <c r="P11" s="456"/>
      <c r="Q11" s="456"/>
      <c r="R11" s="456"/>
      <c r="S11" s="396"/>
      <c r="T11" s="456"/>
      <c r="U11" s="456"/>
      <c r="V11" s="456"/>
      <c r="W11" s="456"/>
      <c r="X11" s="456"/>
      <c r="Y11" s="456"/>
      <c r="Z11" s="456"/>
      <c r="AA11" s="456"/>
      <c r="AB11" s="456"/>
      <c r="AC11" s="456"/>
      <c r="AD11" s="456"/>
      <c r="AE11" s="456"/>
      <c r="AF11" s="430"/>
      <c r="AG11" s="456"/>
      <c r="AH11" s="456"/>
      <c r="AI11" s="456"/>
      <c r="AJ11" s="456"/>
      <c r="AK11" s="456"/>
      <c r="AL11" s="456"/>
      <c r="AM11" s="456"/>
      <c r="AN11" s="456"/>
      <c r="AO11" s="456"/>
      <c r="AP11" s="456"/>
      <c r="AQ11" s="456"/>
      <c r="AR11" s="456"/>
      <c r="AS11" s="430"/>
      <c r="AT11" s="538"/>
      <c r="AU11" s="430"/>
      <c r="AV11" s="538"/>
      <c r="AW11" s="430"/>
      <c r="AX11" s="430"/>
      <c r="AY11" s="430"/>
      <c r="AZ11" s="430"/>
      <c r="BA11" s="430"/>
      <c r="BB11" s="430"/>
      <c r="BC11" s="430"/>
      <c r="BD11" s="430"/>
      <c r="BE11" s="430"/>
      <c r="BF11" s="430"/>
      <c r="BG11" s="430"/>
      <c r="BH11" s="430"/>
      <c r="BI11" s="430"/>
      <c r="BJ11" s="430"/>
      <c r="BK11" s="430"/>
      <c r="BL11" s="430"/>
      <c r="BM11" s="430"/>
      <c r="BN11" s="430"/>
      <c r="BO11" s="430"/>
      <c r="BP11" s="430"/>
      <c r="BQ11" s="430"/>
      <c r="BR11" s="430"/>
      <c r="BS11" s="396"/>
      <c r="BT11" s="396"/>
      <c r="BU11" s="430"/>
      <c r="BV11" s="396"/>
      <c r="BW11" s="430"/>
      <c r="BX11" s="430"/>
      <c r="BY11" s="430"/>
      <c r="BZ11" s="430"/>
      <c r="CA11" s="430"/>
      <c r="CB11" s="430"/>
      <c r="CC11" s="430"/>
      <c r="CD11" s="430"/>
      <c r="CE11" s="430"/>
      <c r="CF11" s="430"/>
      <c r="CG11" s="430"/>
      <c r="CH11" s="430"/>
      <c r="CI11" s="430"/>
      <c r="CJ11" s="430"/>
      <c r="CK11" s="430"/>
      <c r="CL11" s="430"/>
      <c r="CM11" s="430"/>
      <c r="CN11" s="430"/>
      <c r="CO11" s="430"/>
      <c r="CP11" s="430"/>
      <c r="CQ11" s="430"/>
      <c r="CR11" s="430"/>
      <c r="CS11" s="430"/>
      <c r="CT11" s="430"/>
      <c r="CU11" s="430"/>
      <c r="CV11" s="430"/>
      <c r="CW11" s="430"/>
      <c r="CX11" s="767"/>
      <c r="CY11" s="767"/>
      <c r="CZ11" s="767"/>
      <c r="DA11" s="767"/>
      <c r="DB11" s="767"/>
      <c r="DC11" s="767"/>
      <c r="DD11" s="767"/>
      <c r="DE11" s="767"/>
      <c r="DF11" s="767"/>
      <c r="DG11" s="767"/>
      <c r="DH11" s="430"/>
      <c r="DI11" s="767"/>
      <c r="DJ11" s="767"/>
      <c r="DK11" s="767"/>
      <c r="DL11" s="767"/>
      <c r="DM11" s="767"/>
      <c r="DN11" s="767"/>
      <c r="DO11" s="767"/>
      <c r="DP11" s="767"/>
      <c r="DQ11" s="767"/>
      <c r="DR11" s="767"/>
      <c r="DS11" s="767"/>
      <c r="DT11" s="767"/>
      <c r="DU11" s="430"/>
    </row>
    <row r="12" spans="1:125" ht="12.75" customHeight="1">
      <c r="A12" s="402" t="s">
        <v>729</v>
      </c>
      <c r="B12" s="396"/>
      <c r="C12" s="456"/>
      <c r="D12" s="456"/>
      <c r="E12" s="456"/>
      <c r="F12" s="396"/>
      <c r="G12" s="456"/>
      <c r="H12" s="456"/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396"/>
      <c r="T12" s="456"/>
      <c r="U12" s="456"/>
      <c r="V12" s="456"/>
      <c r="W12" s="456"/>
      <c r="X12" s="456"/>
      <c r="Y12" s="456"/>
      <c r="Z12" s="456"/>
      <c r="AA12" s="456"/>
      <c r="AB12" s="456"/>
      <c r="AC12" s="456"/>
      <c r="AD12" s="456"/>
      <c r="AE12" s="456"/>
      <c r="AF12" s="430"/>
      <c r="AG12" s="456"/>
      <c r="AH12" s="456"/>
      <c r="AI12" s="456"/>
      <c r="AJ12" s="456"/>
      <c r="AK12" s="456"/>
      <c r="AL12" s="456"/>
      <c r="AM12" s="456"/>
      <c r="AN12" s="456"/>
      <c r="AO12" s="456"/>
      <c r="AP12" s="456"/>
      <c r="AQ12" s="456"/>
      <c r="AR12" s="456"/>
      <c r="AS12" s="430"/>
      <c r="AT12" s="538"/>
      <c r="AU12" s="430"/>
      <c r="AV12" s="538"/>
      <c r="AW12" s="430"/>
      <c r="AX12" s="430"/>
      <c r="AY12" s="430"/>
      <c r="AZ12" s="430"/>
      <c r="BA12" s="430"/>
      <c r="BB12" s="430"/>
      <c r="BC12" s="430"/>
      <c r="BD12" s="430"/>
      <c r="BE12" s="430"/>
      <c r="BF12" s="430"/>
      <c r="BG12" s="430"/>
      <c r="BH12" s="430"/>
      <c r="BI12" s="430"/>
      <c r="BJ12" s="430"/>
      <c r="BK12" s="430"/>
      <c r="BL12" s="430"/>
      <c r="BM12" s="430"/>
      <c r="BN12" s="430"/>
      <c r="BO12" s="430"/>
      <c r="BP12" s="430"/>
      <c r="BQ12" s="430"/>
      <c r="BR12" s="430"/>
      <c r="BS12" s="396"/>
      <c r="BT12" s="396"/>
      <c r="BU12" s="430"/>
      <c r="BV12" s="396"/>
      <c r="BW12" s="430"/>
      <c r="BX12" s="430"/>
      <c r="BY12" s="430"/>
      <c r="BZ12" s="430">
        <f t="shared" ref="BZ12:CH12" si="0">SUM(BZ13:BZ16)</f>
        <v>69.56</v>
      </c>
      <c r="CA12" s="430">
        <f t="shared" si="0"/>
        <v>536.52</v>
      </c>
      <c r="CB12" s="430">
        <f t="shared" si="0"/>
        <v>906.97</v>
      </c>
      <c r="CC12" s="430">
        <f t="shared" si="0"/>
        <v>434.03</v>
      </c>
      <c r="CD12" s="430">
        <f t="shared" si="0"/>
        <v>1119</v>
      </c>
      <c r="CE12" s="430">
        <f t="shared" si="0"/>
        <v>1493.15</v>
      </c>
      <c r="CF12" s="430">
        <f t="shared" si="0"/>
        <v>1885.9</v>
      </c>
      <c r="CG12" s="430">
        <f t="shared" si="0"/>
        <v>5584.8</v>
      </c>
      <c r="CH12" s="430">
        <f t="shared" si="0"/>
        <v>12029.93</v>
      </c>
      <c r="CI12" s="430">
        <f t="shared" ref="CI12:CR12" si="1">SUM(CI13:CI16)</f>
        <v>8369.11</v>
      </c>
      <c r="CJ12" s="430">
        <f t="shared" si="1"/>
        <v>11328.09</v>
      </c>
      <c r="CK12" s="430">
        <f t="shared" si="1"/>
        <v>12034.619999999999</v>
      </c>
      <c r="CL12" s="430">
        <f t="shared" si="1"/>
        <v>43558.43</v>
      </c>
      <c r="CM12" s="430">
        <f t="shared" si="1"/>
        <v>60422.720000000001</v>
      </c>
      <c r="CN12" s="430">
        <f t="shared" si="1"/>
        <v>80364.069999999992</v>
      </c>
      <c r="CO12" s="430">
        <f t="shared" si="1"/>
        <v>69334.350000000006</v>
      </c>
      <c r="CP12" s="430">
        <f t="shared" si="1"/>
        <v>70417.36</v>
      </c>
      <c r="CQ12" s="430">
        <f t="shared" si="1"/>
        <v>67487.3</v>
      </c>
      <c r="CR12" s="430">
        <f t="shared" si="1"/>
        <v>67769.7</v>
      </c>
      <c r="CS12" s="430">
        <f>SUM(CS13:CS16)</f>
        <v>61493.009999999995</v>
      </c>
      <c r="CT12" s="430">
        <f>SUM(CT13:CT16)</f>
        <v>63539.56</v>
      </c>
      <c r="CU12" s="430">
        <f>SUM(CI12:CT12)</f>
        <v>616118.32000000007</v>
      </c>
      <c r="CV12" s="430">
        <f t="shared" ref="CV12:DF12" si="2">SUM(CV13:CV16)</f>
        <v>105369.42</v>
      </c>
      <c r="CW12" s="430">
        <f t="shared" si="2"/>
        <v>74645.510000000009</v>
      </c>
      <c r="CX12" s="430">
        <f t="shared" si="2"/>
        <v>91409.260000000009</v>
      </c>
      <c r="CY12" s="430">
        <f t="shared" si="2"/>
        <v>89509.09</v>
      </c>
      <c r="CZ12" s="430">
        <f t="shared" si="2"/>
        <v>94073.53</v>
      </c>
      <c r="DA12" s="430">
        <f t="shared" si="2"/>
        <v>103920.73</v>
      </c>
      <c r="DB12" s="430">
        <f>SUM(DB13:DB16)</f>
        <v>105585.35</v>
      </c>
      <c r="DC12" s="430">
        <f>SUM(DC13:DC16)</f>
        <v>115719.56999999999</v>
      </c>
      <c r="DD12" s="767">
        <f t="shared" ref="DD12" si="3">SUM(DD13:DD16)</f>
        <v>111300.41999999998</v>
      </c>
      <c r="DE12" s="767">
        <f t="shared" si="2"/>
        <v>137239.90999999997</v>
      </c>
      <c r="DF12" s="767">
        <f t="shared" si="2"/>
        <v>122316.58</v>
      </c>
      <c r="DG12" s="767">
        <f>SUM(DG13:DG16)</f>
        <v>134436.15</v>
      </c>
      <c r="DH12" s="430">
        <f>SUM(CV12:DG12)</f>
        <v>1285525.5199999998</v>
      </c>
      <c r="DI12" s="767">
        <f t="shared" ref="DI12:DT12" si="4">SUM(DI13:DI16)</f>
        <v>198582.65</v>
      </c>
      <c r="DJ12" s="767">
        <f t="shared" si="4"/>
        <v>172253.47999999998</v>
      </c>
      <c r="DK12" s="767">
        <f t="shared" si="4"/>
        <v>203976.26</v>
      </c>
      <c r="DL12" s="767">
        <f t="shared" si="4"/>
        <v>213038.06</v>
      </c>
      <c r="DM12" s="767">
        <f t="shared" si="4"/>
        <v>258775.85000000003</v>
      </c>
      <c r="DN12" s="767">
        <f t="shared" si="4"/>
        <v>255560.00999999998</v>
      </c>
      <c r="DO12" s="767">
        <f t="shared" si="4"/>
        <v>258897.04</v>
      </c>
      <c r="DP12" s="767">
        <f t="shared" si="4"/>
        <v>292689.96999999997</v>
      </c>
      <c r="DQ12" s="767">
        <f t="shared" si="4"/>
        <v>149353.33000000002</v>
      </c>
      <c r="DR12" s="767">
        <f t="shared" si="4"/>
        <v>0</v>
      </c>
      <c r="DS12" s="767">
        <f t="shared" si="4"/>
        <v>0</v>
      </c>
      <c r="DT12" s="767">
        <f t="shared" si="4"/>
        <v>0</v>
      </c>
      <c r="DU12" s="430">
        <f>SUM(DI12:DT12)</f>
        <v>2003126.6500000001</v>
      </c>
    </row>
    <row r="13" spans="1:125" ht="12.75" customHeight="1" outlineLevel="1">
      <c r="A13" s="14" t="s">
        <v>664</v>
      </c>
      <c r="B13" s="396"/>
      <c r="C13" s="456"/>
      <c r="D13" s="456"/>
      <c r="E13" s="456"/>
      <c r="F13" s="396"/>
      <c r="G13" s="456"/>
      <c r="H13" s="456"/>
      <c r="I13" s="456"/>
      <c r="J13" s="456"/>
      <c r="K13" s="456"/>
      <c r="L13" s="456"/>
      <c r="M13" s="456"/>
      <c r="N13" s="456"/>
      <c r="O13" s="456"/>
      <c r="P13" s="456"/>
      <c r="Q13" s="456"/>
      <c r="R13" s="456"/>
      <c r="S13" s="396"/>
      <c r="T13" s="456"/>
      <c r="U13" s="456"/>
      <c r="V13" s="456"/>
      <c r="W13" s="456"/>
      <c r="X13" s="456"/>
      <c r="Y13" s="456"/>
      <c r="Z13" s="456"/>
      <c r="AA13" s="456"/>
      <c r="AB13" s="456"/>
      <c r="AC13" s="456"/>
      <c r="AD13" s="456"/>
      <c r="AE13" s="456"/>
      <c r="AF13" s="763"/>
      <c r="AG13" s="456"/>
      <c r="AH13" s="456"/>
      <c r="AI13" s="456"/>
      <c r="AJ13" s="456"/>
      <c r="AK13" s="456"/>
      <c r="AL13" s="456"/>
      <c r="AM13" s="456"/>
      <c r="AN13" s="456"/>
      <c r="AO13" s="456"/>
      <c r="AP13" s="456"/>
      <c r="AQ13" s="456"/>
      <c r="AR13" s="456"/>
      <c r="AS13" s="430"/>
      <c r="AT13" s="538"/>
      <c r="AU13" s="763"/>
      <c r="AV13" s="538"/>
      <c r="AW13" s="430"/>
      <c r="AX13" s="430"/>
      <c r="AY13" s="430"/>
      <c r="AZ13" s="430"/>
      <c r="BA13" s="430"/>
      <c r="BB13" s="430"/>
      <c r="BC13" s="430"/>
      <c r="BD13" s="430"/>
      <c r="BE13" s="430"/>
      <c r="BF13" s="430"/>
      <c r="BG13" s="430"/>
      <c r="BH13" s="763"/>
      <c r="BI13" s="430"/>
      <c r="BJ13" s="430"/>
      <c r="BK13" s="430"/>
      <c r="BL13" s="430"/>
      <c r="BM13" s="430"/>
      <c r="BN13" s="430"/>
      <c r="BO13" s="430"/>
      <c r="BP13" s="430"/>
      <c r="BQ13" s="430"/>
      <c r="BR13" s="430"/>
      <c r="BS13" s="396"/>
      <c r="BT13" s="396"/>
      <c r="BU13" s="763"/>
      <c r="BV13" s="396"/>
      <c r="BW13" s="430"/>
      <c r="BX13" s="430"/>
      <c r="BY13" s="769"/>
      <c r="BZ13" s="770"/>
      <c r="CA13" s="768"/>
      <c r="CB13" s="768"/>
      <c r="CC13" s="768"/>
      <c r="CD13" s="768"/>
      <c r="CE13" s="768"/>
      <c r="CF13" s="768"/>
      <c r="CG13" s="768"/>
      <c r="CH13" s="763"/>
      <c r="CI13" s="763">
        <v>870</v>
      </c>
      <c r="CJ13" s="763">
        <v>1739</v>
      </c>
      <c r="CK13" s="763">
        <v>869.57</v>
      </c>
      <c r="CL13" s="763">
        <v>0.01</v>
      </c>
      <c r="CM13" s="763">
        <v>1739.13</v>
      </c>
      <c r="CN13" s="763">
        <v>1304.3499999999999</v>
      </c>
      <c r="CO13" s="763">
        <v>1304.3499999999999</v>
      </c>
      <c r="CP13" s="763">
        <v>1304.3499999999999</v>
      </c>
      <c r="CQ13" s="763">
        <v>2173.91</v>
      </c>
      <c r="CR13" s="763">
        <v>3043.48</v>
      </c>
      <c r="CS13" s="763">
        <v>3913.04</v>
      </c>
      <c r="CT13" s="763">
        <v>0</v>
      </c>
      <c r="CU13" s="763">
        <f>SUM(CI13:CT13)</f>
        <v>18261.190000000002</v>
      </c>
      <c r="CV13" s="763">
        <v>3478.26</v>
      </c>
      <c r="CW13" s="763">
        <v>4347.83</v>
      </c>
      <c r="CX13" s="931">
        <v>2608.6999999999998</v>
      </c>
      <c r="CY13" s="931">
        <v>6521.74</v>
      </c>
      <c r="CZ13" s="931">
        <v>5217.3900000000003</v>
      </c>
      <c r="DA13" s="931">
        <v>5652.17</v>
      </c>
      <c r="DB13" s="931">
        <v>5652.17</v>
      </c>
      <c r="DC13" s="931">
        <v>6086.96</v>
      </c>
      <c r="DD13" s="931">
        <v>7826.09</v>
      </c>
      <c r="DE13" s="931">
        <v>6521.74</v>
      </c>
      <c r="DF13" s="931">
        <v>7826.09</v>
      </c>
      <c r="DG13" s="931">
        <v>12608.7</v>
      </c>
      <c r="DH13" s="763">
        <f>SUM(CV13:DG13)</f>
        <v>74347.839999999997</v>
      </c>
      <c r="DI13" s="931">
        <v>17826.09</v>
      </c>
      <c r="DJ13" s="931">
        <v>20869.57</v>
      </c>
      <c r="DK13" s="931">
        <v>25652.17</v>
      </c>
      <c r="DL13" s="931">
        <v>37826.089999999997</v>
      </c>
      <c r="DM13" s="931">
        <v>40869.57</v>
      </c>
      <c r="DN13" s="931">
        <v>42608.7</v>
      </c>
      <c r="DO13" s="931">
        <v>36521.74</v>
      </c>
      <c r="DP13" s="931">
        <v>40434.78</v>
      </c>
      <c r="DQ13" s="931">
        <v>55652.17</v>
      </c>
      <c r="DR13" s="931">
        <v>0</v>
      </c>
      <c r="DS13" s="931"/>
      <c r="DT13" s="931"/>
      <c r="DU13" s="763">
        <f>SUM(DI13:DT13)</f>
        <v>318260.87999999995</v>
      </c>
    </row>
    <row r="14" spans="1:125" ht="12.75" customHeight="1" outlineLevel="1">
      <c r="A14" s="14" t="s">
        <v>665</v>
      </c>
      <c r="B14" s="396"/>
      <c r="C14" s="456"/>
      <c r="D14" s="456"/>
      <c r="E14" s="456"/>
      <c r="F14" s="396"/>
      <c r="G14" s="456"/>
      <c r="H14" s="456"/>
      <c r="I14" s="456"/>
      <c r="J14" s="456"/>
      <c r="K14" s="456"/>
      <c r="L14" s="456"/>
      <c r="M14" s="456"/>
      <c r="N14" s="456"/>
      <c r="O14" s="456"/>
      <c r="P14" s="456"/>
      <c r="Q14" s="456"/>
      <c r="R14" s="456"/>
      <c r="S14" s="396"/>
      <c r="T14" s="456"/>
      <c r="U14" s="456"/>
      <c r="V14" s="456"/>
      <c r="W14" s="456"/>
      <c r="X14" s="456"/>
      <c r="Y14" s="456"/>
      <c r="Z14" s="456"/>
      <c r="AA14" s="456"/>
      <c r="AB14" s="456"/>
      <c r="AC14" s="456"/>
      <c r="AD14" s="456"/>
      <c r="AE14" s="456"/>
      <c r="AF14" s="430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30"/>
      <c r="AT14" s="538"/>
      <c r="AU14" s="430"/>
      <c r="AV14" s="538"/>
      <c r="AW14" s="430"/>
      <c r="AX14" s="430"/>
      <c r="AY14" s="430"/>
      <c r="AZ14" s="430"/>
      <c r="BA14" s="430"/>
      <c r="BB14" s="430"/>
      <c r="BC14" s="430"/>
      <c r="BD14" s="430"/>
      <c r="BE14" s="430"/>
      <c r="BF14" s="430"/>
      <c r="BG14" s="430"/>
      <c r="BH14" s="430"/>
      <c r="BI14" s="430"/>
      <c r="BJ14" s="430"/>
      <c r="BK14" s="430"/>
      <c r="BL14" s="430"/>
      <c r="BM14" s="430"/>
      <c r="BN14" s="430"/>
      <c r="BO14" s="430"/>
      <c r="BP14" s="430"/>
      <c r="BQ14" s="430"/>
      <c r="BR14" s="430"/>
      <c r="BS14" s="396"/>
      <c r="BT14" s="396"/>
      <c r="BU14" s="430"/>
      <c r="BV14" s="396"/>
      <c r="BW14" s="430"/>
      <c r="BX14" s="430"/>
      <c r="BY14" s="769"/>
      <c r="BZ14" s="767">
        <v>69.56</v>
      </c>
      <c r="CA14" s="430">
        <v>536.52</v>
      </c>
      <c r="CB14" s="430">
        <v>906.97</v>
      </c>
      <c r="CC14" s="430">
        <v>434.03</v>
      </c>
      <c r="CD14" s="430">
        <v>976.52</v>
      </c>
      <c r="CE14" s="430">
        <v>1326.98</v>
      </c>
      <c r="CF14" s="430">
        <v>1641.75</v>
      </c>
      <c r="CG14" s="430">
        <v>1578.61</v>
      </c>
      <c r="CH14" s="430">
        <f>SUM(BV14:CG14)</f>
        <v>7470.94</v>
      </c>
      <c r="CI14" s="430">
        <v>898.69</v>
      </c>
      <c r="CJ14" s="430">
        <v>635.96</v>
      </c>
      <c r="CK14" s="430">
        <v>4435.32</v>
      </c>
      <c r="CL14" s="430">
        <v>6836.98</v>
      </c>
      <c r="CM14" s="430">
        <v>8926.09</v>
      </c>
      <c r="CN14" s="430">
        <v>9564.27</v>
      </c>
      <c r="CO14" s="430">
        <v>8440.11</v>
      </c>
      <c r="CP14" s="430">
        <v>8305.77</v>
      </c>
      <c r="CQ14" s="430">
        <v>11852.44</v>
      </c>
      <c r="CR14" s="430">
        <v>13236.59</v>
      </c>
      <c r="CS14" s="430">
        <v>13837.77</v>
      </c>
      <c r="CT14" s="430">
        <v>15874.22</v>
      </c>
      <c r="CU14" s="430">
        <f>SUM(CI14:CT14)</f>
        <v>102844.21</v>
      </c>
      <c r="CV14" s="430">
        <v>10415.299999999999</v>
      </c>
      <c r="CW14" s="430">
        <v>8378.2800000000007</v>
      </c>
      <c r="CX14" s="767">
        <v>25040.25</v>
      </c>
      <c r="CY14" s="767">
        <v>20814.29</v>
      </c>
      <c r="CZ14" s="767">
        <v>29856</v>
      </c>
      <c r="DA14" s="767">
        <v>28522.36</v>
      </c>
      <c r="DB14" s="767">
        <v>35713.75</v>
      </c>
      <c r="DC14" s="767">
        <v>33811.72</v>
      </c>
      <c r="DD14" s="767">
        <v>35012.36</v>
      </c>
      <c r="DE14" s="767">
        <v>39839.5</v>
      </c>
      <c r="DF14" s="767">
        <v>36024.120000000003</v>
      </c>
      <c r="DG14" s="767">
        <v>41791.629999999997</v>
      </c>
      <c r="DH14" s="430">
        <f>SUM(CV14:DG14)</f>
        <v>345219.56</v>
      </c>
      <c r="DI14" s="767">
        <v>45332.57</v>
      </c>
      <c r="DJ14" s="767">
        <v>38881.379999999997</v>
      </c>
      <c r="DK14" s="767">
        <v>56283.99</v>
      </c>
      <c r="DL14" s="767">
        <v>52846.44</v>
      </c>
      <c r="DM14" s="767">
        <v>51880.19</v>
      </c>
      <c r="DN14" s="767">
        <v>52795.31</v>
      </c>
      <c r="DO14" s="767">
        <v>59198.46</v>
      </c>
      <c r="DP14" s="767">
        <v>71298.91</v>
      </c>
      <c r="DQ14" s="767">
        <v>40487.15</v>
      </c>
      <c r="DR14" s="767">
        <v>0</v>
      </c>
      <c r="DS14" s="767"/>
      <c r="DT14" s="767"/>
      <c r="DU14" s="430">
        <f>SUM(DI14:DT14)</f>
        <v>469004.4</v>
      </c>
    </row>
    <row r="15" spans="1:125" ht="12.75" customHeight="1" outlineLevel="1">
      <c r="A15" s="14" t="s">
        <v>709</v>
      </c>
      <c r="B15" s="396"/>
      <c r="C15" s="456"/>
      <c r="D15" s="456"/>
      <c r="E15" s="456"/>
      <c r="F15" s="396"/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39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  <c r="AF15" s="430"/>
      <c r="AG15" s="456"/>
      <c r="AH15" s="456"/>
      <c r="AI15" s="456"/>
      <c r="AJ15" s="456"/>
      <c r="AK15" s="456"/>
      <c r="AL15" s="456"/>
      <c r="AM15" s="456"/>
      <c r="AN15" s="456"/>
      <c r="AO15" s="456"/>
      <c r="AP15" s="456"/>
      <c r="AQ15" s="456"/>
      <c r="AR15" s="456"/>
      <c r="AS15" s="430"/>
      <c r="AT15" s="538"/>
      <c r="AU15" s="430"/>
      <c r="AV15" s="538"/>
      <c r="AW15" s="430"/>
      <c r="AX15" s="430"/>
      <c r="AY15" s="430"/>
      <c r="AZ15" s="430"/>
      <c r="BA15" s="430"/>
      <c r="BB15" s="430"/>
      <c r="BC15" s="430"/>
      <c r="BD15" s="430"/>
      <c r="BE15" s="430"/>
      <c r="BF15" s="430"/>
      <c r="BG15" s="430"/>
      <c r="BH15" s="430"/>
      <c r="BI15" s="430"/>
      <c r="BJ15" s="430"/>
      <c r="BK15" s="430"/>
      <c r="BL15" s="430"/>
      <c r="BM15" s="430"/>
      <c r="BN15" s="430"/>
      <c r="BO15" s="430"/>
      <c r="BP15" s="430"/>
      <c r="BQ15" s="430"/>
      <c r="BR15" s="430"/>
      <c r="BS15" s="396"/>
      <c r="BT15" s="396"/>
      <c r="BU15" s="430"/>
      <c r="BV15" s="396"/>
      <c r="BW15" s="430"/>
      <c r="BX15" s="430"/>
      <c r="BY15" s="769"/>
      <c r="BZ15" s="767"/>
      <c r="CA15" s="430"/>
      <c r="CB15" s="430"/>
      <c r="CC15" s="430"/>
      <c r="CD15" s="538"/>
      <c r="CE15" s="430"/>
      <c r="CF15" s="430"/>
      <c r="CG15" s="430"/>
      <c r="CH15" s="430"/>
      <c r="CI15" s="430"/>
      <c r="CJ15" s="430"/>
      <c r="CK15" s="430"/>
      <c r="CL15" s="430"/>
      <c r="CM15" s="430"/>
      <c r="CN15" s="430"/>
      <c r="CO15" s="430"/>
      <c r="CP15" s="430"/>
      <c r="CQ15" s="430"/>
      <c r="CR15" s="430"/>
      <c r="CS15" s="430"/>
      <c r="CT15" s="430"/>
      <c r="CU15" s="430"/>
      <c r="CV15" s="430">
        <v>9827.49</v>
      </c>
      <c r="CW15" s="430">
        <v>14353.43</v>
      </c>
      <c r="CX15" s="767">
        <v>21706.18</v>
      </c>
      <c r="CY15" s="767">
        <v>19723.259999999998</v>
      </c>
      <c r="CZ15" s="767">
        <v>19642.169999999998</v>
      </c>
      <c r="DA15" s="767">
        <v>22854.31</v>
      </c>
      <c r="DB15" s="767">
        <v>25922.92</v>
      </c>
      <c r="DC15" s="767">
        <v>29936.25</v>
      </c>
      <c r="DD15" s="767">
        <v>31825.98</v>
      </c>
      <c r="DE15" s="767">
        <v>27573.78</v>
      </c>
      <c r="DF15" s="767">
        <v>22524.37</v>
      </c>
      <c r="DG15" s="767">
        <v>22248.080000000002</v>
      </c>
      <c r="DH15" s="430">
        <f>SUM(CV15:DG15)</f>
        <v>268138.22000000003</v>
      </c>
      <c r="DI15" s="767">
        <v>33126.089999999997</v>
      </c>
      <c r="DJ15" s="767">
        <v>24511.73</v>
      </c>
      <c r="DK15" s="767">
        <v>28501.73</v>
      </c>
      <c r="DL15" s="767">
        <v>28289.25</v>
      </c>
      <c r="DM15" s="767">
        <v>40168.1</v>
      </c>
      <c r="DN15" s="767">
        <v>36418.6</v>
      </c>
      <c r="DO15" s="767">
        <v>37338.99</v>
      </c>
      <c r="DP15" s="767">
        <v>65118.13</v>
      </c>
      <c r="DQ15" s="767">
        <v>32687.22</v>
      </c>
      <c r="DR15" s="767">
        <v>0</v>
      </c>
      <c r="DS15" s="767"/>
      <c r="DT15" s="767"/>
      <c r="DU15" s="430">
        <f>SUM(DI15:DT15)</f>
        <v>326159.83999999997</v>
      </c>
    </row>
    <row r="16" spans="1:125" ht="12.75" customHeight="1" outlineLevel="1">
      <c r="A16" s="14" t="s">
        <v>666</v>
      </c>
      <c r="B16" s="396"/>
      <c r="C16" s="456"/>
      <c r="D16" s="456"/>
      <c r="E16" s="456"/>
      <c r="F16" s="396"/>
      <c r="G16" s="456"/>
      <c r="H16" s="456"/>
      <c r="I16" s="456"/>
      <c r="J16" s="456"/>
      <c r="K16" s="456"/>
      <c r="L16" s="456"/>
      <c r="M16" s="456"/>
      <c r="N16" s="456"/>
      <c r="O16" s="456"/>
      <c r="P16" s="456"/>
      <c r="Q16" s="456"/>
      <c r="R16" s="456"/>
      <c r="S16" s="396"/>
      <c r="T16" s="456"/>
      <c r="U16" s="456"/>
      <c r="V16" s="456"/>
      <c r="W16" s="456"/>
      <c r="X16" s="456"/>
      <c r="Y16" s="456"/>
      <c r="Z16" s="456"/>
      <c r="AA16" s="456"/>
      <c r="AB16" s="456"/>
      <c r="AC16" s="456"/>
      <c r="AD16" s="456"/>
      <c r="AE16" s="456"/>
      <c r="AF16" s="764"/>
      <c r="AG16" s="456"/>
      <c r="AH16" s="456"/>
      <c r="AI16" s="456"/>
      <c r="AJ16" s="456"/>
      <c r="AK16" s="456"/>
      <c r="AL16" s="456"/>
      <c r="AM16" s="456"/>
      <c r="AN16" s="456"/>
      <c r="AO16" s="456"/>
      <c r="AP16" s="456"/>
      <c r="AQ16" s="456"/>
      <c r="AR16" s="456"/>
      <c r="AS16" s="396"/>
      <c r="AT16" s="456"/>
      <c r="AU16" s="764"/>
      <c r="AV16" s="456"/>
      <c r="AW16" s="396"/>
      <c r="AX16" s="396"/>
      <c r="AY16" s="396"/>
      <c r="AZ16" s="396"/>
      <c r="BA16" s="396"/>
      <c r="BB16" s="396"/>
      <c r="BC16" s="396"/>
      <c r="BD16" s="396"/>
      <c r="BE16" s="396"/>
      <c r="BF16" s="396"/>
      <c r="BG16" s="396"/>
      <c r="BH16" s="764"/>
      <c r="BI16" s="396"/>
      <c r="BJ16" s="396"/>
      <c r="BK16" s="396"/>
      <c r="BL16" s="396"/>
      <c r="BM16" s="396"/>
      <c r="BN16" s="396"/>
      <c r="BO16" s="396"/>
      <c r="BP16" s="396"/>
      <c r="BQ16" s="396"/>
      <c r="BR16" s="396"/>
      <c r="BS16" s="396"/>
      <c r="BT16" s="396"/>
      <c r="BU16" s="764"/>
      <c r="BV16" s="396">
        <v>0</v>
      </c>
      <c r="BW16" s="396">
        <v>0</v>
      </c>
      <c r="BX16" s="396">
        <v>0</v>
      </c>
      <c r="BY16" s="579">
        <v>0</v>
      </c>
      <c r="BZ16" s="771">
        <v>0</v>
      </c>
      <c r="CA16" s="544">
        <v>0</v>
      </c>
      <c r="CB16" s="544">
        <v>0</v>
      </c>
      <c r="CC16" s="544">
        <v>0</v>
      </c>
      <c r="CD16" s="543">
        <v>142.47999999999999</v>
      </c>
      <c r="CE16" s="544">
        <v>166.17</v>
      </c>
      <c r="CF16" s="544">
        <v>244.15</v>
      </c>
      <c r="CG16" s="544">
        <v>4006.19</v>
      </c>
      <c r="CH16" s="764">
        <f>SUM(BV16:CG16)</f>
        <v>4558.99</v>
      </c>
      <c r="CI16" s="764">
        <v>6600.42</v>
      </c>
      <c r="CJ16" s="764">
        <v>8953.1299999999992</v>
      </c>
      <c r="CK16" s="764">
        <v>6729.73</v>
      </c>
      <c r="CL16" s="764">
        <v>36721.440000000002</v>
      </c>
      <c r="CM16" s="764">
        <v>49757.5</v>
      </c>
      <c r="CN16" s="764">
        <v>69495.45</v>
      </c>
      <c r="CO16" s="764">
        <v>59589.89</v>
      </c>
      <c r="CP16" s="764">
        <v>60807.24</v>
      </c>
      <c r="CQ16" s="764">
        <v>53460.95</v>
      </c>
      <c r="CR16" s="764">
        <v>51489.63</v>
      </c>
      <c r="CS16" s="764">
        <v>43742.2</v>
      </c>
      <c r="CT16" s="764">
        <v>47665.34</v>
      </c>
      <c r="CU16" s="764">
        <f>SUM(CI16:CT16)</f>
        <v>495012.92000000004</v>
      </c>
      <c r="CV16" s="764">
        <v>81648.37</v>
      </c>
      <c r="CW16" s="764">
        <v>47565.97</v>
      </c>
      <c r="CX16" s="932">
        <v>42054.13</v>
      </c>
      <c r="CY16" s="932">
        <v>42449.8</v>
      </c>
      <c r="CZ16" s="932">
        <v>39357.97</v>
      </c>
      <c r="DA16" s="932">
        <v>46891.89</v>
      </c>
      <c r="DB16" s="968">
        <v>38296.51</v>
      </c>
      <c r="DC16" s="968">
        <v>45884.639999999999</v>
      </c>
      <c r="DD16" s="932">
        <v>36635.99</v>
      </c>
      <c r="DE16" s="932">
        <v>63304.89</v>
      </c>
      <c r="DF16" s="932">
        <v>55942</v>
      </c>
      <c r="DG16" s="932">
        <v>57787.74</v>
      </c>
      <c r="DH16" s="764">
        <f>SUM(CV16:DG16)</f>
        <v>597819.9</v>
      </c>
      <c r="DI16" s="932">
        <v>102297.9</v>
      </c>
      <c r="DJ16" s="932">
        <v>87990.8</v>
      </c>
      <c r="DK16" s="932">
        <v>93538.37</v>
      </c>
      <c r="DL16" s="932">
        <v>94076.28</v>
      </c>
      <c r="DM16" s="932">
        <v>125857.99</v>
      </c>
      <c r="DN16" s="932">
        <v>123737.4</v>
      </c>
      <c r="DO16" s="932">
        <v>125837.85</v>
      </c>
      <c r="DP16" s="932">
        <v>115838.15</v>
      </c>
      <c r="DQ16" s="932">
        <v>20526.79</v>
      </c>
      <c r="DR16" s="932">
        <v>0</v>
      </c>
      <c r="DS16" s="932"/>
      <c r="DT16" s="932"/>
      <c r="DU16" s="764">
        <f>SUM(DI16:DT16)</f>
        <v>889701.53</v>
      </c>
    </row>
    <row r="17" spans="1:125" ht="12.75" customHeight="1">
      <c r="AF17" s="938"/>
      <c r="AU17" s="938"/>
      <c r="BH17" s="938"/>
      <c r="BU17" s="938"/>
      <c r="CH17" s="938"/>
      <c r="CU17" s="938"/>
      <c r="CV17" s="938"/>
      <c r="CW17" s="938"/>
      <c r="CX17" s="430"/>
      <c r="CY17" s="430"/>
      <c r="CZ17" s="430"/>
      <c r="DA17" s="430"/>
      <c r="DB17" s="430"/>
      <c r="DC17" s="430"/>
      <c r="DD17" s="430"/>
      <c r="DE17" s="430"/>
      <c r="DF17" s="430"/>
      <c r="DG17" s="430"/>
      <c r="DH17" s="938"/>
      <c r="DI17" s="430"/>
      <c r="DJ17" s="430"/>
      <c r="DK17" s="430"/>
      <c r="DL17" s="430"/>
      <c r="DM17" s="430"/>
      <c r="DN17" s="430"/>
      <c r="DO17" s="430"/>
      <c r="DP17" s="430"/>
      <c r="DQ17" s="430"/>
      <c r="DR17" s="430"/>
      <c r="DS17" s="430"/>
      <c r="DT17" s="430"/>
      <c r="DU17" s="938"/>
    </row>
    <row r="18" spans="1:125" ht="12.75" customHeight="1">
      <c r="A18" s="17" t="s">
        <v>717</v>
      </c>
      <c r="B18" s="18">
        <f t="shared" ref="B18:S18" si="5">SUM(B10)</f>
        <v>1612107.52</v>
      </c>
      <c r="C18" s="19">
        <f t="shared" si="5"/>
        <v>376479.18</v>
      </c>
      <c r="D18" s="19">
        <f t="shared" si="5"/>
        <v>380118.85</v>
      </c>
      <c r="E18" s="19">
        <f t="shared" si="5"/>
        <v>366150.87</v>
      </c>
      <c r="F18" s="18">
        <f t="shared" si="5"/>
        <v>3994702.01</v>
      </c>
      <c r="G18" s="19">
        <f t="shared" si="5"/>
        <v>503039</v>
      </c>
      <c r="H18" s="19">
        <f t="shared" si="5"/>
        <v>497939.76</v>
      </c>
      <c r="I18" s="19">
        <f t="shared" si="5"/>
        <v>518376.5</v>
      </c>
      <c r="J18" s="19">
        <f t="shared" si="5"/>
        <v>616800.86</v>
      </c>
      <c r="K18" s="19">
        <f t="shared" si="5"/>
        <v>683198.24</v>
      </c>
      <c r="L18" s="19">
        <f t="shared" si="5"/>
        <v>818281.91</v>
      </c>
      <c r="M18" s="19">
        <f t="shared" si="5"/>
        <v>845743.59</v>
      </c>
      <c r="N18" s="19">
        <f t="shared" si="5"/>
        <v>802652.41</v>
      </c>
      <c r="O18" s="19">
        <f t="shared" si="5"/>
        <v>857386.41</v>
      </c>
      <c r="P18" s="19">
        <f t="shared" si="5"/>
        <v>1024526.4</v>
      </c>
      <c r="Q18" s="19">
        <f t="shared" si="5"/>
        <v>1009094.94</v>
      </c>
      <c r="R18" s="19">
        <f t="shared" si="5"/>
        <v>1035779.85</v>
      </c>
      <c r="S18" s="18">
        <f t="shared" si="5"/>
        <v>9212819.8699999992</v>
      </c>
      <c r="T18" s="20">
        <f>T10</f>
        <v>1309133.08</v>
      </c>
      <c r="U18" s="19">
        <v>1150151</v>
      </c>
      <c r="V18" s="19">
        <f>+V10</f>
        <v>1253953.71</v>
      </c>
      <c r="W18" s="19">
        <f>+W10</f>
        <v>1420249.09</v>
      </c>
      <c r="X18" s="19">
        <f>+X10</f>
        <v>1475498.82</v>
      </c>
      <c r="Y18" s="19">
        <f t="shared" ref="Y18:AD18" si="6">SUM(Y10)</f>
        <v>1777647.49</v>
      </c>
      <c r="Z18" s="19">
        <f t="shared" si="6"/>
        <v>1743165.84</v>
      </c>
      <c r="AA18" s="19">
        <f t="shared" si="6"/>
        <v>2056626.68</v>
      </c>
      <c r="AB18" s="19">
        <f t="shared" si="6"/>
        <v>2327350.4700000002</v>
      </c>
      <c r="AC18" s="19">
        <f t="shared" si="6"/>
        <v>2617278.98</v>
      </c>
      <c r="AD18" s="19">
        <f t="shared" si="6"/>
        <v>2646157.9700000002</v>
      </c>
      <c r="AE18" s="19">
        <f>+AE10</f>
        <v>2949013.86</v>
      </c>
      <c r="AF18" s="397">
        <v>22726226.989999998</v>
      </c>
      <c r="AG18" s="19">
        <v>3421586.84</v>
      </c>
      <c r="AH18" s="19">
        <v>3454018.5</v>
      </c>
      <c r="AI18" s="19">
        <v>3472579.05</v>
      </c>
      <c r="AJ18" s="19">
        <v>3574012.08</v>
      </c>
      <c r="AK18" s="19">
        <v>4132800.62</v>
      </c>
      <c r="AL18" s="19">
        <v>4371043.38</v>
      </c>
      <c r="AM18" s="19">
        <v>4309601.6500000004</v>
      </c>
      <c r="AN18" s="19">
        <v>4926256.79</v>
      </c>
      <c r="AO18" s="19">
        <v>5542864.7699999996</v>
      </c>
      <c r="AP18" s="19">
        <v>6758421.5800000001</v>
      </c>
      <c r="AQ18" s="19">
        <v>6942007.6200000001</v>
      </c>
      <c r="AR18" s="19">
        <v>6729387.7000000002</v>
      </c>
      <c r="AS18" s="18">
        <v>57634580.579999991</v>
      </c>
      <c r="AT18" s="19">
        <v>0</v>
      </c>
      <c r="AU18" s="397">
        <v>57634580.579999991</v>
      </c>
      <c r="AV18" s="19">
        <v>7590219.5899999999</v>
      </c>
      <c r="AW18" s="18">
        <v>6319900.3399999999</v>
      </c>
      <c r="AX18" s="18">
        <v>5290066.53</v>
      </c>
      <c r="AY18" s="18">
        <v>5848754.2400000002</v>
      </c>
      <c r="AZ18" s="18">
        <v>6420536.71</v>
      </c>
      <c r="BA18" s="18">
        <v>6300848.1900000004</v>
      </c>
      <c r="BB18" s="18">
        <v>6382928.9100000001</v>
      </c>
      <c r="BC18" s="18">
        <v>7051063.6799999997</v>
      </c>
      <c r="BD18" s="18">
        <v>7017252.0700000003</v>
      </c>
      <c r="BE18" s="18">
        <v>7834691.6799999997</v>
      </c>
      <c r="BF18" s="18">
        <v>7647493.5099999998</v>
      </c>
      <c r="BG18" s="18">
        <v>7958422.9000000004</v>
      </c>
      <c r="BH18" s="397">
        <v>81662178.350000009</v>
      </c>
      <c r="BI18" s="18">
        <f t="shared" ref="BI18:BT18" si="7">+BI10</f>
        <v>9539930.5899999999</v>
      </c>
      <c r="BJ18" s="18">
        <f t="shared" si="7"/>
        <v>10195341.9</v>
      </c>
      <c r="BK18" s="18">
        <f t="shared" si="7"/>
        <v>10553392.859999999</v>
      </c>
      <c r="BL18" s="18">
        <f t="shared" si="7"/>
        <v>9931901</v>
      </c>
      <c r="BM18" s="18">
        <f t="shared" si="7"/>
        <v>11752285.609999999</v>
      </c>
      <c r="BN18" s="18">
        <f t="shared" si="7"/>
        <v>12243711.460000001</v>
      </c>
      <c r="BO18" s="18">
        <f t="shared" si="7"/>
        <v>13476587.390000001</v>
      </c>
      <c r="BP18" s="18">
        <f t="shared" si="7"/>
        <v>14804006.890000001</v>
      </c>
      <c r="BQ18" s="18">
        <f t="shared" si="7"/>
        <v>14687672</v>
      </c>
      <c r="BR18" s="18">
        <f t="shared" si="7"/>
        <v>15634880.99</v>
      </c>
      <c r="BS18" s="18">
        <f t="shared" si="7"/>
        <v>17092558.850000001</v>
      </c>
      <c r="BT18" s="18">
        <f t="shared" si="7"/>
        <v>16070902.939999999</v>
      </c>
      <c r="BU18" s="397">
        <f>BU10</f>
        <v>155983172.47999999</v>
      </c>
      <c r="BV18" s="18">
        <f t="shared" ref="BV18:CC18" si="8">+BV10+BV14</f>
        <v>19214301.579999998</v>
      </c>
      <c r="BW18" s="18">
        <f t="shared" si="8"/>
        <v>17427761.68</v>
      </c>
      <c r="BX18" s="18">
        <f t="shared" si="8"/>
        <v>18349718.48</v>
      </c>
      <c r="BY18" s="18">
        <f t="shared" si="8"/>
        <v>19078921.899999999</v>
      </c>
      <c r="BZ18" s="18">
        <f t="shared" si="8"/>
        <v>20717754.389999997</v>
      </c>
      <c r="CA18" s="18">
        <f t="shared" si="8"/>
        <v>20748244.949999999</v>
      </c>
      <c r="CB18" s="18">
        <f t="shared" si="8"/>
        <v>20075523.849999998</v>
      </c>
      <c r="CC18" s="18">
        <f t="shared" si="8"/>
        <v>23490116.890000001</v>
      </c>
      <c r="CD18" s="18">
        <f>+CD10+CD14+CD16</f>
        <v>23055753.809999999</v>
      </c>
      <c r="CE18" s="18">
        <f>+CE10+CE14+CE16</f>
        <v>26119084.970000003</v>
      </c>
      <c r="CF18" s="18">
        <f>+CF10+CF14+CF16</f>
        <v>26164451.829999998</v>
      </c>
      <c r="CG18" s="18">
        <f>+CG10+CG14+CG16</f>
        <v>26320349.580000002</v>
      </c>
      <c r="CH18" s="397">
        <f>+CH10+CH14+CH16</f>
        <v>260761983.91</v>
      </c>
      <c r="CI18" s="18">
        <f t="shared" ref="CI18:CS18" si="9">CI10+CI12</f>
        <v>28965860.370000001</v>
      </c>
      <c r="CJ18" s="18">
        <f t="shared" si="9"/>
        <v>28824606.079999998</v>
      </c>
      <c r="CK18" s="18">
        <f t="shared" si="9"/>
        <v>32677946.699999999</v>
      </c>
      <c r="CL18" s="18">
        <f t="shared" si="9"/>
        <v>33676427.270000003</v>
      </c>
      <c r="CM18" s="18">
        <f t="shared" si="9"/>
        <v>36877722.490000002</v>
      </c>
      <c r="CN18" s="18">
        <f t="shared" si="9"/>
        <v>37716876.490000002</v>
      </c>
      <c r="CO18" s="18">
        <f t="shared" si="9"/>
        <v>39123588.600000001</v>
      </c>
      <c r="CP18" s="18">
        <f t="shared" si="9"/>
        <v>43299340.75</v>
      </c>
      <c r="CQ18" s="18">
        <f t="shared" si="9"/>
        <v>45260616.989999995</v>
      </c>
      <c r="CR18" s="18">
        <f t="shared" si="9"/>
        <v>49207282.700000003</v>
      </c>
      <c r="CS18" s="18">
        <f t="shared" si="9"/>
        <v>51808366.369999997</v>
      </c>
      <c r="CT18" s="18">
        <f>CT10+CT12</f>
        <v>73212855.900000006</v>
      </c>
      <c r="CU18" s="397">
        <f>SUM(CI18:CT18)</f>
        <v>500651490.71000004</v>
      </c>
      <c r="CV18" s="397">
        <f t="shared" ref="CV18:DA18" si="10">CV10+CV12</f>
        <v>56184241.450000003</v>
      </c>
      <c r="CW18" s="397">
        <f t="shared" si="10"/>
        <v>60824038.899999999</v>
      </c>
      <c r="CX18" s="397">
        <f t="shared" si="10"/>
        <v>60131912.059999995</v>
      </c>
      <c r="CY18" s="397">
        <f t="shared" si="10"/>
        <v>61176665.850000001</v>
      </c>
      <c r="CZ18" s="397">
        <f t="shared" si="10"/>
        <v>67792427.689999998</v>
      </c>
      <c r="DA18" s="397">
        <f t="shared" si="10"/>
        <v>68176297.430000007</v>
      </c>
      <c r="DB18" s="22">
        <f t="shared" ref="DB18:DG18" si="11">DB10+DB12</f>
        <v>68287556.849999994</v>
      </c>
      <c r="DC18" s="22">
        <f t="shared" si="11"/>
        <v>66204283.780000001</v>
      </c>
      <c r="DD18" s="22">
        <f t="shared" si="11"/>
        <v>70375105.960000008</v>
      </c>
      <c r="DE18" s="22">
        <f t="shared" si="11"/>
        <v>71567302.170000002</v>
      </c>
      <c r="DF18" s="22">
        <f t="shared" si="11"/>
        <v>64825962.399999999</v>
      </c>
      <c r="DG18" s="22">
        <f t="shared" si="11"/>
        <v>29071457.68</v>
      </c>
      <c r="DH18" s="397">
        <f>SUM(CV18:DG18)</f>
        <v>744617252.21999991</v>
      </c>
      <c r="DI18" s="22">
        <f t="shared" ref="DI18:DJ18" si="12">DI10+DI12</f>
        <v>67784341.400000006</v>
      </c>
      <c r="DJ18" s="22">
        <f t="shared" si="12"/>
        <v>64237195.189999998</v>
      </c>
      <c r="DK18" s="22">
        <f t="shared" ref="DK18:DT18" si="13">DK10+DK12</f>
        <v>64651715.5</v>
      </c>
      <c r="DL18" s="22">
        <f t="shared" si="13"/>
        <v>60280122.109999999</v>
      </c>
      <c r="DM18" s="22">
        <f t="shared" si="13"/>
        <v>60266384.020000003</v>
      </c>
      <c r="DN18" s="22">
        <f t="shared" si="13"/>
        <v>60780477.030000001</v>
      </c>
      <c r="DO18" s="22">
        <f t="shared" si="13"/>
        <v>60357447.949999996</v>
      </c>
      <c r="DP18" s="22">
        <f>DP10+DP12</f>
        <v>62217832.670000002</v>
      </c>
      <c r="DQ18" s="22">
        <f t="shared" si="13"/>
        <v>56771774.43</v>
      </c>
      <c r="DR18" s="22">
        <f t="shared" si="13"/>
        <v>65156272.799999997</v>
      </c>
      <c r="DS18" s="22">
        <f t="shared" si="13"/>
        <v>0</v>
      </c>
      <c r="DT18" s="22">
        <f t="shared" si="13"/>
        <v>0</v>
      </c>
      <c r="DU18" s="397">
        <f>SUM(DI18:DT18)</f>
        <v>622503563.0999999</v>
      </c>
    </row>
    <row r="19" spans="1:125" ht="8.25" customHeight="1">
      <c r="A19" s="2"/>
      <c r="B19" s="12"/>
      <c r="C19" s="4"/>
      <c r="D19" s="4"/>
      <c r="E19" s="4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2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396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12"/>
      <c r="AT19" s="12"/>
      <c r="AU19" s="396"/>
      <c r="AV19" s="4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396"/>
      <c r="BI19" s="12"/>
      <c r="BJ19" s="12"/>
      <c r="BK19" s="12"/>
      <c r="BL19" s="12"/>
      <c r="BM19" s="12"/>
      <c r="BN19" s="12"/>
      <c r="BO19" s="12"/>
      <c r="BP19" s="12"/>
      <c r="BQ19" s="15"/>
      <c r="BR19" s="15"/>
      <c r="BS19" s="12"/>
      <c r="BT19" s="396"/>
      <c r="BU19" s="396"/>
      <c r="BV19" s="396"/>
      <c r="BW19" s="12"/>
      <c r="BX19" s="12"/>
      <c r="BY19" s="396"/>
      <c r="BZ19" s="396"/>
      <c r="CA19" s="396"/>
      <c r="CB19" s="396"/>
      <c r="CC19" s="396"/>
      <c r="CD19" s="396"/>
      <c r="CE19" s="396"/>
      <c r="CF19" s="396"/>
      <c r="CG19" s="396"/>
      <c r="CH19" s="396"/>
      <c r="CI19" s="396"/>
      <c r="CJ19" s="396"/>
      <c r="CK19" s="396"/>
      <c r="CL19" s="396"/>
      <c r="CM19" s="396"/>
      <c r="CN19" s="396"/>
      <c r="CO19" s="396"/>
      <c r="CP19" s="396"/>
      <c r="CQ19" s="396"/>
      <c r="CR19" s="396"/>
      <c r="CS19" s="396"/>
      <c r="CT19" s="396"/>
      <c r="CU19" s="396"/>
      <c r="CV19" s="396"/>
      <c r="CW19" s="396"/>
      <c r="CX19" s="934"/>
      <c r="CY19" s="934"/>
      <c r="CZ19" s="934"/>
      <c r="DA19" s="934"/>
      <c r="DB19" s="767"/>
      <c r="DC19" s="767"/>
      <c r="DD19" s="934"/>
      <c r="DE19" s="934"/>
      <c r="DF19" s="934"/>
      <c r="DG19" s="934"/>
      <c r="DH19" s="396"/>
      <c r="DI19" s="934"/>
      <c r="DJ19" s="934"/>
      <c r="DK19" s="934"/>
      <c r="DL19" s="934"/>
      <c r="DM19" s="934"/>
      <c r="DN19" s="934"/>
      <c r="DO19" s="934"/>
      <c r="DP19" s="934"/>
      <c r="DQ19" s="934"/>
      <c r="DR19" s="934"/>
      <c r="DS19" s="934"/>
      <c r="DT19" s="934"/>
      <c r="DU19" s="396"/>
    </row>
    <row r="20" spans="1:125" ht="12.75" customHeight="1">
      <c r="A20" s="13" t="s">
        <v>719</v>
      </c>
      <c r="B20" s="12"/>
      <c r="C20" s="4"/>
      <c r="D20" s="4"/>
      <c r="E20" s="4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2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396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12"/>
      <c r="AT20" s="12"/>
      <c r="AU20" s="396"/>
      <c r="AV20" s="4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396"/>
      <c r="BI20" s="12"/>
      <c r="BJ20" s="12"/>
      <c r="BK20" s="12"/>
      <c r="BL20" s="12"/>
      <c r="BM20" s="12"/>
      <c r="BN20" s="12"/>
      <c r="BO20" s="12"/>
      <c r="BP20" s="12"/>
      <c r="BQ20" s="15"/>
      <c r="BR20" s="15"/>
      <c r="BS20" s="12"/>
      <c r="BT20" s="396"/>
      <c r="BU20" s="396"/>
      <c r="BV20" s="396"/>
      <c r="BW20" s="12"/>
      <c r="BX20" s="12"/>
      <c r="BY20" s="396"/>
      <c r="BZ20" s="396"/>
      <c r="CA20" s="396"/>
      <c r="CB20" s="396"/>
      <c r="CC20" s="396"/>
      <c r="CD20" s="396"/>
      <c r="CE20" s="396"/>
      <c r="CF20" s="396"/>
      <c r="CG20" s="396"/>
      <c r="CH20" s="396"/>
      <c r="CI20" s="396"/>
      <c r="CJ20" s="396"/>
      <c r="CK20" s="396"/>
      <c r="CL20" s="396"/>
      <c r="CM20" s="396"/>
      <c r="CN20" s="396"/>
      <c r="CO20" s="396"/>
      <c r="CP20" s="396"/>
      <c r="CQ20" s="396"/>
      <c r="CR20" s="396"/>
      <c r="CS20" s="396"/>
      <c r="CT20" s="396"/>
      <c r="CU20" s="396"/>
      <c r="CV20" s="396"/>
      <c r="CW20" s="396"/>
      <c r="CX20" s="934"/>
      <c r="CY20" s="934"/>
      <c r="CZ20" s="934"/>
      <c r="DA20" s="934"/>
      <c r="DB20" s="767"/>
      <c r="DC20" s="767"/>
      <c r="DD20" s="934"/>
      <c r="DE20" s="934"/>
      <c r="DF20" s="934"/>
      <c r="DG20" s="934"/>
      <c r="DH20" s="396"/>
      <c r="DI20" s="934"/>
      <c r="DJ20" s="934"/>
      <c r="DK20" s="934"/>
      <c r="DL20" s="934"/>
      <c r="DM20" s="934"/>
      <c r="DN20" s="934"/>
      <c r="DO20" s="934"/>
      <c r="DP20" s="934"/>
      <c r="DQ20" s="934"/>
      <c r="DR20" s="934"/>
      <c r="DS20" s="934"/>
      <c r="DT20" s="934"/>
      <c r="DU20" s="396"/>
    </row>
    <row r="21" spans="1:125" ht="8.25" customHeight="1">
      <c r="A21" s="2"/>
      <c r="B21" s="12"/>
      <c r="C21" s="4"/>
      <c r="D21" s="4"/>
      <c r="E21" s="4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2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396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12"/>
      <c r="AT21" s="12"/>
      <c r="AU21" s="396"/>
      <c r="AV21" s="4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396"/>
      <c r="BI21" s="12"/>
      <c r="BJ21" s="12"/>
      <c r="BK21" s="12"/>
      <c r="BL21" s="12"/>
      <c r="BM21" s="12"/>
      <c r="BN21" s="12"/>
      <c r="BO21" s="12"/>
      <c r="BP21" s="12"/>
      <c r="BQ21" s="15"/>
      <c r="BR21" s="15"/>
      <c r="BS21" s="12"/>
      <c r="BT21" s="396"/>
      <c r="BU21" s="396"/>
      <c r="BV21" s="396"/>
      <c r="BW21" s="12"/>
      <c r="BX21" s="12"/>
      <c r="BY21" s="396"/>
      <c r="BZ21" s="396"/>
      <c r="CA21" s="396"/>
      <c r="CB21" s="396"/>
      <c r="CC21" s="396"/>
      <c r="CD21" s="396"/>
      <c r="CE21" s="396"/>
      <c r="CF21" s="396"/>
      <c r="CG21" s="396"/>
      <c r="CH21" s="396"/>
      <c r="CI21" s="396"/>
      <c r="CJ21" s="396"/>
      <c r="CK21" s="396"/>
      <c r="CL21" s="396"/>
      <c r="CM21" s="396"/>
      <c r="CN21" s="396"/>
      <c r="CO21" s="396"/>
      <c r="CP21" s="396"/>
      <c r="CQ21" s="396"/>
      <c r="CR21" s="1010">
        <f>(CR27-CQ27)/CQ27</f>
        <v>0.20414686802699034</v>
      </c>
      <c r="CS21" s="396"/>
      <c r="CT21" s="396"/>
      <c r="CU21" s="396"/>
      <c r="CV21" s="396"/>
      <c r="CW21" s="396"/>
      <c r="CX21" s="934"/>
      <c r="CY21" s="934"/>
      <c r="CZ21" s="934"/>
      <c r="DA21" s="934"/>
      <c r="DB21" s="767"/>
      <c r="DC21" s="767"/>
      <c r="DD21" s="934"/>
      <c r="DE21" s="934"/>
      <c r="DF21" s="934"/>
      <c r="DG21" s="934"/>
      <c r="DH21" s="396"/>
      <c r="DI21" s="934"/>
      <c r="DJ21" s="934"/>
      <c r="DK21" s="934"/>
      <c r="DL21" s="934"/>
      <c r="DM21" s="934"/>
      <c r="DN21" s="934"/>
      <c r="DO21" s="934"/>
      <c r="DP21" s="934"/>
      <c r="DQ21" s="934"/>
      <c r="DR21" s="934"/>
      <c r="DS21" s="934"/>
      <c r="DT21" s="934"/>
      <c r="DU21" s="396"/>
    </row>
    <row r="22" spans="1:125" ht="6" customHeight="1">
      <c r="A22" s="2"/>
      <c r="B22" s="12"/>
      <c r="C22" s="4"/>
      <c r="D22" s="4"/>
      <c r="E22" s="4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2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396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12"/>
      <c r="AT22" s="12"/>
      <c r="AU22" s="396"/>
      <c r="AV22" s="4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396"/>
      <c r="BI22" s="12"/>
      <c r="BJ22" s="12"/>
      <c r="BK22" s="12"/>
      <c r="BL22" s="12"/>
      <c r="BM22" s="12"/>
      <c r="BN22" s="12"/>
      <c r="BO22" s="12"/>
      <c r="BP22" s="12"/>
      <c r="BQ22" s="15"/>
      <c r="BR22" s="15"/>
      <c r="BS22" s="12"/>
      <c r="BT22" s="396"/>
      <c r="BU22" s="396"/>
      <c r="BV22" s="396"/>
      <c r="BW22" s="12"/>
      <c r="BX22" s="12"/>
      <c r="BY22" s="396"/>
      <c r="BZ22" s="396"/>
      <c r="CA22" s="396"/>
      <c r="CB22" s="396"/>
      <c r="CC22" s="396"/>
      <c r="CD22" s="396"/>
      <c r="CE22" s="396"/>
      <c r="CF22" s="396"/>
      <c r="CG22" s="396"/>
      <c r="CH22" s="396"/>
      <c r="CI22" s="396"/>
      <c r="CJ22" s="396"/>
      <c r="CK22" s="396"/>
      <c r="CL22" s="396"/>
      <c r="CM22" s="396"/>
      <c r="CN22" s="396"/>
      <c r="CO22" s="396"/>
      <c r="CP22" s="396"/>
      <c r="CQ22" s="396"/>
      <c r="CR22" s="396"/>
      <c r="CS22" s="396"/>
      <c r="CT22" s="396"/>
      <c r="CU22" s="396"/>
      <c r="CV22" s="396"/>
      <c r="CW22" s="396"/>
      <c r="CX22" s="934"/>
      <c r="CY22" s="934"/>
      <c r="CZ22" s="934"/>
      <c r="DA22" s="934"/>
      <c r="DB22" s="767"/>
      <c r="DC22" s="767"/>
      <c r="DD22" s="934"/>
      <c r="DE22" s="934"/>
      <c r="DF22" s="934"/>
      <c r="DG22" s="934"/>
      <c r="DH22" s="396"/>
      <c r="DI22" s="934"/>
      <c r="DJ22" s="934"/>
      <c r="DK22" s="934"/>
      <c r="DL22" s="934"/>
      <c r="DM22" s="934"/>
      <c r="DN22" s="934"/>
      <c r="DO22" s="934"/>
      <c r="DP22" s="934"/>
      <c r="DQ22" s="934"/>
      <c r="DR22" s="934"/>
      <c r="DS22" s="934"/>
      <c r="DT22" s="934"/>
      <c r="DU22" s="396"/>
    </row>
    <row r="23" spans="1:125" ht="12.75" hidden="1" customHeight="1">
      <c r="A23" s="13" t="s">
        <v>73</v>
      </c>
      <c r="B23" s="12"/>
      <c r="C23" s="4"/>
      <c r="D23" s="4"/>
      <c r="E23" s="4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2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396">
        <v>0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12">
        <v>0</v>
      </c>
      <c r="AT23" s="12"/>
      <c r="AU23" s="396">
        <v>0</v>
      </c>
      <c r="AV23" s="4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396">
        <v>0</v>
      </c>
      <c r="BI23" s="12"/>
      <c r="BJ23" s="12"/>
      <c r="BK23" s="12"/>
      <c r="BL23" s="12"/>
      <c r="BM23" s="12"/>
      <c r="BN23" s="12"/>
      <c r="BO23" s="12"/>
      <c r="BP23" s="12"/>
      <c r="BQ23" s="21"/>
      <c r="BR23" s="21"/>
      <c r="BS23" s="12"/>
      <c r="BT23" s="396"/>
      <c r="BU23" s="396">
        <f>AX23+AY23</f>
        <v>0</v>
      </c>
      <c r="BV23" s="396"/>
      <c r="BW23" s="12"/>
      <c r="BX23" s="12"/>
      <c r="BY23" s="396"/>
      <c r="BZ23" s="396"/>
      <c r="CA23" s="396"/>
      <c r="CB23" s="396"/>
      <c r="CC23" s="396"/>
      <c r="CD23" s="396"/>
      <c r="CE23" s="396"/>
      <c r="CF23" s="396"/>
      <c r="CG23" s="396"/>
      <c r="CH23" s="396">
        <f>BK23+BL23</f>
        <v>0</v>
      </c>
      <c r="CI23" s="396"/>
      <c r="CJ23" s="396"/>
      <c r="CK23" s="396"/>
      <c r="CL23" s="396"/>
      <c r="CM23" s="396"/>
      <c r="CN23" s="396"/>
      <c r="CO23" s="396"/>
      <c r="CP23" s="396"/>
      <c r="CQ23" s="396"/>
      <c r="CR23" s="396"/>
      <c r="CS23" s="396"/>
      <c r="CT23" s="396"/>
      <c r="CU23" s="396">
        <f>AX23+AY23</f>
        <v>0</v>
      </c>
      <c r="CV23" s="396"/>
      <c r="CW23" s="396"/>
      <c r="CX23" s="934"/>
      <c r="CY23" s="934"/>
      <c r="CZ23" s="934"/>
      <c r="DA23" s="934"/>
      <c r="DB23" s="767"/>
      <c r="DC23" s="767"/>
      <c r="DD23" s="934"/>
      <c r="DE23" s="934"/>
      <c r="DF23" s="934"/>
      <c r="DG23" s="934"/>
      <c r="DH23" s="396">
        <f>AZ23+BA23</f>
        <v>0</v>
      </c>
      <c r="DI23" s="934"/>
      <c r="DJ23" s="934"/>
      <c r="DK23" s="934"/>
      <c r="DL23" s="934"/>
      <c r="DM23" s="934"/>
      <c r="DN23" s="934"/>
      <c r="DO23" s="934"/>
      <c r="DP23" s="934"/>
      <c r="DQ23" s="934"/>
      <c r="DR23" s="934"/>
      <c r="DS23" s="934"/>
      <c r="DT23" s="934"/>
      <c r="DU23" s="396"/>
    </row>
    <row r="24" spans="1:125" ht="12.75" hidden="1" customHeight="1">
      <c r="A24" s="14" t="s">
        <v>74</v>
      </c>
      <c r="B24" s="12"/>
      <c r="C24" s="4"/>
      <c r="D24" s="4"/>
      <c r="E24" s="4"/>
      <c r="F24" s="12"/>
      <c r="G24" s="4"/>
      <c r="H24" s="4"/>
      <c r="I24" s="4"/>
      <c r="J24" s="4"/>
      <c r="K24" s="4"/>
      <c r="L24" s="4"/>
      <c r="M24" s="4">
        <v>-13283.32</v>
      </c>
      <c r="N24" s="4"/>
      <c r="O24" s="4"/>
      <c r="P24" s="4"/>
      <c r="Q24" s="4"/>
      <c r="R24" s="4"/>
      <c r="S24" s="12">
        <v>-13283.32</v>
      </c>
      <c r="T24" s="4"/>
      <c r="U24" s="4"/>
      <c r="V24" s="4"/>
      <c r="W24" s="4"/>
      <c r="X24" s="4">
        <v>-2000</v>
      </c>
      <c r="Y24" s="4"/>
      <c r="Z24" s="4"/>
      <c r="AA24" s="4"/>
      <c r="AB24" s="4"/>
      <c r="AC24" s="4"/>
      <c r="AD24" s="4"/>
      <c r="AE24" s="4"/>
      <c r="AF24" s="396">
        <v>-2000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12">
        <v>0</v>
      </c>
      <c r="AT24" s="12"/>
      <c r="AU24" s="396">
        <v>0</v>
      </c>
      <c r="AV24" s="4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396">
        <v>0</v>
      </c>
      <c r="BI24" s="12"/>
      <c r="BJ24" s="12"/>
      <c r="BK24" s="12"/>
      <c r="BL24" s="12"/>
      <c r="BM24" s="12"/>
      <c r="BN24" s="12"/>
      <c r="BO24" s="12"/>
      <c r="BP24" s="12"/>
      <c r="BQ24" s="21"/>
      <c r="BR24" s="21"/>
      <c r="BS24" s="12"/>
      <c r="BT24" s="396"/>
      <c r="BU24" s="396">
        <f>AX24+AY24</f>
        <v>0</v>
      </c>
      <c r="BV24" s="396"/>
      <c r="BW24" s="12"/>
      <c r="BX24" s="12"/>
      <c r="BY24" s="396"/>
      <c r="BZ24" s="396"/>
      <c r="CA24" s="396"/>
      <c r="CB24" s="396"/>
      <c r="CC24" s="396"/>
      <c r="CD24" s="396"/>
      <c r="CE24" s="396"/>
      <c r="CF24" s="396"/>
      <c r="CG24" s="396"/>
      <c r="CH24" s="396">
        <f>BK24+BL24</f>
        <v>0</v>
      </c>
      <c r="CI24" s="396"/>
      <c r="CJ24" s="396"/>
      <c r="CK24" s="396"/>
      <c r="CL24" s="396"/>
      <c r="CM24" s="396"/>
      <c r="CN24" s="396"/>
      <c r="CO24" s="396"/>
      <c r="CP24" s="396"/>
      <c r="CQ24" s="396"/>
      <c r="CR24" s="396"/>
      <c r="CS24" s="396"/>
      <c r="CT24" s="396"/>
      <c r="CU24" s="396">
        <f>AX24+AY24</f>
        <v>0</v>
      </c>
      <c r="CV24" s="396"/>
      <c r="CW24" s="396"/>
      <c r="CX24" s="934"/>
      <c r="CY24" s="934"/>
      <c r="CZ24" s="934"/>
      <c r="DA24" s="934"/>
      <c r="DB24" s="767"/>
      <c r="DC24" s="767"/>
      <c r="DD24" s="934"/>
      <c r="DE24" s="934"/>
      <c r="DF24" s="934"/>
      <c r="DG24" s="934"/>
      <c r="DH24" s="396">
        <f>AZ24+BA24</f>
        <v>0</v>
      </c>
      <c r="DI24" s="934"/>
      <c r="DJ24" s="934"/>
      <c r="DK24" s="934"/>
      <c r="DL24" s="934"/>
      <c r="DM24" s="934"/>
      <c r="DN24" s="934"/>
      <c r="DO24" s="934"/>
      <c r="DP24" s="934"/>
      <c r="DQ24" s="934"/>
      <c r="DR24" s="934"/>
      <c r="DS24" s="934"/>
      <c r="DT24" s="934"/>
      <c r="DU24" s="396"/>
    </row>
    <row r="25" spans="1:125" ht="12.75" hidden="1" customHeight="1">
      <c r="A25" s="14" t="s">
        <v>75</v>
      </c>
      <c r="B25" s="12">
        <f>155258.33+292400</f>
        <v>447658.32999999996</v>
      </c>
      <c r="C25" s="4">
        <v>153445.65</v>
      </c>
      <c r="D25" s="4">
        <v>109675.82</v>
      </c>
      <c r="E25" s="4">
        <f>-678893.96+805220.97</f>
        <v>126327.01000000001</v>
      </c>
      <c r="F25" s="12">
        <f>802881.94+805219.97</f>
        <v>1608101.91</v>
      </c>
      <c r="G25" s="4">
        <v>144889.46</v>
      </c>
      <c r="H25" s="4">
        <v>148380.47</v>
      </c>
      <c r="I25" s="4">
        <v>152114.60999999999</v>
      </c>
      <c r="J25" s="4">
        <v>170205.57</v>
      </c>
      <c r="K25" s="4">
        <f>K27</f>
        <v>164711.88</v>
      </c>
      <c r="L25" s="4">
        <v>149999.75</v>
      </c>
      <c r="M25" s="4">
        <v>133307.94</v>
      </c>
      <c r="N25" s="4">
        <v>118941.39</v>
      </c>
      <c r="O25" s="4">
        <v>157201.49</v>
      </c>
      <c r="P25" s="4"/>
      <c r="Q25" s="4"/>
      <c r="R25" s="4"/>
      <c r="S25" s="12">
        <v>1339752.56</v>
      </c>
      <c r="T25" s="4"/>
      <c r="U25" s="4"/>
      <c r="V25" s="4"/>
      <c r="W25" s="4"/>
      <c r="X25" s="4">
        <v>63852.33</v>
      </c>
      <c r="Y25" s="4"/>
      <c r="Z25" s="4"/>
      <c r="AA25" s="4"/>
      <c r="AB25" s="4"/>
      <c r="AC25" s="4"/>
      <c r="AD25" s="4"/>
      <c r="AE25" s="4"/>
      <c r="AF25" s="396">
        <v>63852.33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12">
        <v>0</v>
      </c>
      <c r="AT25" s="12"/>
      <c r="AU25" s="396">
        <v>0</v>
      </c>
      <c r="AV25" s="4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396">
        <v>0</v>
      </c>
      <c r="BI25" s="12"/>
      <c r="BJ25" s="12"/>
      <c r="BK25" s="12"/>
      <c r="BL25" s="12"/>
      <c r="BM25" s="12"/>
      <c r="BN25" s="12"/>
      <c r="BO25" s="12"/>
      <c r="BP25" s="12"/>
      <c r="BQ25" s="21"/>
      <c r="BR25" s="21"/>
      <c r="BS25" s="12"/>
      <c r="BT25" s="396"/>
      <c r="BU25" s="396">
        <f>AX25+AY25</f>
        <v>0</v>
      </c>
      <c r="BV25" s="396"/>
      <c r="BW25" s="12"/>
      <c r="BX25" s="12"/>
      <c r="BY25" s="396"/>
      <c r="BZ25" s="396"/>
      <c r="CA25" s="396"/>
      <c r="CB25" s="396"/>
      <c r="CC25" s="396"/>
      <c r="CD25" s="396"/>
      <c r="CE25" s="396"/>
      <c r="CF25" s="396"/>
      <c r="CG25" s="396"/>
      <c r="CH25" s="396">
        <f>BK25+BL25</f>
        <v>0</v>
      </c>
      <c r="CI25" s="396"/>
      <c r="CJ25" s="396"/>
      <c r="CK25" s="396"/>
      <c r="CL25" s="396"/>
      <c r="CM25" s="396"/>
      <c r="CN25" s="396"/>
      <c r="CO25" s="396"/>
      <c r="CP25" s="396"/>
      <c r="CQ25" s="396"/>
      <c r="CR25" s="396"/>
      <c r="CS25" s="396"/>
      <c r="CT25" s="396"/>
      <c r="CU25" s="396">
        <f>AX25+AY25</f>
        <v>0</v>
      </c>
      <c r="CV25" s="396"/>
      <c r="CW25" s="396"/>
      <c r="CX25" s="934"/>
      <c r="CY25" s="934"/>
      <c r="CZ25" s="934"/>
      <c r="DA25" s="934"/>
      <c r="DB25" s="767"/>
      <c r="DC25" s="767"/>
      <c r="DD25" s="934"/>
      <c r="DE25" s="934"/>
      <c r="DF25" s="934"/>
      <c r="DG25" s="934"/>
      <c r="DH25" s="396">
        <f>AZ25+BA25</f>
        <v>0</v>
      </c>
      <c r="DI25" s="934"/>
      <c r="DJ25" s="934"/>
      <c r="DK25" s="934"/>
      <c r="DL25" s="934"/>
      <c r="DM25" s="934"/>
      <c r="DN25" s="934"/>
      <c r="DO25" s="934"/>
      <c r="DP25" s="934"/>
      <c r="DQ25" s="934"/>
      <c r="DR25" s="934"/>
      <c r="DS25" s="934"/>
      <c r="DT25" s="934"/>
      <c r="DU25" s="396"/>
    </row>
    <row r="26" spans="1:125" ht="12.75" hidden="1" customHeight="1">
      <c r="A26" s="14" t="s">
        <v>76</v>
      </c>
      <c r="B26" s="12"/>
      <c r="C26" s="4">
        <v>0</v>
      </c>
      <c r="D26" s="4">
        <v>0</v>
      </c>
      <c r="E26" s="4"/>
      <c r="F26" s="12"/>
      <c r="G26" s="4">
        <v>0</v>
      </c>
      <c r="H26" s="4">
        <v>0</v>
      </c>
      <c r="I26" s="4">
        <v>0</v>
      </c>
      <c r="J26" s="4"/>
      <c r="K26" s="4"/>
      <c r="L26" s="4"/>
      <c r="M26" s="4">
        <v>0</v>
      </c>
      <c r="N26" s="4">
        <v>13893.08</v>
      </c>
      <c r="O26" s="4"/>
      <c r="P26" s="4"/>
      <c r="Q26" s="4"/>
      <c r="R26" s="4"/>
      <c r="S26" s="12">
        <v>13893.08</v>
      </c>
      <c r="T26" s="4"/>
      <c r="U26" s="4"/>
      <c r="V26" s="4"/>
      <c r="W26" s="4"/>
      <c r="X26" s="4">
        <v>0</v>
      </c>
      <c r="Y26" s="4"/>
      <c r="Z26" s="4"/>
      <c r="AA26" s="4"/>
      <c r="AB26" s="4"/>
      <c r="AC26" s="4"/>
      <c r="AD26" s="4"/>
      <c r="AE26" s="4"/>
      <c r="AF26" s="396">
        <v>0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12">
        <v>0</v>
      </c>
      <c r="AT26" s="12"/>
      <c r="AU26" s="396">
        <v>0</v>
      </c>
      <c r="AV26" s="4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396">
        <v>0</v>
      </c>
      <c r="BI26" s="12"/>
      <c r="BJ26" s="12"/>
      <c r="BK26" s="12"/>
      <c r="BL26" s="12"/>
      <c r="BM26" s="12"/>
      <c r="BN26" s="12"/>
      <c r="BO26" s="12"/>
      <c r="BP26" s="12"/>
      <c r="BQ26" s="21"/>
      <c r="BR26" s="21"/>
      <c r="BS26" s="12"/>
      <c r="BT26" s="396"/>
      <c r="BU26" s="396">
        <f>AX26+AY26</f>
        <v>0</v>
      </c>
      <c r="BV26" s="396"/>
      <c r="BW26" s="12"/>
      <c r="BX26" s="12"/>
      <c r="BY26" s="396"/>
      <c r="BZ26" s="396"/>
      <c r="CA26" s="396"/>
      <c r="CB26" s="396"/>
      <c r="CC26" s="396"/>
      <c r="CD26" s="396"/>
      <c r="CE26" s="396"/>
      <c r="CF26" s="396"/>
      <c r="CG26" s="396"/>
      <c r="CH26" s="396">
        <f>BK26+BL26</f>
        <v>0</v>
      </c>
      <c r="CI26" s="396"/>
      <c r="CJ26" s="396"/>
      <c r="CK26" s="396"/>
      <c r="CL26" s="396"/>
      <c r="CM26" s="396"/>
      <c r="CN26" s="396"/>
      <c r="CO26" s="396"/>
      <c r="CP26" s="396"/>
      <c r="CQ26" s="396"/>
      <c r="CR26" s="396"/>
      <c r="CS26" s="396"/>
      <c r="CT26" s="396"/>
      <c r="CU26" s="396">
        <f>AX26+AY26</f>
        <v>0</v>
      </c>
      <c r="CV26" s="396"/>
      <c r="CW26" s="396"/>
      <c r="CX26" s="934"/>
      <c r="CY26" s="934"/>
      <c r="CZ26" s="934"/>
      <c r="DA26" s="934"/>
      <c r="DB26" s="767"/>
      <c r="DC26" s="767"/>
      <c r="DD26" s="934"/>
      <c r="DE26" s="934"/>
      <c r="DF26" s="934"/>
      <c r="DG26" s="934"/>
      <c r="DH26" s="396">
        <f>AZ26+BA26</f>
        <v>0</v>
      </c>
      <c r="DI26" s="934"/>
      <c r="DJ26" s="934"/>
      <c r="DK26" s="934"/>
      <c r="DL26" s="934"/>
      <c r="DM26" s="934"/>
      <c r="DN26" s="934"/>
      <c r="DO26" s="934"/>
      <c r="DP26" s="934"/>
      <c r="DQ26" s="934"/>
      <c r="DR26" s="934"/>
      <c r="DS26" s="934"/>
      <c r="DT26" s="934"/>
      <c r="DU26" s="396"/>
    </row>
    <row r="27" spans="1:125" ht="12.75" customHeight="1">
      <c r="A27" s="17" t="s">
        <v>667</v>
      </c>
      <c r="B27" s="18">
        <f>SUM(B25:B26)</f>
        <v>447658.32999999996</v>
      </c>
      <c r="C27" s="19">
        <f>SUM(C25:C26)</f>
        <v>153445.65</v>
      </c>
      <c r="D27" s="19">
        <f>SUM(D25:D26)</f>
        <v>109675.82</v>
      </c>
      <c r="E27" s="19">
        <f>SUM(E25:E26)</f>
        <v>126327.01000000001</v>
      </c>
      <c r="F27" s="18">
        <f>SUM(F25:F26)</f>
        <v>1608101.91</v>
      </c>
      <c r="G27" s="19">
        <v>144889.46</v>
      </c>
      <c r="H27" s="19">
        <v>148380.47</v>
      </c>
      <c r="I27" s="19">
        <f>SUM(I25)</f>
        <v>152114.60999999999</v>
      </c>
      <c r="J27" s="19">
        <f>SUM(J25)</f>
        <v>170205.57</v>
      </c>
      <c r="K27" s="19">
        <v>164711.88</v>
      </c>
      <c r="L27" s="19">
        <f>SUM(L24:L26)</f>
        <v>149999.75</v>
      </c>
      <c r="M27" s="19">
        <f>SUM(M24:M26)</f>
        <v>120024.62</v>
      </c>
      <c r="N27" s="19">
        <f>SUM(N24:N26)</f>
        <v>132834.47</v>
      </c>
      <c r="O27" s="19">
        <f>SUM(O24:O26)</f>
        <v>157201.49</v>
      </c>
      <c r="P27" s="19">
        <v>219400.02</v>
      </c>
      <c r="Q27" s="19">
        <v>183902.07999999999</v>
      </c>
      <c r="R27" s="19">
        <v>40602.42</v>
      </c>
      <c r="S27" s="18">
        <v>1784267.02</v>
      </c>
      <c r="T27" s="20">
        <v>56589.38</v>
      </c>
      <c r="U27" s="19">
        <v>69493</v>
      </c>
      <c r="V27" s="19">
        <v>122213.81</v>
      </c>
      <c r="W27" s="19">
        <v>47577.37</v>
      </c>
      <c r="X27" s="19">
        <f>SUM(X24:X26)</f>
        <v>61852.33</v>
      </c>
      <c r="Y27" s="19">
        <v>184180.48000000001</v>
      </c>
      <c r="Z27" s="19">
        <v>148020.35</v>
      </c>
      <c r="AA27" s="19">
        <v>149280.6</v>
      </c>
      <c r="AB27" s="19">
        <v>340215.34</v>
      </c>
      <c r="AC27" s="19">
        <v>302147.57</v>
      </c>
      <c r="AD27" s="19">
        <v>138348.65</v>
      </c>
      <c r="AE27" s="19">
        <v>361059.64</v>
      </c>
      <c r="AF27" s="22">
        <v>1980978.52</v>
      </c>
      <c r="AG27" s="19">
        <v>179876.68</v>
      </c>
      <c r="AH27" s="19">
        <v>106580.96</v>
      </c>
      <c r="AI27" s="19">
        <v>299597.62</v>
      </c>
      <c r="AJ27" s="19">
        <v>271085.5</v>
      </c>
      <c r="AK27" s="19">
        <v>308139.93</v>
      </c>
      <c r="AL27" s="19">
        <v>358637.46</v>
      </c>
      <c r="AM27" s="19">
        <v>491334.5</v>
      </c>
      <c r="AN27" s="19">
        <v>576970.53</v>
      </c>
      <c r="AO27" s="19">
        <v>615552.06000000006</v>
      </c>
      <c r="AP27" s="19">
        <v>778503.51</v>
      </c>
      <c r="AQ27" s="19">
        <v>640191.21</v>
      </c>
      <c r="AR27" s="19">
        <v>676046.12</v>
      </c>
      <c r="AS27" s="18">
        <v>5302516.08</v>
      </c>
      <c r="AT27" s="18"/>
      <c r="AU27" s="22">
        <v>5302516.08</v>
      </c>
      <c r="AV27" s="19">
        <v>3551871.31</v>
      </c>
      <c r="AW27" s="18">
        <v>4240585.0599999996</v>
      </c>
      <c r="AX27" s="18">
        <v>3335482.63</v>
      </c>
      <c r="AY27" s="18">
        <v>2195810.0499999998</v>
      </c>
      <c r="AZ27" s="18">
        <v>1844635.36</v>
      </c>
      <c r="BA27" s="18">
        <v>391389.83</v>
      </c>
      <c r="BB27" s="18">
        <v>558275.99</v>
      </c>
      <c r="BC27" s="18">
        <v>400813.53</v>
      </c>
      <c r="BD27" s="18">
        <v>339820.6</v>
      </c>
      <c r="BE27" s="18">
        <v>932271.93</v>
      </c>
      <c r="BF27" s="18">
        <v>1013947.43</v>
      </c>
      <c r="BG27" s="18">
        <v>1025001.25</v>
      </c>
      <c r="BH27" s="22">
        <v>19829904.969999999</v>
      </c>
      <c r="BI27" s="18">
        <v>970793.34</v>
      </c>
      <c r="BJ27" s="18">
        <v>1046312.27</v>
      </c>
      <c r="BK27" s="18">
        <v>1219502.79</v>
      </c>
      <c r="BL27" s="18">
        <v>771882.63</v>
      </c>
      <c r="BM27" s="18">
        <v>1186052.78</v>
      </c>
      <c r="BN27" s="18">
        <v>2003127.18</v>
      </c>
      <c r="BO27" s="18">
        <v>1855119.15</v>
      </c>
      <c r="BP27" s="18">
        <v>2823572.9</v>
      </c>
      <c r="BQ27" s="22">
        <v>2766723</v>
      </c>
      <c r="BR27" s="22">
        <v>2617642.31</v>
      </c>
      <c r="BS27" s="18">
        <v>3839489.09</v>
      </c>
      <c r="BT27" s="397">
        <v>4885294.0999999996</v>
      </c>
      <c r="BU27" s="22">
        <f>SUM(BI27:BT27)</f>
        <v>25985511.539999999</v>
      </c>
      <c r="BV27" s="397">
        <v>3939284.04</v>
      </c>
      <c r="BW27" s="18">
        <v>2858473.51</v>
      </c>
      <c r="BX27" s="494">
        <f>2231829-183003</f>
        <v>2048826</v>
      </c>
      <c r="BY27" s="494">
        <v>1913351.28</v>
      </c>
      <c r="BZ27" s="534">
        <v>3548712.99</v>
      </c>
      <c r="CA27" s="534">
        <v>3019990.03</v>
      </c>
      <c r="CB27" s="534">
        <v>2210237</v>
      </c>
      <c r="CC27" s="534">
        <v>2517442</v>
      </c>
      <c r="CD27" s="534">
        <v>2030772</v>
      </c>
      <c r="CE27" s="22">
        <v>2972999</v>
      </c>
      <c r="CF27" s="22">
        <v>5090145</v>
      </c>
      <c r="CG27" s="22">
        <v>5203966</v>
      </c>
      <c r="CH27" s="22">
        <f>SUM(BV27:CG27)</f>
        <v>37354198.850000001</v>
      </c>
      <c r="CI27" s="22">
        <v>6002804</v>
      </c>
      <c r="CJ27" s="22">
        <v>5697624.1399999997</v>
      </c>
      <c r="CK27" s="22">
        <v>5804345</v>
      </c>
      <c r="CL27" s="22">
        <v>6442861</v>
      </c>
      <c r="CM27" s="22">
        <v>7110137.6600000001</v>
      </c>
      <c r="CN27" s="22">
        <v>8114529.9199999999</v>
      </c>
      <c r="CO27" s="22">
        <v>7083430.4400000004</v>
      </c>
      <c r="CP27" s="22">
        <v>6787205.1500000004</v>
      </c>
      <c r="CQ27" s="22">
        <v>7918572.2300000004</v>
      </c>
      <c r="CR27" s="22">
        <v>9535123.9500000011</v>
      </c>
      <c r="CS27" s="22">
        <v>12233977.33</v>
      </c>
      <c r="CT27" s="22">
        <v>51227944.279999994</v>
      </c>
      <c r="CU27" s="22">
        <f>SUM(CI27:CT27)</f>
        <v>133958555.09999999</v>
      </c>
      <c r="CV27" s="22">
        <f>CV28-CV29</f>
        <v>20189757.710000001</v>
      </c>
      <c r="CW27" s="22">
        <f t="shared" ref="CW27:DN27" si="14">CW28-CW29</f>
        <v>13569168.810000001</v>
      </c>
      <c r="CX27" s="22">
        <f t="shared" si="14"/>
        <v>19610516.800000001</v>
      </c>
      <c r="CY27" s="22">
        <f t="shared" si="14"/>
        <v>19232876.329999998</v>
      </c>
      <c r="CZ27" s="22">
        <f t="shared" si="14"/>
        <v>17071962.5</v>
      </c>
      <c r="DA27" s="22">
        <f t="shared" si="14"/>
        <v>17643674.75</v>
      </c>
      <c r="DB27" s="22">
        <f t="shared" si="14"/>
        <v>18499465.82</v>
      </c>
      <c r="DC27" s="22">
        <f t="shared" si="14"/>
        <v>20772869.609999999</v>
      </c>
      <c r="DD27" s="22">
        <f t="shared" si="14"/>
        <v>20087162.469999999</v>
      </c>
      <c r="DE27" s="22">
        <f t="shared" si="14"/>
        <v>24231702.719999999</v>
      </c>
      <c r="DF27" s="22">
        <f t="shared" si="14"/>
        <v>25343058.620000001</v>
      </c>
      <c r="DG27" s="22">
        <f t="shared" si="14"/>
        <v>-12029929.34</v>
      </c>
      <c r="DH27" s="22">
        <f t="shared" si="14"/>
        <v>235711151.80000001</v>
      </c>
      <c r="DI27" s="22">
        <f t="shared" si="14"/>
        <v>18837585.399999999</v>
      </c>
      <c r="DJ27" s="22">
        <f t="shared" si="14"/>
        <v>20182709.460000001</v>
      </c>
      <c r="DK27" s="22">
        <f t="shared" si="14"/>
        <v>14841644.6</v>
      </c>
      <c r="DL27" s="22">
        <f t="shared" si="14"/>
        <v>16768215.140000001</v>
      </c>
      <c r="DM27" s="22">
        <f t="shared" si="14"/>
        <v>10353835.02</v>
      </c>
      <c r="DN27" s="22">
        <f t="shared" si="14"/>
        <v>17290249.5</v>
      </c>
      <c r="DO27" s="22">
        <f>DO28-DO29</f>
        <v>12393072.68</v>
      </c>
      <c r="DP27" s="22">
        <f>DP28-DP29</f>
        <v>12291834.51</v>
      </c>
      <c r="DQ27" s="22">
        <f>DQ28-DQ29</f>
        <v>19373233.780000001</v>
      </c>
      <c r="DR27" s="22">
        <f>DR28-DR29</f>
        <v>9788800.6100000013</v>
      </c>
      <c r="DS27" s="935"/>
      <c r="DT27" s="935"/>
      <c r="DU27" s="397">
        <f>SUM(DI27:DT27)</f>
        <v>152121180.69999999</v>
      </c>
    </row>
    <row r="28" spans="1:125" s="613" customFormat="1" ht="12.75" hidden="1" customHeight="1" outlineLevel="1">
      <c r="A28" s="14" t="s">
        <v>846</v>
      </c>
      <c r="B28" s="396"/>
      <c r="C28" s="456"/>
      <c r="D28" s="456"/>
      <c r="E28" s="456"/>
      <c r="F28" s="396"/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396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30"/>
      <c r="AG28" s="456"/>
      <c r="AH28" s="456"/>
      <c r="AI28" s="456"/>
      <c r="AJ28" s="456"/>
      <c r="AK28" s="456"/>
      <c r="AL28" s="456"/>
      <c r="AM28" s="456"/>
      <c r="AN28" s="456"/>
      <c r="AO28" s="456"/>
      <c r="AP28" s="456"/>
      <c r="AQ28" s="456"/>
      <c r="AR28" s="456"/>
      <c r="AS28" s="396"/>
      <c r="AT28" s="396"/>
      <c r="AU28" s="430"/>
      <c r="AV28" s="456"/>
      <c r="AW28" s="396"/>
      <c r="AX28" s="396"/>
      <c r="AY28" s="396"/>
      <c r="AZ28" s="396"/>
      <c r="BA28" s="396"/>
      <c r="BB28" s="396"/>
      <c r="BC28" s="396"/>
      <c r="BD28" s="396"/>
      <c r="BE28" s="396"/>
      <c r="BF28" s="396"/>
      <c r="BG28" s="396"/>
      <c r="BH28" s="430"/>
      <c r="BI28" s="396"/>
      <c r="BJ28" s="396"/>
      <c r="BK28" s="396"/>
      <c r="BL28" s="396"/>
      <c r="BM28" s="396"/>
      <c r="BN28" s="396"/>
      <c r="BO28" s="396"/>
      <c r="BP28" s="396"/>
      <c r="BQ28" s="430"/>
      <c r="BR28" s="430"/>
      <c r="BS28" s="396"/>
      <c r="BT28" s="396"/>
      <c r="BU28" s="430"/>
      <c r="BV28" s="396"/>
      <c r="BW28" s="396"/>
      <c r="BX28" s="913"/>
      <c r="BY28" s="913"/>
      <c r="BZ28" s="430"/>
      <c r="CA28" s="430"/>
      <c r="CB28" s="430"/>
      <c r="CC28" s="430"/>
      <c r="CD28" s="430"/>
      <c r="CE28" s="430"/>
      <c r="CF28" s="430"/>
      <c r="CG28" s="430"/>
      <c r="CH28" s="430"/>
      <c r="CI28" s="430"/>
      <c r="CJ28" s="430"/>
      <c r="CK28" s="430"/>
      <c r="CL28" s="430"/>
      <c r="CM28" s="430"/>
      <c r="CN28" s="430"/>
      <c r="CO28" s="430"/>
      <c r="CP28" s="430"/>
      <c r="CQ28" s="430"/>
      <c r="CR28" s="430"/>
      <c r="CS28" s="430"/>
      <c r="CT28" s="430"/>
      <c r="CU28" s="430"/>
      <c r="CV28" s="430">
        <v>20459175.710000001</v>
      </c>
      <c r="CW28" s="430">
        <v>13838730</v>
      </c>
      <c r="CX28" s="767">
        <v>19818534</v>
      </c>
      <c r="CY28" s="767">
        <v>19729726</v>
      </c>
      <c r="CZ28" s="767">
        <v>17477902</v>
      </c>
      <c r="DA28" s="767">
        <v>18024607</v>
      </c>
      <c r="DB28" s="767">
        <v>18816372</v>
      </c>
      <c r="DC28" s="767">
        <v>21072307</v>
      </c>
      <c r="DD28" s="767">
        <v>20315855</v>
      </c>
      <c r="DE28" s="767">
        <v>24754076</v>
      </c>
      <c r="DF28" s="767">
        <v>25697777</v>
      </c>
      <c r="DG28" s="767">
        <v>-11788479</v>
      </c>
      <c r="DH28" s="430">
        <v>239705447.71000001</v>
      </c>
      <c r="DI28" s="767">
        <v>19254241</v>
      </c>
      <c r="DJ28" s="767">
        <v>20551603</v>
      </c>
      <c r="DK28" s="767">
        <v>17787253</v>
      </c>
      <c r="DL28" s="767">
        <v>17601693</v>
      </c>
      <c r="DM28" s="767">
        <v>11549100</v>
      </c>
      <c r="DN28" s="767">
        <v>17966573</v>
      </c>
      <c r="DO28" s="767">
        <v>13616641</v>
      </c>
      <c r="DP28" s="767">
        <v>13712365</v>
      </c>
      <c r="DQ28" s="767">
        <v>20330617</v>
      </c>
      <c r="DR28" s="767">
        <v>10279097.380000001</v>
      </c>
      <c r="DS28" s="767"/>
      <c r="DT28" s="767"/>
      <c r="DU28" s="396">
        <f>SUM(DI28:DT28)</f>
        <v>162649183.38</v>
      </c>
    </row>
    <row r="29" spans="1:125" ht="12.75" hidden="1" customHeight="1" outlineLevel="1">
      <c r="A29" s="14" t="s">
        <v>847</v>
      </c>
      <c r="B29" s="762"/>
      <c r="C29" s="434"/>
      <c r="D29" s="434"/>
      <c r="E29" s="434"/>
      <c r="F29" s="762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4"/>
      <c r="S29" s="762"/>
      <c r="T29" s="434"/>
      <c r="U29" s="434"/>
      <c r="V29" s="434"/>
      <c r="W29" s="434"/>
      <c r="X29" s="434"/>
      <c r="Y29" s="434"/>
      <c r="Z29" s="434"/>
      <c r="AA29" s="434"/>
      <c r="AB29" s="434"/>
      <c r="AC29" s="434"/>
      <c r="AD29" s="434"/>
      <c r="AE29" s="434"/>
      <c r="AF29" s="902"/>
      <c r="AG29" s="434"/>
      <c r="AH29" s="434"/>
      <c r="AI29" s="434"/>
      <c r="AJ29" s="434"/>
      <c r="AK29" s="434"/>
      <c r="AL29" s="434"/>
      <c r="AM29" s="434"/>
      <c r="AN29" s="434"/>
      <c r="AO29" s="434"/>
      <c r="AP29" s="434"/>
      <c r="AQ29" s="434"/>
      <c r="AR29" s="434"/>
      <c r="AS29" s="762"/>
      <c r="AT29" s="762"/>
      <c r="AU29" s="902"/>
      <c r="AV29" s="434"/>
      <c r="AW29" s="762"/>
      <c r="AX29" s="762"/>
      <c r="AY29" s="762"/>
      <c r="AZ29" s="762"/>
      <c r="BA29" s="762"/>
      <c r="BB29" s="762"/>
      <c r="BC29" s="762"/>
      <c r="BD29" s="762"/>
      <c r="BE29" s="762"/>
      <c r="BF29" s="762"/>
      <c r="BG29" s="762"/>
      <c r="BH29" s="902"/>
      <c r="BI29" s="762"/>
      <c r="BJ29" s="762"/>
      <c r="BK29" s="762"/>
      <c r="BL29" s="762"/>
      <c r="BM29" s="762"/>
      <c r="BN29" s="762"/>
      <c r="BO29" s="762"/>
      <c r="BP29" s="762"/>
      <c r="BQ29" s="902"/>
      <c r="BR29" s="902"/>
      <c r="BS29" s="762"/>
      <c r="BT29" s="762"/>
      <c r="BU29" s="902"/>
      <c r="BV29" s="762"/>
      <c r="BW29" s="762"/>
      <c r="BX29" s="1059"/>
      <c r="BY29" s="1059"/>
      <c r="BZ29" s="902"/>
      <c r="CA29" s="902"/>
      <c r="CB29" s="902"/>
      <c r="CC29" s="902"/>
      <c r="CD29" s="902"/>
      <c r="CE29" s="902"/>
      <c r="CF29" s="902"/>
      <c r="CG29" s="902"/>
      <c r="CH29" s="902"/>
      <c r="CI29" s="902"/>
      <c r="CJ29" s="902"/>
      <c r="CK29" s="902"/>
      <c r="CL29" s="902"/>
      <c r="CM29" s="902"/>
      <c r="CN29" s="902"/>
      <c r="CO29" s="902"/>
      <c r="CP29" s="902"/>
      <c r="CQ29" s="902"/>
      <c r="CR29" s="902"/>
      <c r="CS29" s="902"/>
      <c r="CT29" s="902"/>
      <c r="CU29" s="902"/>
      <c r="CV29" s="430">
        <v>269418</v>
      </c>
      <c r="CW29" s="430">
        <v>269561.19</v>
      </c>
      <c r="CX29" s="767">
        <v>208017.2</v>
      </c>
      <c r="CY29" s="767">
        <v>496849.67</v>
      </c>
      <c r="CZ29" s="767">
        <v>405939.5</v>
      </c>
      <c r="DA29" s="767">
        <v>380932.25</v>
      </c>
      <c r="DB29" s="767">
        <v>316906.18</v>
      </c>
      <c r="DC29" s="767">
        <v>299437.39</v>
      </c>
      <c r="DD29" s="934">
        <v>228692.53</v>
      </c>
      <c r="DE29" s="934">
        <v>522373.28</v>
      </c>
      <c r="DF29" s="934">
        <v>354718.38</v>
      </c>
      <c r="DG29" s="934">
        <v>241450.34</v>
      </c>
      <c r="DH29" s="396">
        <f>SUM(CV29:DG29)</f>
        <v>3994295.9099999992</v>
      </c>
      <c r="DI29" s="934">
        <v>416655.6</v>
      </c>
      <c r="DJ29" s="934">
        <v>368893.54</v>
      </c>
      <c r="DK29" s="934">
        <v>2945608.4</v>
      </c>
      <c r="DL29" s="934">
        <v>833477.86</v>
      </c>
      <c r="DM29" s="767">
        <v>1195264.98</v>
      </c>
      <c r="DN29" s="767">
        <v>676323.5</v>
      </c>
      <c r="DO29" s="767">
        <v>1223568.32</v>
      </c>
      <c r="DP29" s="767">
        <v>1420530.49</v>
      </c>
      <c r="DQ29" s="767">
        <v>957383.22</v>
      </c>
      <c r="DR29" s="767">
        <v>490296.77</v>
      </c>
      <c r="DS29" s="967"/>
      <c r="DT29" s="967"/>
      <c r="DU29" s="396">
        <f>SUM(DI29:DQ29)</f>
        <v>10037705.910000002</v>
      </c>
    </row>
    <row r="30" spans="1:125" ht="12.75" customHeight="1" collapsed="1">
      <c r="A30" s="539"/>
      <c r="B30" s="762"/>
      <c r="C30" s="434"/>
      <c r="D30" s="434"/>
      <c r="E30" s="434"/>
      <c r="F30" s="762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4"/>
      <c r="S30" s="762"/>
      <c r="T30" s="434"/>
      <c r="U30" s="434"/>
      <c r="V30" s="434"/>
      <c r="W30" s="434"/>
      <c r="X30" s="434"/>
      <c r="Y30" s="434"/>
      <c r="Z30" s="434"/>
      <c r="AA30" s="434"/>
      <c r="AB30" s="434"/>
      <c r="AC30" s="434"/>
      <c r="AD30" s="434"/>
      <c r="AE30" s="434"/>
      <c r="AF30" s="902"/>
      <c r="AG30" s="434"/>
      <c r="AH30" s="434"/>
      <c r="AI30" s="434"/>
      <c r="AJ30" s="434"/>
      <c r="AK30" s="434"/>
      <c r="AL30" s="434"/>
      <c r="AM30" s="434"/>
      <c r="AN30" s="434"/>
      <c r="AO30" s="434"/>
      <c r="AP30" s="434"/>
      <c r="AQ30" s="434"/>
      <c r="AR30" s="434"/>
      <c r="AS30" s="762"/>
      <c r="AT30" s="762"/>
      <c r="AU30" s="902"/>
      <c r="AV30" s="434"/>
      <c r="AW30" s="762"/>
      <c r="AX30" s="762"/>
      <c r="AY30" s="762"/>
      <c r="AZ30" s="762"/>
      <c r="BA30" s="762"/>
      <c r="BB30" s="762"/>
      <c r="BC30" s="762"/>
      <c r="BD30" s="762"/>
      <c r="BE30" s="762"/>
      <c r="BF30" s="762"/>
      <c r="BG30" s="762"/>
      <c r="BH30" s="902"/>
      <c r="BI30" s="762"/>
      <c r="BJ30" s="762"/>
      <c r="BK30" s="762"/>
      <c r="BL30" s="762"/>
      <c r="BM30" s="762"/>
      <c r="BN30" s="762"/>
      <c r="BO30" s="762"/>
      <c r="BP30" s="762"/>
      <c r="BQ30" s="902"/>
      <c r="BR30" s="902"/>
      <c r="BS30" s="762"/>
      <c r="BT30" s="762"/>
      <c r="BU30" s="902"/>
      <c r="BV30" s="762"/>
      <c r="BW30" s="762"/>
      <c r="BX30" s="1059"/>
      <c r="BY30" s="1059"/>
      <c r="BZ30" s="902"/>
      <c r="CA30" s="902"/>
      <c r="CB30" s="902"/>
      <c r="CC30" s="902"/>
      <c r="CD30" s="902"/>
      <c r="CE30" s="902"/>
      <c r="CF30" s="902"/>
      <c r="CG30" s="902"/>
      <c r="CH30" s="902"/>
      <c r="CI30" s="902"/>
      <c r="CJ30" s="902"/>
      <c r="CK30" s="902"/>
      <c r="CL30" s="902"/>
      <c r="CM30" s="902"/>
      <c r="CN30" s="902"/>
      <c r="CO30" s="902"/>
      <c r="CP30" s="902"/>
      <c r="CQ30" s="902"/>
      <c r="CR30" s="902"/>
      <c r="CS30" s="902"/>
      <c r="CT30" s="902"/>
      <c r="CU30" s="902"/>
      <c r="CV30" s="902"/>
      <c r="CW30" s="902"/>
      <c r="CX30" s="967"/>
      <c r="CY30" s="967"/>
      <c r="CZ30" s="967"/>
      <c r="DA30" s="967"/>
      <c r="DB30" s="967"/>
      <c r="DC30" s="967"/>
      <c r="DD30" s="967"/>
      <c r="DE30" s="967"/>
      <c r="DF30" s="967"/>
      <c r="DG30" s="967"/>
      <c r="DH30" s="902"/>
      <c r="DI30" s="967"/>
      <c r="DJ30" s="967"/>
      <c r="DK30" s="967"/>
      <c r="DL30" s="967"/>
      <c r="DM30" s="967"/>
      <c r="DN30" s="967"/>
      <c r="DO30" s="967"/>
      <c r="DP30" s="967"/>
      <c r="DQ30" s="967"/>
      <c r="DR30" s="967"/>
      <c r="DS30" s="967"/>
      <c r="DT30" s="967"/>
      <c r="DU30" s="762"/>
    </row>
    <row r="31" spans="1:125" ht="7.5" customHeight="1">
      <c r="A31" s="2"/>
      <c r="B31" s="12"/>
      <c r="C31" s="4"/>
      <c r="D31" s="4"/>
      <c r="E31" s="4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2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396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12"/>
      <c r="AT31" s="12"/>
      <c r="AU31" s="396"/>
      <c r="AV31" s="4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396"/>
      <c r="BI31" s="12"/>
      <c r="BJ31" s="12"/>
      <c r="BK31" s="12"/>
      <c r="BL31" s="12"/>
      <c r="BM31" s="12"/>
      <c r="BN31" s="12"/>
      <c r="BO31" s="12"/>
      <c r="BP31" s="12"/>
      <c r="BQ31" s="15"/>
      <c r="BR31" s="15"/>
      <c r="BS31" s="12"/>
      <c r="BT31" s="396"/>
      <c r="BU31" s="396"/>
      <c r="BV31" s="396"/>
      <c r="BW31" s="12"/>
      <c r="BX31" s="12"/>
      <c r="BY31" s="396"/>
      <c r="BZ31" s="396"/>
      <c r="CA31" s="396"/>
      <c r="CB31" s="396"/>
      <c r="CC31" s="396"/>
      <c r="CD31" s="396"/>
      <c r="CE31" s="396"/>
      <c r="CF31" s="396"/>
      <c r="CG31" s="396"/>
      <c r="CH31" s="396"/>
      <c r="CI31" s="396"/>
      <c r="CJ31" s="396"/>
      <c r="CK31" s="396"/>
      <c r="CL31" s="396"/>
      <c r="CM31" s="396"/>
      <c r="CN31" s="396"/>
      <c r="CO31" s="396"/>
      <c r="CP31" s="396"/>
      <c r="CQ31" s="396"/>
      <c r="CR31" s="396"/>
      <c r="CS31" s="396"/>
      <c r="CT31" s="396"/>
      <c r="CU31" s="396"/>
      <c r="CV31" s="396"/>
      <c r="CW31" s="396"/>
      <c r="CX31" s="934"/>
      <c r="CY31" s="934"/>
      <c r="CZ31" s="934"/>
      <c r="DA31" s="934"/>
      <c r="DB31" s="767"/>
      <c r="DC31" s="767"/>
      <c r="DD31" s="934"/>
      <c r="DE31" s="934"/>
      <c r="DF31" s="934"/>
      <c r="DG31" s="934"/>
      <c r="DH31" s="396"/>
      <c r="DI31" s="934"/>
      <c r="DJ31" s="934"/>
      <c r="DK31" s="934"/>
      <c r="DL31" s="934"/>
      <c r="DM31" s="934"/>
      <c r="DN31" s="934"/>
      <c r="DO31" s="934"/>
      <c r="DP31" s="934"/>
      <c r="DQ31" s="934"/>
      <c r="DR31" s="934"/>
      <c r="DS31" s="934"/>
      <c r="DT31" s="934"/>
      <c r="DU31" s="396"/>
    </row>
    <row r="32" spans="1:125" ht="12.75" customHeight="1">
      <c r="A32" s="13" t="s">
        <v>77</v>
      </c>
      <c r="B32" s="12"/>
      <c r="C32" s="4"/>
      <c r="D32" s="4"/>
      <c r="E32" s="4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2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396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12"/>
      <c r="AT32" s="12"/>
      <c r="AU32" s="396"/>
      <c r="AV32" s="4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396"/>
      <c r="BI32" s="12"/>
      <c r="BJ32" s="12"/>
      <c r="BK32" s="12"/>
      <c r="BL32" s="12"/>
      <c r="BM32" s="12"/>
      <c r="BN32" s="12"/>
      <c r="BO32" s="12"/>
      <c r="BP32" s="12"/>
      <c r="BQ32" s="15"/>
      <c r="BR32" s="15"/>
      <c r="BS32" s="12"/>
      <c r="BT32" s="396"/>
      <c r="BU32" s="396"/>
      <c r="BV32" s="396"/>
      <c r="BW32" s="12"/>
      <c r="BX32" s="12"/>
      <c r="BY32" s="396"/>
      <c r="BZ32" s="396"/>
      <c r="CA32" s="396"/>
      <c r="CB32" s="396"/>
      <c r="CC32" s="396"/>
      <c r="CD32" s="396"/>
      <c r="CE32" s="396"/>
      <c r="CF32" s="396"/>
      <c r="CG32" s="396"/>
      <c r="CH32" s="396"/>
      <c r="CI32" s="396"/>
      <c r="CJ32" s="396"/>
      <c r="CK32" s="396"/>
      <c r="CL32" s="396"/>
      <c r="CM32" s="396"/>
      <c r="CN32" s="396"/>
      <c r="CO32" s="396"/>
      <c r="CP32" s="396"/>
      <c r="CQ32" s="396"/>
      <c r="CR32" s="396"/>
      <c r="CS32" s="396"/>
      <c r="CT32" s="396"/>
      <c r="CU32" s="396"/>
      <c r="CV32" s="396"/>
      <c r="CW32" s="396"/>
      <c r="CX32" s="934"/>
      <c r="CY32" s="934"/>
      <c r="CZ32" s="934"/>
      <c r="DA32" s="934"/>
      <c r="DB32" s="767"/>
      <c r="DC32" s="767"/>
      <c r="DD32" s="934"/>
      <c r="DE32" s="934"/>
      <c r="DF32" s="934"/>
      <c r="DG32" s="934"/>
      <c r="DH32" s="396"/>
      <c r="DI32" s="934"/>
      <c r="DJ32" s="934"/>
      <c r="DK32" s="934"/>
      <c r="DL32" s="934"/>
      <c r="DM32" s="934"/>
      <c r="DN32" s="934"/>
      <c r="DO32" s="934"/>
      <c r="DP32" s="934"/>
      <c r="DQ32" s="934"/>
      <c r="DR32" s="934"/>
      <c r="DS32" s="934"/>
      <c r="DT32" s="934"/>
      <c r="DU32" s="396"/>
    </row>
    <row r="33" spans="1:125" ht="12.75" hidden="1" customHeight="1">
      <c r="A33" s="14" t="s">
        <v>78</v>
      </c>
      <c r="B33" s="12">
        <v>2801.79</v>
      </c>
      <c r="C33" s="4">
        <v>487.62</v>
      </c>
      <c r="D33" s="4">
        <v>451.1</v>
      </c>
      <c r="E33" s="4">
        <v>188.64</v>
      </c>
      <c r="F33" s="12">
        <v>5862.02</v>
      </c>
      <c r="G33" s="4">
        <v>813</v>
      </c>
      <c r="H33" s="4">
        <v>548.14</v>
      </c>
      <c r="I33" s="4">
        <v>563</v>
      </c>
      <c r="J33" s="4">
        <v>536.99</v>
      </c>
      <c r="K33" s="4">
        <v>549.20000000000005</v>
      </c>
      <c r="L33" s="4">
        <v>558.86</v>
      </c>
      <c r="M33" s="4">
        <v>531.04999999999995</v>
      </c>
      <c r="N33" s="4">
        <v>572.32000000000005</v>
      </c>
      <c r="O33" s="4">
        <v>591.79999999999995</v>
      </c>
      <c r="P33" s="4">
        <v>578.67999999999995</v>
      </c>
      <c r="Q33" s="4">
        <v>522.85</v>
      </c>
      <c r="R33" s="4">
        <v>443.2</v>
      </c>
      <c r="S33" s="12">
        <v>6809.03</v>
      </c>
      <c r="T33" s="4">
        <v>503.44</v>
      </c>
      <c r="U33" s="4">
        <v>496</v>
      </c>
      <c r="V33" s="4">
        <v>531.14</v>
      </c>
      <c r="W33" s="4">
        <v>540.92999999999995</v>
      </c>
      <c r="X33" s="4">
        <v>564.16</v>
      </c>
      <c r="Y33" s="4">
        <v>613.72</v>
      </c>
      <c r="Z33" s="4">
        <v>612.71</v>
      </c>
      <c r="AA33" s="4">
        <v>308.41000000000003</v>
      </c>
      <c r="AB33" s="4">
        <v>293.82</v>
      </c>
      <c r="AC33" s="4">
        <v>304.08999999999997</v>
      </c>
      <c r="AD33" s="4">
        <v>291.87</v>
      </c>
      <c r="AE33" s="4">
        <v>271.33999999999997</v>
      </c>
      <c r="AF33" s="396">
        <v>5331.6299999999992</v>
      </c>
      <c r="AG33" s="4">
        <v>306.39999999999998</v>
      </c>
      <c r="AH33" s="4">
        <v>287.01</v>
      </c>
      <c r="AI33" s="4">
        <v>302.77</v>
      </c>
      <c r="AJ33" s="4">
        <v>304.97000000000003</v>
      </c>
      <c r="AK33" s="4">
        <v>294.35000000000002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12">
        <v>1495.5</v>
      </c>
      <c r="AT33" s="12"/>
      <c r="AU33" s="396">
        <v>1495.5</v>
      </c>
      <c r="AV33" s="23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396">
        <v>0</v>
      </c>
      <c r="BI33" s="12">
        <v>0</v>
      </c>
      <c r="BJ33" s="12">
        <v>0</v>
      </c>
      <c r="BK33" s="12"/>
      <c r="BL33" s="12"/>
      <c r="BM33" s="12"/>
      <c r="BN33" s="12"/>
      <c r="BO33" s="12"/>
      <c r="BP33" s="12"/>
      <c r="BQ33" s="21"/>
      <c r="BR33" s="21"/>
      <c r="BS33" s="12"/>
      <c r="BT33" s="396"/>
      <c r="BU33" s="396">
        <f>SUM(BI33:BJ33)</f>
        <v>0</v>
      </c>
      <c r="BV33" s="396"/>
      <c r="BW33" s="12"/>
      <c r="BX33" s="12"/>
      <c r="BY33" s="396"/>
      <c r="BZ33" s="396"/>
      <c r="CA33" s="396"/>
      <c r="CB33" s="396"/>
      <c r="CC33" s="396"/>
      <c r="CD33" s="396"/>
      <c r="CE33" s="396"/>
      <c r="CF33" s="396"/>
      <c r="CG33" s="396"/>
      <c r="CH33" s="396">
        <f>SUM(BV33:BW33)</f>
        <v>0</v>
      </c>
      <c r="CI33" s="396"/>
      <c r="CJ33" s="396"/>
      <c r="CK33" s="396"/>
      <c r="CL33" s="396"/>
      <c r="CM33" s="396"/>
      <c r="CN33" s="396"/>
      <c r="CO33" s="396"/>
      <c r="CP33" s="396"/>
      <c r="CQ33" s="396"/>
      <c r="CR33" s="396"/>
      <c r="CS33" s="396"/>
      <c r="CT33" s="396"/>
      <c r="CU33" s="396">
        <f>SUM(BI33:BJ33)</f>
        <v>0</v>
      </c>
      <c r="CV33" s="396"/>
      <c r="CW33" s="396"/>
      <c r="CX33" s="934"/>
      <c r="CY33" s="934"/>
      <c r="CZ33" s="934"/>
      <c r="DA33" s="934"/>
      <c r="DB33" s="767"/>
      <c r="DC33" s="767"/>
      <c r="DD33" s="934"/>
      <c r="DE33" s="934"/>
      <c r="DF33" s="934"/>
      <c r="DG33" s="934"/>
      <c r="DH33" s="396">
        <f>SUM(BK33:BL33)</f>
        <v>0</v>
      </c>
      <c r="DI33" s="934"/>
      <c r="DJ33" s="934"/>
      <c r="DK33" s="934"/>
      <c r="DL33" s="934"/>
      <c r="DM33" s="934"/>
      <c r="DN33" s="934"/>
      <c r="DO33" s="934"/>
      <c r="DP33" s="934"/>
      <c r="DQ33" s="934"/>
      <c r="DR33" s="934"/>
      <c r="DS33" s="934"/>
      <c r="DT33" s="934"/>
      <c r="DU33" s="396"/>
    </row>
    <row r="34" spans="1:125" ht="12.75" hidden="1" customHeight="1" outlineLevel="1">
      <c r="A34" s="14" t="s">
        <v>79</v>
      </c>
      <c r="B34" s="12">
        <v>33261.5</v>
      </c>
      <c r="C34" s="4">
        <v>16237.47</v>
      </c>
      <c r="D34" s="4">
        <v>24866.29</v>
      </c>
      <c r="E34" s="4">
        <v>22719.67</v>
      </c>
      <c r="F34" s="12">
        <v>207865.5</v>
      </c>
      <c r="G34" s="4">
        <v>10354.799999999999</v>
      </c>
      <c r="H34" s="4">
        <v>17258.97</v>
      </c>
      <c r="I34" s="4">
        <v>17834.259999999998</v>
      </c>
      <c r="J34" s="4">
        <v>39253.11</v>
      </c>
      <c r="K34" s="4">
        <v>45863.02</v>
      </c>
      <c r="L34" s="4">
        <v>51267.15</v>
      </c>
      <c r="M34" s="4">
        <v>44383.56</v>
      </c>
      <c r="N34" s="4">
        <v>45863.02</v>
      </c>
      <c r="O34" s="4">
        <v>45647.26</v>
      </c>
      <c r="P34" s="4">
        <v>33357.879999999997</v>
      </c>
      <c r="Q34" s="4">
        <v>31743.15</v>
      </c>
      <c r="R34" s="4">
        <v>13320.2</v>
      </c>
      <c r="S34" s="12">
        <v>396146.38</v>
      </c>
      <c r="T34" s="4">
        <v>8917.81</v>
      </c>
      <c r="U34" s="4">
        <v>8630</v>
      </c>
      <c r="V34" s="4">
        <v>9760.2800000000007</v>
      </c>
      <c r="W34" s="4">
        <v>17054.8</v>
      </c>
      <c r="X34" s="4">
        <v>17410.96</v>
      </c>
      <c r="Y34" s="4">
        <v>21000.01</v>
      </c>
      <c r="Z34" s="4">
        <v>52191.79</v>
      </c>
      <c r="AA34" s="4">
        <v>123575.34</v>
      </c>
      <c r="AB34" s="4">
        <v>159315.07</v>
      </c>
      <c r="AC34" s="4">
        <v>144808.22</v>
      </c>
      <c r="AD34" s="4">
        <v>144808.22</v>
      </c>
      <c r="AE34" s="4">
        <v>130794.52</v>
      </c>
      <c r="AF34" s="396">
        <v>838267.02</v>
      </c>
      <c r="AG34" s="4">
        <v>144808.22</v>
      </c>
      <c r="AH34" s="4">
        <v>140136.99</v>
      </c>
      <c r="AI34" s="4">
        <v>144808.22</v>
      </c>
      <c r="AJ34" s="4">
        <v>140136.99</v>
      </c>
      <c r="AK34" s="4">
        <v>144808.22</v>
      </c>
      <c r="AL34" s="4">
        <v>144808.22</v>
      </c>
      <c r="AM34" s="4">
        <v>140136.99</v>
      </c>
      <c r="AN34" s="4">
        <v>163169.1</v>
      </c>
      <c r="AO34" s="4">
        <v>131369.85999999999</v>
      </c>
      <c r="AP34" s="4">
        <v>484754.7</v>
      </c>
      <c r="AQ34" s="4">
        <v>464623.28</v>
      </c>
      <c r="AR34" s="4">
        <v>461049.12</v>
      </c>
      <c r="AS34" s="12">
        <v>2704609.91</v>
      </c>
      <c r="AT34" s="12"/>
      <c r="AU34" s="396">
        <v>2704609.91</v>
      </c>
      <c r="AV34" s="23">
        <v>473867.86</v>
      </c>
      <c r="AW34" s="12">
        <v>337500</v>
      </c>
      <c r="AX34" s="12">
        <v>337500</v>
      </c>
      <c r="AY34" s="12">
        <v>110000</v>
      </c>
      <c r="AZ34" s="12">
        <v>255434.76</v>
      </c>
      <c r="BA34" s="12">
        <v>262554.73</v>
      </c>
      <c r="BB34" s="12">
        <v>254966.5</v>
      </c>
      <c r="BC34" s="12">
        <v>261953.31</v>
      </c>
      <c r="BD34" s="12">
        <v>252679.38</v>
      </c>
      <c r="BE34" s="12">
        <v>237827.84</v>
      </c>
      <c r="BF34" s="12">
        <v>175286.73</v>
      </c>
      <c r="BG34" s="12">
        <v>219020.59</v>
      </c>
      <c r="BH34" s="396">
        <v>3178591.6999999993</v>
      </c>
      <c r="BI34" s="12">
        <v>451666.67</v>
      </c>
      <c r="BJ34" s="12">
        <v>437500</v>
      </c>
      <c r="BK34" s="12">
        <v>451666.67</v>
      </c>
      <c r="BL34" s="12">
        <v>436997.73</v>
      </c>
      <c r="BM34" s="12">
        <v>408560.39</v>
      </c>
      <c r="BN34" s="12">
        <v>120178.88</v>
      </c>
      <c r="BO34" s="12">
        <v>93752.7</v>
      </c>
      <c r="BP34" s="12">
        <v>96459.77</v>
      </c>
      <c r="BQ34" s="15">
        <v>93750</v>
      </c>
      <c r="BR34" s="15">
        <v>62291.67</v>
      </c>
      <c r="BS34" s="12">
        <v>0</v>
      </c>
      <c r="BT34" s="396">
        <v>0</v>
      </c>
      <c r="BU34" s="396">
        <f>SUM(BI34:BT34)</f>
        <v>2652824.48</v>
      </c>
      <c r="BV34" s="396">
        <v>0</v>
      </c>
      <c r="BW34" s="12">
        <v>0</v>
      </c>
      <c r="BX34" s="12">
        <v>0</v>
      </c>
      <c r="BY34" s="396">
        <v>0</v>
      </c>
      <c r="BZ34" s="396">
        <v>0</v>
      </c>
      <c r="CA34" s="396">
        <v>0</v>
      </c>
      <c r="CB34" s="396">
        <v>0</v>
      </c>
      <c r="CC34" s="396">
        <v>0</v>
      </c>
      <c r="CD34" s="396">
        <v>0</v>
      </c>
      <c r="CE34" s="396">
        <v>0</v>
      </c>
      <c r="CF34" s="396">
        <v>0</v>
      </c>
      <c r="CG34" s="396">
        <v>0</v>
      </c>
      <c r="CH34" s="396">
        <f>SUM(BV34:CG34)</f>
        <v>0</v>
      </c>
      <c r="CI34" s="396"/>
      <c r="CJ34" s="396"/>
      <c r="CK34" s="396"/>
      <c r="CL34" s="396"/>
      <c r="CM34" s="396"/>
      <c r="CN34" s="396"/>
      <c r="CO34" s="396"/>
      <c r="CP34" s="396"/>
      <c r="CQ34" s="396"/>
      <c r="CR34" s="396"/>
      <c r="CS34" s="396"/>
      <c r="CT34" s="396"/>
      <c r="CU34" s="396">
        <f>SUM(BV34:CJ34)</f>
        <v>0</v>
      </c>
      <c r="CV34" s="396">
        <v>0</v>
      </c>
      <c r="CW34" s="396">
        <v>0</v>
      </c>
      <c r="CX34" s="934">
        <v>0</v>
      </c>
      <c r="CY34" s="934">
        <v>0</v>
      </c>
      <c r="CZ34" s="934">
        <v>0</v>
      </c>
      <c r="DA34" s="934">
        <v>0</v>
      </c>
      <c r="DB34" s="767">
        <v>0</v>
      </c>
      <c r="DC34" s="767">
        <v>0</v>
      </c>
      <c r="DD34" s="934">
        <v>0</v>
      </c>
      <c r="DE34" s="934">
        <v>0</v>
      </c>
      <c r="DF34" s="934">
        <v>0</v>
      </c>
      <c r="DG34" s="934">
        <v>0</v>
      </c>
      <c r="DH34" s="396">
        <f>SUM(CV34:DG34)</f>
        <v>0</v>
      </c>
      <c r="DI34" s="934"/>
      <c r="DJ34" s="934"/>
      <c r="DK34" s="934"/>
      <c r="DL34" s="934"/>
      <c r="DM34" s="934"/>
      <c r="DN34" s="934"/>
      <c r="DO34" s="934"/>
      <c r="DP34" s="934"/>
      <c r="DQ34" s="934"/>
      <c r="DR34" s="934"/>
      <c r="DS34" s="934"/>
      <c r="DT34" s="934"/>
      <c r="DU34" s="396"/>
    </row>
    <row r="35" spans="1:125" ht="12.75" customHeight="1" collapsed="1">
      <c r="A35" s="14" t="s">
        <v>80</v>
      </c>
      <c r="B35" s="12">
        <v>69234.039999999994</v>
      </c>
      <c r="C35" s="4">
        <v>14556.77</v>
      </c>
      <c r="D35" s="4">
        <v>16492.169999999998</v>
      </c>
      <c r="E35" s="4">
        <v>9899.67</v>
      </c>
      <c r="F35" s="12">
        <v>140613.66</v>
      </c>
      <c r="G35" s="4">
        <v>24192.36</v>
      </c>
      <c r="H35" s="4">
        <v>18163.23</v>
      </c>
      <c r="I35" s="4">
        <v>20992</v>
      </c>
      <c r="J35" s="4">
        <v>19077.400000000001</v>
      </c>
      <c r="K35" s="4">
        <v>20790</v>
      </c>
      <c r="L35" s="4">
        <v>21333.86</v>
      </c>
      <c r="M35" s="4">
        <v>20457.48</v>
      </c>
      <c r="N35" s="4">
        <v>25498.94</v>
      </c>
      <c r="O35" s="4">
        <v>38555.17</v>
      </c>
      <c r="P35" s="4">
        <v>37700.78</v>
      </c>
      <c r="Q35" s="4">
        <v>34328.25</v>
      </c>
      <c r="R35" s="4">
        <v>41187.839999999997</v>
      </c>
      <c r="S35" s="12">
        <v>322277.62</v>
      </c>
      <c r="T35" s="4">
        <v>109513.14</v>
      </c>
      <c r="U35" s="24">
        <v>110499.62</v>
      </c>
      <c r="V35" s="25">
        <v>115143.06</v>
      </c>
      <c r="W35" s="26">
        <v>117579.94</v>
      </c>
      <c r="X35" s="26">
        <v>132329.32999999999</v>
      </c>
      <c r="Y35" s="26">
        <v>155776.13</v>
      </c>
      <c r="Z35" s="26">
        <v>186411.91</v>
      </c>
      <c r="AA35" s="26">
        <v>210261.12</v>
      </c>
      <c r="AB35" s="26">
        <v>334550.26</v>
      </c>
      <c r="AC35" s="26">
        <v>382446.21</v>
      </c>
      <c r="AD35" s="26">
        <v>442224.42</v>
      </c>
      <c r="AE35" s="26">
        <v>417350.19</v>
      </c>
      <c r="AF35" s="396">
        <v>2714085.33</v>
      </c>
      <c r="AG35" s="26">
        <v>469330.51</v>
      </c>
      <c r="AH35" s="26">
        <v>480051.21</v>
      </c>
      <c r="AI35" s="26">
        <v>502185.19</v>
      </c>
      <c r="AJ35" s="26">
        <v>535833.42000000004</v>
      </c>
      <c r="AK35" s="26">
        <v>491701.03</v>
      </c>
      <c r="AL35" s="26">
        <v>515974.13</v>
      </c>
      <c r="AM35" s="26">
        <v>508859.66</v>
      </c>
      <c r="AN35" s="24">
        <v>556465.99</v>
      </c>
      <c r="AO35" s="24">
        <v>1048109.1</v>
      </c>
      <c r="AP35" s="24">
        <v>1190869.6000000001</v>
      </c>
      <c r="AQ35" s="4">
        <v>1122329.8799999999</v>
      </c>
      <c r="AR35" s="4">
        <v>1129177.7</v>
      </c>
      <c r="AS35" s="12">
        <v>8550887.4199999999</v>
      </c>
      <c r="AT35" s="12"/>
      <c r="AU35" s="396">
        <v>8550887.4199999999</v>
      </c>
      <c r="AV35" s="23">
        <v>1174731.04</v>
      </c>
      <c r="AW35" s="12">
        <v>1379466.09</v>
      </c>
      <c r="AX35" s="12">
        <v>1401092.86</v>
      </c>
      <c r="AY35" s="12">
        <v>1300734.3</v>
      </c>
      <c r="AZ35" s="12">
        <v>1308070.96</v>
      </c>
      <c r="BA35" s="12">
        <v>1339362.2</v>
      </c>
      <c r="BB35" s="12">
        <v>1408960.09</v>
      </c>
      <c r="BC35" s="12">
        <v>1774910.87</v>
      </c>
      <c r="BD35" s="12">
        <v>1639704.78</v>
      </c>
      <c r="BE35" s="12">
        <v>1497413.78</v>
      </c>
      <c r="BF35" s="12">
        <v>1437461.38</v>
      </c>
      <c r="BG35" s="12">
        <v>1315215.67</v>
      </c>
      <c r="BH35" s="396">
        <v>16977124.019999996</v>
      </c>
      <c r="BI35" s="12">
        <v>1444578.86</v>
      </c>
      <c r="BJ35" s="12">
        <v>1380716.66</v>
      </c>
      <c r="BK35" s="12">
        <v>1626891.56</v>
      </c>
      <c r="BL35" s="12">
        <v>1555560.34</v>
      </c>
      <c r="BM35" s="12">
        <v>1911126.48</v>
      </c>
      <c r="BN35" s="12">
        <v>2425047.44</v>
      </c>
      <c r="BO35" s="12">
        <v>3314643.24</v>
      </c>
      <c r="BP35" s="12">
        <v>3543492.49</v>
      </c>
      <c r="BQ35" s="15">
        <v>3906075</v>
      </c>
      <c r="BR35" s="15">
        <v>3877122.2</v>
      </c>
      <c r="BS35" s="12">
        <v>4105584.57</v>
      </c>
      <c r="BT35" s="396">
        <v>4018423.12</v>
      </c>
      <c r="BU35" s="396">
        <f>SUM(BI35:BT35)</f>
        <v>33109261.960000001</v>
      </c>
      <c r="BV35" s="396">
        <v>4407573.0999999996</v>
      </c>
      <c r="BW35" s="12">
        <v>4754546.6900000004</v>
      </c>
      <c r="BX35" s="12">
        <v>4912001.68</v>
      </c>
      <c r="BY35" s="12">
        <v>4777058.5</v>
      </c>
      <c r="BZ35" s="396">
        <v>5637130.6200000001</v>
      </c>
      <c r="CA35" s="396">
        <v>6078992.96</v>
      </c>
      <c r="CB35" s="396">
        <v>5984592.7300000004</v>
      </c>
      <c r="CC35" s="396">
        <v>5998297.1900000004</v>
      </c>
      <c r="CD35" s="396">
        <v>6537273.5</v>
      </c>
      <c r="CE35" s="396">
        <v>6648599.6699999999</v>
      </c>
      <c r="CF35" s="396">
        <v>6101160.0300000003</v>
      </c>
      <c r="CG35" s="396">
        <v>5105732.84</v>
      </c>
      <c r="CH35" s="396">
        <f>SUM(BV35:CG35)</f>
        <v>66942959.510000005</v>
      </c>
      <c r="CI35" s="396">
        <v>5437328.8600000003</v>
      </c>
      <c r="CJ35" s="396">
        <v>5969296.3399999999</v>
      </c>
      <c r="CK35" s="396">
        <v>6550431.8200000003</v>
      </c>
      <c r="CL35" s="396">
        <v>5941327.0099999998</v>
      </c>
      <c r="CM35" s="396">
        <v>6434798</v>
      </c>
      <c r="CN35" s="396">
        <v>6222944.7699999996</v>
      </c>
      <c r="CO35" s="396">
        <v>7628802.6100000003</v>
      </c>
      <c r="CP35" s="396">
        <v>8747549.9000000004</v>
      </c>
      <c r="CQ35" s="396">
        <v>9468807.4199999999</v>
      </c>
      <c r="CR35" s="396">
        <v>10858966</v>
      </c>
      <c r="CS35" s="396">
        <v>11738763.01</v>
      </c>
      <c r="CT35" s="396">
        <v>10862088.199999999</v>
      </c>
      <c r="CU35" s="396">
        <f>SUM(CI35:CT35)</f>
        <v>95861103.939999998</v>
      </c>
      <c r="CV35" s="396">
        <v>11804940.439999999</v>
      </c>
      <c r="CW35" s="396">
        <v>13279291.119999999</v>
      </c>
      <c r="CX35" s="934">
        <v>14683697.08</v>
      </c>
      <c r="CY35" s="934">
        <v>16017513.6</v>
      </c>
      <c r="CZ35" s="934">
        <v>16558260.17</v>
      </c>
      <c r="DA35" s="934">
        <v>15942279.279999999</v>
      </c>
      <c r="DB35" s="934">
        <v>16812205.390000001</v>
      </c>
      <c r="DC35" s="934">
        <v>17315169.32</v>
      </c>
      <c r="DD35" s="934">
        <v>17435283.670000002</v>
      </c>
      <c r="DE35" s="934">
        <v>17893639.359999999</v>
      </c>
      <c r="DF35" s="934">
        <v>17353033.5</v>
      </c>
      <c r="DG35" s="934">
        <v>15969162.529999999</v>
      </c>
      <c r="DH35" s="396">
        <f>SUM(CV35:DG35)</f>
        <v>191064475.46000001</v>
      </c>
      <c r="DI35" s="934">
        <v>16392934.35</v>
      </c>
      <c r="DJ35" s="934">
        <v>15284635.42</v>
      </c>
      <c r="DK35" s="934">
        <v>15733045.109999999</v>
      </c>
      <c r="DL35" s="934">
        <v>14927614.859999999</v>
      </c>
      <c r="DM35" s="934">
        <v>15224721.76</v>
      </c>
      <c r="DN35" s="934">
        <v>14630436.77</v>
      </c>
      <c r="DO35" s="934">
        <v>13509792.960000001</v>
      </c>
      <c r="DP35" s="934">
        <v>12886453.710000001</v>
      </c>
      <c r="DQ35" s="934">
        <v>12851992.140000001</v>
      </c>
      <c r="DR35" s="934">
        <v>14193631.27</v>
      </c>
      <c r="DS35" s="934"/>
      <c r="DT35" s="934"/>
      <c r="DU35" s="396"/>
    </row>
    <row r="36" spans="1:125" ht="12.75" hidden="1" customHeight="1">
      <c r="A36" s="14" t="s">
        <v>81</v>
      </c>
      <c r="B36" s="12">
        <v>-0.21</v>
      </c>
      <c r="C36" s="4">
        <v>-66734.66</v>
      </c>
      <c r="D36" s="4">
        <v>-67807.070000000007</v>
      </c>
      <c r="E36" s="4">
        <v>-67629.78</v>
      </c>
      <c r="F36" s="12">
        <v>-206566.13</v>
      </c>
      <c r="G36" s="4">
        <v>-57868.88</v>
      </c>
      <c r="H36" s="4">
        <v>-59862.75</v>
      </c>
      <c r="I36" s="4">
        <v>-52549.35</v>
      </c>
      <c r="J36" s="4">
        <v>-54359.94</v>
      </c>
      <c r="K36" s="4">
        <v>-50876.73</v>
      </c>
      <c r="L36" s="4">
        <v>-46900.01</v>
      </c>
      <c r="M36" s="4">
        <v>-37923.449999999997</v>
      </c>
      <c r="N36" s="4">
        <v>-35071</v>
      </c>
      <c r="O36" s="4">
        <v>-42528.28</v>
      </c>
      <c r="P36" s="4">
        <v>-31978.41</v>
      </c>
      <c r="Q36" s="4">
        <v>-24472.720000000001</v>
      </c>
      <c r="R36" s="4">
        <v>-18334.259999999998</v>
      </c>
      <c r="S36" s="12">
        <v>-512725.78</v>
      </c>
      <c r="T36" s="4">
        <v>-14356.93</v>
      </c>
      <c r="U36" s="4">
        <v>-18902</v>
      </c>
      <c r="V36" s="4">
        <v>-16629.43</v>
      </c>
      <c r="W36" s="4">
        <v>-9589.2800000000007</v>
      </c>
      <c r="X36" s="4">
        <v>-11967.2</v>
      </c>
      <c r="Y36" s="4">
        <v>-4584.0600000000004</v>
      </c>
      <c r="Z36" s="4">
        <v>-3552.72</v>
      </c>
      <c r="AA36" s="4">
        <v>-9020.2199999999993</v>
      </c>
      <c r="AB36" s="4">
        <v>-8221.8799999999992</v>
      </c>
      <c r="AC36" s="4">
        <v>-38725.629999999997</v>
      </c>
      <c r="AD36" s="4">
        <v>-73438.58</v>
      </c>
      <c r="AE36" s="4">
        <v>-62692.65</v>
      </c>
      <c r="AF36" s="396">
        <v>-271680.58</v>
      </c>
      <c r="AG36" s="4">
        <v>-25670.720000000001</v>
      </c>
      <c r="AH36" s="4">
        <v>-37622.92</v>
      </c>
      <c r="AI36" s="4">
        <v>-60127.97</v>
      </c>
      <c r="AJ36" s="24">
        <v>-14729.5</v>
      </c>
      <c r="AK36" s="24">
        <v>-66292.97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12">
        <v>-204444.08</v>
      </c>
      <c r="AT36" s="12"/>
      <c r="AU36" s="396">
        <v>-204444.08</v>
      </c>
      <c r="AV36" s="23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/>
      <c r="BF36" s="12"/>
      <c r="BG36" s="12"/>
      <c r="BH36" s="396">
        <v>0</v>
      </c>
      <c r="BI36" s="12">
        <v>0</v>
      </c>
      <c r="BJ36" s="12">
        <v>0</v>
      </c>
      <c r="BK36" s="12"/>
      <c r="BL36" s="12"/>
      <c r="BM36" s="12"/>
      <c r="BN36" s="12"/>
      <c r="BO36" s="12"/>
      <c r="BP36" s="12"/>
      <c r="BQ36" s="21"/>
      <c r="BR36" s="21"/>
      <c r="BS36" s="12"/>
      <c r="BT36" s="396"/>
      <c r="BU36" s="396">
        <f>SUM(BI36:BJ36)</f>
        <v>0</v>
      </c>
      <c r="BV36" s="396"/>
      <c r="BW36" s="12"/>
      <c r="BX36" s="12"/>
      <c r="BY36" s="396"/>
      <c r="BZ36" s="396"/>
      <c r="CA36" s="396"/>
      <c r="CB36" s="396"/>
      <c r="CC36" s="396"/>
      <c r="CD36" s="396"/>
      <c r="CE36" s="396"/>
      <c r="CF36" s="396"/>
      <c r="CG36" s="396"/>
      <c r="CH36" s="396">
        <f>SUM(BV36:BW36)</f>
        <v>0</v>
      </c>
      <c r="CI36" s="396"/>
      <c r="CJ36" s="396"/>
      <c r="CK36" s="396"/>
      <c r="CL36" s="396"/>
      <c r="CM36" s="396"/>
      <c r="CN36" s="396"/>
      <c r="CO36" s="396"/>
      <c r="CP36" s="396"/>
      <c r="CQ36" s="396"/>
      <c r="CR36" s="396"/>
      <c r="CS36" s="396"/>
      <c r="CT36" s="396"/>
      <c r="CU36" s="396">
        <f>SUM(BI36:BJ36)</f>
        <v>0</v>
      </c>
      <c r="CV36" s="396"/>
      <c r="CW36" s="396"/>
      <c r="CX36" s="934"/>
      <c r="CY36" s="934"/>
      <c r="CZ36" s="934"/>
      <c r="DA36" s="934"/>
      <c r="DB36" s="767"/>
      <c r="DC36" s="767"/>
      <c r="DD36" s="934"/>
      <c r="DE36" s="934"/>
      <c r="DF36" s="934"/>
      <c r="DG36" s="934"/>
      <c r="DH36" s="396">
        <f>SUM(BK36:BL36)</f>
        <v>0</v>
      </c>
      <c r="DI36" s="934"/>
      <c r="DJ36" s="934"/>
      <c r="DK36" s="934"/>
      <c r="DL36" s="934"/>
      <c r="DM36" s="934"/>
      <c r="DN36" s="934"/>
      <c r="DO36" s="934"/>
      <c r="DP36" s="934"/>
      <c r="DQ36" s="934"/>
      <c r="DR36" s="934"/>
      <c r="DS36" s="934"/>
      <c r="DT36" s="934"/>
      <c r="DU36" s="396">
        <f>SUM(BX36:BY36)</f>
        <v>0</v>
      </c>
    </row>
    <row r="37" spans="1:125" ht="12.75" customHeight="1">
      <c r="A37" s="17" t="s">
        <v>82</v>
      </c>
      <c r="B37" s="18">
        <f t="shared" ref="B37:AE37" si="15">SUM(B33:B36)</f>
        <v>105297.11999999998</v>
      </c>
      <c r="C37" s="19">
        <f t="shared" si="15"/>
        <v>-35452.800000000003</v>
      </c>
      <c r="D37" s="19">
        <f t="shared" si="15"/>
        <v>-25997.510000000009</v>
      </c>
      <c r="E37" s="19">
        <f t="shared" si="15"/>
        <v>-34821.800000000003</v>
      </c>
      <c r="F37" s="18">
        <f t="shared" si="15"/>
        <v>147775.04999999999</v>
      </c>
      <c r="G37" s="19">
        <f t="shared" si="15"/>
        <v>-22508.719999999994</v>
      </c>
      <c r="H37" s="19">
        <f t="shared" si="15"/>
        <v>-23892.410000000003</v>
      </c>
      <c r="I37" s="19">
        <f t="shared" si="15"/>
        <v>-13160.090000000004</v>
      </c>
      <c r="J37" s="19">
        <f t="shared" si="15"/>
        <v>4507.5599999999977</v>
      </c>
      <c r="K37" s="19">
        <f t="shared" si="15"/>
        <v>16325.489999999998</v>
      </c>
      <c r="L37" s="19">
        <f t="shared" si="15"/>
        <v>26259.859999999993</v>
      </c>
      <c r="M37" s="19">
        <f t="shared" si="15"/>
        <v>27448.639999999999</v>
      </c>
      <c r="N37" s="19">
        <f t="shared" si="15"/>
        <v>36863.279999999999</v>
      </c>
      <c r="O37" s="19">
        <f t="shared" si="15"/>
        <v>42265.950000000012</v>
      </c>
      <c r="P37" s="19">
        <f t="shared" si="15"/>
        <v>39658.929999999993</v>
      </c>
      <c r="Q37" s="19">
        <f t="shared" si="15"/>
        <v>42121.53</v>
      </c>
      <c r="R37" s="19">
        <f t="shared" si="15"/>
        <v>36616.979999999996</v>
      </c>
      <c r="S37" s="18">
        <f t="shared" si="15"/>
        <v>212507.25</v>
      </c>
      <c r="T37" s="27">
        <f t="shared" si="15"/>
        <v>104577.45999999999</v>
      </c>
      <c r="U37" s="19">
        <f t="shared" si="15"/>
        <v>100723.62</v>
      </c>
      <c r="V37" s="19">
        <f>SUM(V33:V36)</f>
        <v>108805.04999999999</v>
      </c>
      <c r="W37" s="19">
        <f t="shared" si="15"/>
        <v>125586.39000000001</v>
      </c>
      <c r="X37" s="19">
        <f t="shared" si="15"/>
        <v>138337.24999999997</v>
      </c>
      <c r="Y37" s="19">
        <f t="shared" si="15"/>
        <v>172805.80000000002</v>
      </c>
      <c r="Z37" s="19">
        <f t="shared" si="15"/>
        <v>235663.69</v>
      </c>
      <c r="AA37" s="19">
        <f t="shared" si="15"/>
        <v>325124.65000000002</v>
      </c>
      <c r="AB37" s="19">
        <f t="shared" si="15"/>
        <v>485937.27</v>
      </c>
      <c r="AC37" s="19">
        <f t="shared" si="15"/>
        <v>488832.89</v>
      </c>
      <c r="AD37" s="19">
        <f t="shared" si="15"/>
        <v>513885.93</v>
      </c>
      <c r="AE37" s="19">
        <f t="shared" si="15"/>
        <v>485723.4</v>
      </c>
      <c r="AF37" s="397">
        <v>3286003.4000000004</v>
      </c>
      <c r="AG37" s="19">
        <v>588774.41</v>
      </c>
      <c r="AH37" s="19">
        <v>582852.28999999992</v>
      </c>
      <c r="AI37" s="19">
        <v>587168.21</v>
      </c>
      <c r="AJ37" s="28">
        <v>661545.88</v>
      </c>
      <c r="AK37" s="28">
        <v>570510.63000000012</v>
      </c>
      <c r="AL37" s="19">
        <v>660782.35</v>
      </c>
      <c r="AM37" s="19">
        <v>648996.64999999991</v>
      </c>
      <c r="AN37" s="19">
        <v>719635.09</v>
      </c>
      <c r="AO37" s="19">
        <v>1179478.96</v>
      </c>
      <c r="AP37" s="19">
        <v>1675624.3</v>
      </c>
      <c r="AQ37" s="19">
        <v>1586953.16</v>
      </c>
      <c r="AR37" s="19">
        <v>1590226.8199999998</v>
      </c>
      <c r="AS37" s="18">
        <v>11052548.75</v>
      </c>
      <c r="AT37" s="19">
        <v>0</v>
      </c>
      <c r="AU37" s="397">
        <v>11052548.75</v>
      </c>
      <c r="AV37" s="19">
        <v>1648598.9</v>
      </c>
      <c r="AW37" s="18">
        <v>1716966.09</v>
      </c>
      <c r="AX37" s="18">
        <v>1738592.86</v>
      </c>
      <c r="AY37" s="18">
        <v>1410734.3</v>
      </c>
      <c r="AZ37" s="18">
        <v>1563505.72</v>
      </c>
      <c r="BA37" s="18">
        <v>1601916.93</v>
      </c>
      <c r="BB37" s="18">
        <v>1663926.59</v>
      </c>
      <c r="BC37" s="18">
        <v>2036864.1800000002</v>
      </c>
      <c r="BD37" s="18">
        <v>1892384.1600000001</v>
      </c>
      <c r="BE37" s="18">
        <v>1735241.62</v>
      </c>
      <c r="BF37" s="18">
        <v>1612748.1099999999</v>
      </c>
      <c r="BG37" s="18">
        <v>1534236.26</v>
      </c>
      <c r="BH37" s="397">
        <v>20155715.720000003</v>
      </c>
      <c r="BI37" s="18">
        <f t="shared" ref="BI37:BR37" si="16">SUM(BI33:BI36)</f>
        <v>1896245.53</v>
      </c>
      <c r="BJ37" s="18">
        <f t="shared" si="16"/>
        <v>1818216.66</v>
      </c>
      <c r="BK37" s="18">
        <f t="shared" si="16"/>
        <v>2078558.23</v>
      </c>
      <c r="BL37" s="18">
        <f t="shared" si="16"/>
        <v>1992558.07</v>
      </c>
      <c r="BM37" s="18">
        <f t="shared" si="16"/>
        <v>2319686.87</v>
      </c>
      <c r="BN37" s="18">
        <f t="shared" si="16"/>
        <v>2545226.3199999998</v>
      </c>
      <c r="BO37" s="18">
        <f t="shared" si="16"/>
        <v>3408395.9400000004</v>
      </c>
      <c r="BP37" s="18">
        <f t="shared" si="16"/>
        <v>3639952.2600000002</v>
      </c>
      <c r="BQ37" s="18">
        <f t="shared" si="16"/>
        <v>3999825</v>
      </c>
      <c r="BR37" s="18">
        <f t="shared" si="16"/>
        <v>3939413.87</v>
      </c>
      <c r="BS37" s="18">
        <f>SUM(BS34:BS35)</f>
        <v>4105584.57</v>
      </c>
      <c r="BT37" s="18">
        <f>SUM(BT34:BT35)</f>
        <v>4018423.12</v>
      </c>
      <c r="BU37" s="397">
        <f>SUM(BI37:BT37)</f>
        <v>35762086.440000005</v>
      </c>
      <c r="BV37" s="18">
        <f>SUM(BV34:BV35)</f>
        <v>4407573.0999999996</v>
      </c>
      <c r="BW37" s="18">
        <f t="shared" ref="BW37:CJ37" si="17">SUM(BW33:BW36)</f>
        <v>4754546.6900000004</v>
      </c>
      <c r="BX37" s="18">
        <f t="shared" si="17"/>
        <v>4912001.68</v>
      </c>
      <c r="BY37" s="18">
        <f t="shared" si="17"/>
        <v>4777058.5</v>
      </c>
      <c r="BZ37" s="18">
        <f t="shared" si="17"/>
        <v>5637130.6200000001</v>
      </c>
      <c r="CA37" s="18">
        <f t="shared" si="17"/>
        <v>6078992.96</v>
      </c>
      <c r="CB37" s="18">
        <f t="shared" si="17"/>
        <v>5984592.7300000004</v>
      </c>
      <c r="CC37" s="18">
        <f t="shared" si="17"/>
        <v>5998297.1900000004</v>
      </c>
      <c r="CD37" s="18">
        <f t="shared" si="17"/>
        <v>6537273.5</v>
      </c>
      <c r="CE37" s="18">
        <f t="shared" si="17"/>
        <v>6648599.6699999999</v>
      </c>
      <c r="CF37" s="18">
        <f t="shared" si="17"/>
        <v>6101160.0300000003</v>
      </c>
      <c r="CG37" s="18">
        <f t="shared" si="17"/>
        <v>5105732.84</v>
      </c>
      <c r="CH37" s="397">
        <f>SUM(BV37:CG37)</f>
        <v>66942959.510000005</v>
      </c>
      <c r="CI37" s="18">
        <f t="shared" si="17"/>
        <v>5437328.8600000003</v>
      </c>
      <c r="CJ37" s="18">
        <f t="shared" si="17"/>
        <v>5969296.3399999999</v>
      </c>
      <c r="CK37" s="18">
        <f t="shared" ref="CK37:CT37" si="18">SUM(CK33:CK36)</f>
        <v>6550431.8200000003</v>
      </c>
      <c r="CL37" s="18">
        <f t="shared" si="18"/>
        <v>5941327.0099999998</v>
      </c>
      <c r="CM37" s="18">
        <f t="shared" si="18"/>
        <v>6434798</v>
      </c>
      <c r="CN37" s="18">
        <f t="shared" si="18"/>
        <v>6222944.7699999996</v>
      </c>
      <c r="CO37" s="18">
        <f t="shared" si="18"/>
        <v>7628802.6100000003</v>
      </c>
      <c r="CP37" s="18">
        <f t="shared" si="18"/>
        <v>8747549.9000000004</v>
      </c>
      <c r="CQ37" s="18">
        <f t="shared" si="18"/>
        <v>9468807.4199999999</v>
      </c>
      <c r="CR37" s="18">
        <f t="shared" si="18"/>
        <v>10858966</v>
      </c>
      <c r="CS37" s="18">
        <f t="shared" si="18"/>
        <v>11738763.01</v>
      </c>
      <c r="CT37" s="18">
        <f t="shared" si="18"/>
        <v>10862088.199999999</v>
      </c>
      <c r="CU37" s="397">
        <f>SUM(CI37:CT37)</f>
        <v>95861103.939999998</v>
      </c>
      <c r="CV37" s="397">
        <f>SUM(CV33:CV36)</f>
        <v>11804940.439999999</v>
      </c>
      <c r="CW37" s="397">
        <f t="shared" ref="CW37:DG37" si="19">SUM(CW33:CW36)</f>
        <v>13279291.119999999</v>
      </c>
      <c r="CX37" s="397">
        <f t="shared" si="19"/>
        <v>14683697.08</v>
      </c>
      <c r="CY37" s="397">
        <f t="shared" si="19"/>
        <v>16017513.6</v>
      </c>
      <c r="CZ37" s="397">
        <f t="shared" si="19"/>
        <v>16558260.17</v>
      </c>
      <c r="DA37" s="397">
        <f t="shared" si="19"/>
        <v>15942279.279999999</v>
      </c>
      <c r="DB37" s="22">
        <f t="shared" si="19"/>
        <v>16812205.390000001</v>
      </c>
      <c r="DC37" s="22">
        <f t="shared" si="19"/>
        <v>17315169.32</v>
      </c>
      <c r="DD37" s="22">
        <f t="shared" ref="DD37" si="20">SUM(DD33:DD36)</f>
        <v>17435283.670000002</v>
      </c>
      <c r="DE37" s="22">
        <f t="shared" si="19"/>
        <v>17893639.359999999</v>
      </c>
      <c r="DF37" s="22">
        <f t="shared" si="19"/>
        <v>17353033.5</v>
      </c>
      <c r="DG37" s="22">
        <f t="shared" si="19"/>
        <v>15969162.529999999</v>
      </c>
      <c r="DH37" s="397">
        <f>SUM(CV37:DG37)</f>
        <v>191064475.46000001</v>
      </c>
      <c r="DI37" s="22">
        <f t="shared" ref="DI37:DJ37" si="21">SUM(DI33:DI36)</f>
        <v>16392934.35</v>
      </c>
      <c r="DJ37" s="22">
        <f t="shared" si="21"/>
        <v>15284635.42</v>
      </c>
      <c r="DK37" s="22">
        <f t="shared" ref="DK37:DT37" si="22">SUM(DK33:DK36)</f>
        <v>15733045.109999999</v>
      </c>
      <c r="DL37" s="22">
        <f t="shared" si="22"/>
        <v>14927614.859999999</v>
      </c>
      <c r="DM37" s="22">
        <f t="shared" si="22"/>
        <v>15224721.76</v>
      </c>
      <c r="DN37" s="22">
        <f t="shared" si="22"/>
        <v>14630436.77</v>
      </c>
      <c r="DO37" s="22">
        <f t="shared" si="22"/>
        <v>13509792.960000001</v>
      </c>
      <c r="DP37" s="22">
        <f t="shared" si="22"/>
        <v>12886453.710000001</v>
      </c>
      <c r="DQ37" s="22">
        <f t="shared" si="22"/>
        <v>12851992.140000001</v>
      </c>
      <c r="DR37" s="22">
        <f t="shared" si="22"/>
        <v>14193631.27</v>
      </c>
      <c r="DS37" s="22">
        <f t="shared" si="22"/>
        <v>0</v>
      </c>
      <c r="DT37" s="22">
        <f t="shared" si="22"/>
        <v>0</v>
      </c>
      <c r="DU37" s="397">
        <f>SUM(DI37:DT37)</f>
        <v>145635258.34999999</v>
      </c>
    </row>
    <row r="38" spans="1:125" ht="12.75" customHeight="1">
      <c r="A38" s="2"/>
      <c r="B38" s="12"/>
      <c r="C38" s="4"/>
      <c r="D38" s="4"/>
      <c r="E38" s="4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2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96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12"/>
      <c r="AT38" s="12"/>
      <c r="AU38" s="396"/>
      <c r="AV38" s="4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396"/>
      <c r="BI38" s="12"/>
      <c r="BJ38" s="12"/>
      <c r="BK38" s="12"/>
      <c r="BL38" s="12"/>
      <c r="BM38" s="12"/>
      <c r="BN38" s="12"/>
      <c r="BO38" s="12"/>
      <c r="BP38" s="12"/>
      <c r="BQ38" s="15"/>
      <c r="BR38" s="15"/>
      <c r="BS38" s="12"/>
      <c r="BT38" s="396"/>
      <c r="BU38" s="396"/>
      <c r="BV38" s="396"/>
      <c r="BW38" s="12"/>
      <c r="BX38" s="12"/>
      <c r="BY38" s="396"/>
      <c r="BZ38" s="396"/>
      <c r="CA38" s="396"/>
      <c r="CB38" s="396"/>
      <c r="CC38" s="396"/>
      <c r="CD38" s="396"/>
      <c r="CE38" s="396"/>
      <c r="CF38" s="396"/>
      <c r="CG38" s="396"/>
      <c r="CH38" s="396"/>
      <c r="CI38" s="396"/>
      <c r="CJ38" s="396"/>
      <c r="CK38" s="396"/>
      <c r="CL38" s="396"/>
      <c r="CM38" s="396"/>
      <c r="CN38" s="396"/>
      <c r="CO38" s="396"/>
      <c r="CP38" s="396"/>
      <c r="CQ38" s="396"/>
      <c r="CR38" s="396"/>
      <c r="CS38" s="396"/>
      <c r="CT38" s="396"/>
      <c r="CU38" s="396"/>
      <c r="CV38" s="396"/>
      <c r="CW38" s="396"/>
      <c r="CX38" s="934"/>
      <c r="CY38" s="934"/>
      <c r="CZ38" s="934"/>
      <c r="DA38" s="934"/>
      <c r="DB38" s="767"/>
      <c r="DC38" s="767"/>
      <c r="DD38" s="934"/>
      <c r="DE38" s="934"/>
      <c r="DF38" s="934"/>
      <c r="DG38" s="934"/>
      <c r="DH38" s="396"/>
      <c r="DI38" s="934"/>
      <c r="DJ38" s="934"/>
      <c r="DK38" s="934"/>
      <c r="DL38" s="934"/>
      <c r="DM38" s="934"/>
      <c r="DN38" s="934"/>
      <c r="DO38" s="934"/>
      <c r="DP38" s="934"/>
      <c r="DQ38" s="934"/>
      <c r="DR38" s="934"/>
      <c r="DS38" s="934"/>
      <c r="DT38" s="934"/>
      <c r="DU38" s="396"/>
    </row>
    <row r="39" spans="1:125" ht="12.75" customHeight="1" thickBot="1">
      <c r="A39" s="29" t="s">
        <v>83</v>
      </c>
      <c r="B39" s="30">
        <f>(0+(0)+(B27)+(B37))-(0)</f>
        <v>552955.44999999995</v>
      </c>
      <c r="C39" s="31">
        <f>(0+(0)+(C27)+(C37))-(0)</f>
        <v>117992.84999999999</v>
      </c>
      <c r="D39" s="31">
        <f>(0+(0)+(D27)+(D37))-(0)</f>
        <v>83678.31</v>
      </c>
      <c r="E39" s="31">
        <f>(0+(0)+(E27)+(E37))-(0)</f>
        <v>91505.21</v>
      </c>
      <c r="F39" s="30">
        <f>(0+(0)+(F27)+(F37))-(0)</f>
        <v>1755876.96</v>
      </c>
      <c r="G39" s="31">
        <f t="shared" ref="G39:S39" si="23">G27+G37</f>
        <v>122380.73999999999</v>
      </c>
      <c r="H39" s="31">
        <f t="shared" si="23"/>
        <v>124488.06</v>
      </c>
      <c r="I39" s="31">
        <f t="shared" si="23"/>
        <v>138954.51999999999</v>
      </c>
      <c r="J39" s="31">
        <f t="shared" si="23"/>
        <v>174713.13</v>
      </c>
      <c r="K39" s="31">
        <f t="shared" si="23"/>
        <v>181037.37</v>
      </c>
      <c r="L39" s="31">
        <f t="shared" si="23"/>
        <v>176259.61</v>
      </c>
      <c r="M39" s="31">
        <f t="shared" si="23"/>
        <v>147473.26</v>
      </c>
      <c r="N39" s="31">
        <f t="shared" si="23"/>
        <v>169697.75</v>
      </c>
      <c r="O39" s="31">
        <f t="shared" si="23"/>
        <v>199467.44</v>
      </c>
      <c r="P39" s="31">
        <f t="shared" si="23"/>
        <v>259058.94999999998</v>
      </c>
      <c r="Q39" s="31">
        <f t="shared" si="23"/>
        <v>226023.61</v>
      </c>
      <c r="R39" s="31">
        <f t="shared" si="23"/>
        <v>77219.399999999994</v>
      </c>
      <c r="S39" s="30">
        <f t="shared" si="23"/>
        <v>1996774.27</v>
      </c>
      <c r="T39" s="32">
        <f>+T27+T37</f>
        <v>161166.84</v>
      </c>
      <c r="U39" s="31">
        <f t="shared" ref="U39:AE39" si="24">+U37+U27</f>
        <v>170216.62</v>
      </c>
      <c r="V39" s="31">
        <f t="shared" si="24"/>
        <v>231018.86</v>
      </c>
      <c r="W39" s="33">
        <f t="shared" si="24"/>
        <v>173163.76</v>
      </c>
      <c r="X39" s="34">
        <f t="shared" si="24"/>
        <v>200189.57999999996</v>
      </c>
      <c r="Y39" s="34">
        <f t="shared" si="24"/>
        <v>356986.28</v>
      </c>
      <c r="Z39" s="34">
        <f t="shared" si="24"/>
        <v>383684.04000000004</v>
      </c>
      <c r="AA39" s="34">
        <f t="shared" si="24"/>
        <v>474405.25</v>
      </c>
      <c r="AB39" s="34">
        <f t="shared" si="24"/>
        <v>826152.6100000001</v>
      </c>
      <c r="AC39" s="34">
        <f t="shared" si="24"/>
        <v>790980.46</v>
      </c>
      <c r="AD39" s="34">
        <f t="shared" si="24"/>
        <v>652234.57999999996</v>
      </c>
      <c r="AE39" s="34">
        <f t="shared" si="24"/>
        <v>846783.04</v>
      </c>
      <c r="AF39" s="35">
        <v>5266981.92</v>
      </c>
      <c r="AG39" s="34">
        <v>768651.09000000008</v>
      </c>
      <c r="AH39" s="34">
        <v>689433.24999999988</v>
      </c>
      <c r="AI39" s="34">
        <v>886765.83</v>
      </c>
      <c r="AJ39" s="34">
        <v>932472.65</v>
      </c>
      <c r="AK39" s="34">
        <v>879159.51</v>
      </c>
      <c r="AL39" s="34">
        <v>1019419.81</v>
      </c>
      <c r="AM39" s="34">
        <v>1140247.27</v>
      </c>
      <c r="AN39" s="34">
        <v>1296605.6200000001</v>
      </c>
      <c r="AO39" s="34">
        <v>1795031.02</v>
      </c>
      <c r="AP39" s="34">
        <v>2454127.81</v>
      </c>
      <c r="AQ39" s="34">
        <v>2227144.37</v>
      </c>
      <c r="AR39" s="34">
        <v>2266272.94</v>
      </c>
      <c r="AS39" s="30">
        <v>16355331.17</v>
      </c>
      <c r="AT39" s="34">
        <v>0</v>
      </c>
      <c r="AU39" s="35">
        <v>16355331.17</v>
      </c>
      <c r="AV39" s="34">
        <v>5200470.21</v>
      </c>
      <c r="AW39" s="35">
        <v>5957551.1499999994</v>
      </c>
      <c r="AX39" s="35">
        <v>5074075.49</v>
      </c>
      <c r="AY39" s="35">
        <v>3606544.3499999996</v>
      </c>
      <c r="AZ39" s="35">
        <v>3408141.08</v>
      </c>
      <c r="BA39" s="35">
        <v>1993306.76</v>
      </c>
      <c r="BB39" s="35">
        <v>2222202.58</v>
      </c>
      <c r="BC39" s="35">
        <v>2437677.71</v>
      </c>
      <c r="BD39" s="35">
        <v>2232204.7600000002</v>
      </c>
      <c r="BE39" s="35">
        <v>2667513.5500000003</v>
      </c>
      <c r="BF39" s="35">
        <v>2626695.54</v>
      </c>
      <c r="BG39" s="35">
        <v>2559237.5099999998</v>
      </c>
      <c r="BH39" s="35">
        <v>39985620.690000005</v>
      </c>
      <c r="BI39" s="35">
        <f>(0+(0)+('P&amp;L -Dec25'!BI27)+('P&amp;L -Dec25'!BI37))-(0)</f>
        <v>2867038.87</v>
      </c>
      <c r="BJ39" s="35">
        <f>(0+(0)+('P&amp;L -Dec25'!BJ27)+('P&amp;L -Dec25'!BJ37))-(0)</f>
        <v>2864528.9299999997</v>
      </c>
      <c r="BK39" s="35">
        <f>(0+(0)+('P&amp;L -Dec25'!BK27)+('P&amp;L -Dec25'!BK37))-(0)</f>
        <v>3298061.02</v>
      </c>
      <c r="BL39" s="35">
        <f>(0+(0)+('P&amp;L -Dec25'!BL27)+('P&amp;L -Dec25'!BL37))-(0)</f>
        <v>2764440.7</v>
      </c>
      <c r="BM39" s="35">
        <f>(0+(0)+('P&amp;L -Dec25'!BM27)+('P&amp;L -Dec25'!BM37))-(0)</f>
        <v>3505739.6500000004</v>
      </c>
      <c r="BN39" s="35">
        <f>(0+(0)+('P&amp;L -Dec25'!BN27)+('P&amp;L -Dec25'!BN37))-(0)</f>
        <v>4548353.5</v>
      </c>
      <c r="BO39" s="35">
        <f>(0+(0)+('P&amp;L -Dec25'!BO27)+('P&amp;L -Dec25'!BO37))-(0)</f>
        <v>5263515.09</v>
      </c>
      <c r="BP39" s="35">
        <f>(0+(0)+('P&amp;L -Dec25'!BP27)+('P&amp;L -Dec25'!BP37))-(0)</f>
        <v>6463525.1600000001</v>
      </c>
      <c r="BQ39" s="35">
        <f>(0+(0)+('P&amp;L -Dec25'!BQ27)+('P&amp;L -Dec25'!BQ37))-(0)</f>
        <v>6766548</v>
      </c>
      <c r="BR39" s="35">
        <f>(0+(0)+('P&amp;L -Dec25'!BR27)+('P&amp;L -Dec25'!BR37))-(0)</f>
        <v>6557056.1799999997</v>
      </c>
      <c r="BS39" s="30">
        <f>(0+(0)+('P&amp;L -Dec25'!BS27)+('P&amp;L -Dec25'!BS37))-(0)</f>
        <v>7945073.6600000001</v>
      </c>
      <c r="BT39" s="30">
        <f>(0+(0)+('P&amp;L -Dec25'!BT27)+('P&amp;L -Dec25'!BT37))-(0)</f>
        <v>8903717.2199999988</v>
      </c>
      <c r="BU39" s="35">
        <f>SUM(BI39:BT39)</f>
        <v>61747597.980000004</v>
      </c>
      <c r="BV39" s="30">
        <f>(0+(0)+('P&amp;L -Dec25'!BV27)+('P&amp;L -Dec25'!BV37))-(0)</f>
        <v>8346857.1399999997</v>
      </c>
      <c r="BW39" s="35">
        <f>(0+(0)+('P&amp;L -Dec25'!BW27)+('P&amp;L -Dec25'!BW37))-(0)</f>
        <v>7613020.2000000002</v>
      </c>
      <c r="BX39" s="35">
        <f>(0+(0)+('P&amp;L -Dec25'!BX27)+('P&amp;L -Dec25'!BX37))-(0)</f>
        <v>6960827.6799999997</v>
      </c>
      <c r="BY39" s="35">
        <f>(0+(0)+('P&amp;L -Dec25'!BY27)+('P&amp;L -Dec25'!BY37))-(0)</f>
        <v>6690409.7800000003</v>
      </c>
      <c r="BZ39" s="35">
        <f>(0+(0)+('P&amp;L -Dec25'!BZ27)+('P&amp;L -Dec25'!BZ37))-(0)</f>
        <v>9185843.6099999994</v>
      </c>
      <c r="CA39" s="35">
        <f>(0+(0)+('P&amp;L -Dec25'!CA27)+('P&amp;L -Dec25'!CA37))-(0)</f>
        <v>9098982.9900000002</v>
      </c>
      <c r="CB39" s="35">
        <f>(0+(0)+('P&amp;L -Dec25'!CB27)+('P&amp;L -Dec25'!CB37))-(0)</f>
        <v>8194829.7300000004</v>
      </c>
      <c r="CC39" s="35">
        <f>(0+(0)+('P&amp;L -Dec25'!CC27)+('P&amp;L -Dec25'!CC37))-(0)</f>
        <v>8515739.1900000013</v>
      </c>
      <c r="CD39" s="35">
        <f>(0+(0)+('P&amp;L -Dec25'!CD27)+('P&amp;L -Dec25'!CD37))-(0)</f>
        <v>8568045.5</v>
      </c>
      <c r="CE39" s="35">
        <f>(0+(0)+('P&amp;L -Dec25'!CE27)+('P&amp;L -Dec25'!CE37))-(0)</f>
        <v>9621598.6699999999</v>
      </c>
      <c r="CF39" s="35">
        <f>(0+(0)+('P&amp;L -Dec25'!CF27)+('P&amp;L -Dec25'!CF37))-(0)</f>
        <v>11191305.030000001</v>
      </c>
      <c r="CG39" s="35">
        <f>(0+(0)+('P&amp;L -Dec25'!CG27)+('P&amp;L -Dec25'!CG37))-(0)</f>
        <v>10309698.84</v>
      </c>
      <c r="CH39" s="35">
        <f>SUM(BV39:CG39)</f>
        <v>104297158.36</v>
      </c>
      <c r="CI39" s="35">
        <f>(0+(0)+('P&amp;L -Dec25'!CI27)+('P&amp;L -Dec25'!CI37))-(0)</f>
        <v>11440132.859999999</v>
      </c>
      <c r="CJ39" s="35">
        <f>(0+(0)+('P&amp;L -Dec25'!CJ27)+('P&amp;L -Dec25'!CJ37))-(0)</f>
        <v>11666920.48</v>
      </c>
      <c r="CK39" s="35">
        <f>(0+(0)+('P&amp;L -Dec25'!CK27)+('P&amp;L -Dec25'!CK37))-(0)</f>
        <v>12354776.82</v>
      </c>
      <c r="CL39" s="35">
        <f>(0+(0)+('P&amp;L -Dec25'!CL27)+('P&amp;L -Dec25'!CL37))-(0)</f>
        <v>12384188.01</v>
      </c>
      <c r="CM39" s="35">
        <f>(0+(0)+('P&amp;L -Dec25'!CM27)+('P&amp;L -Dec25'!CM37))-(0)</f>
        <v>13544935.66</v>
      </c>
      <c r="CN39" s="35">
        <f>(0+(0)+('P&amp;L -Dec25'!CN27)+('P&amp;L -Dec25'!CN37))-(0)</f>
        <v>14337474.689999999</v>
      </c>
      <c r="CO39" s="35">
        <f>(0+(0)+('P&amp;L -Dec25'!CO27)+('P&amp;L -Dec25'!CO37))-(0)</f>
        <v>14712233.050000001</v>
      </c>
      <c r="CP39" s="35">
        <f>(0+(0)+('P&amp;L -Dec25'!CP27)+('P&amp;L -Dec25'!CP37))-(0)</f>
        <v>15534755.050000001</v>
      </c>
      <c r="CQ39" s="35">
        <f>(0+(0)+('P&amp;L -Dec25'!CQ27)+('P&amp;L -Dec25'!CQ37))-(0)</f>
        <v>17387379.649999999</v>
      </c>
      <c r="CR39" s="35">
        <f>(0+(0)+('P&amp;L -Dec25'!CR27)+('P&amp;L -Dec25'!CR37))-(0)</f>
        <v>20394089.950000003</v>
      </c>
      <c r="CS39" s="35">
        <f>(0+(0)+('P&amp;L -Dec25'!CS27)+('P&amp;L -Dec25'!CS37))-(0)</f>
        <v>23972740.34</v>
      </c>
      <c r="CT39" s="35">
        <f>(0+(0)+('P&amp;L -Dec25'!CT27)+('P&amp;L -Dec25'!CT37))-(0)</f>
        <v>62090032.479999989</v>
      </c>
      <c r="CU39" s="35">
        <f>SUM(CI39:CT39)</f>
        <v>229819659.03999996</v>
      </c>
      <c r="CV39" s="35">
        <f>(0+(0)+('P&amp;L -Dec25'!CV27)+('P&amp;L -Dec25'!CV37))-(0)</f>
        <v>31994698.149999999</v>
      </c>
      <c r="CW39" s="35">
        <f>(0+(0)+('P&amp;L -Dec25'!CW27)+('P&amp;L -Dec25'!CW37))-(0)</f>
        <v>26848459.93</v>
      </c>
      <c r="CX39" s="35">
        <f>(0+(0)+('P&amp;L -Dec25'!CX27)+('P&amp;L -Dec25'!CX37))-(0)</f>
        <v>34294213.880000003</v>
      </c>
      <c r="CY39" s="35">
        <f>(0+(0)+('P&amp;L -Dec25'!CY27)+('P&amp;L -Dec25'!CY37))-(0)</f>
        <v>35250389.93</v>
      </c>
      <c r="CZ39" s="35">
        <f>(0+(0)+('P&amp;L -Dec25'!CZ27)+('P&amp;L -Dec25'!CZ37))-(0)</f>
        <v>33630222.670000002</v>
      </c>
      <c r="DA39" s="35">
        <f>(0+(0)+('P&amp;L -Dec25'!DA27)+('P&amp;L -Dec25'!DA37))-(0)</f>
        <v>33585954.030000001</v>
      </c>
      <c r="DB39" s="35">
        <f>(0+(0)+('P&amp;L -Dec25'!DB27)+('P&amp;L -Dec25'!DB37))-(0)</f>
        <v>35311671.210000001</v>
      </c>
      <c r="DC39" s="35">
        <f>(0+(0)+('P&amp;L -Dec25'!DC27)+('P&amp;L -Dec25'!DC37))-(0)</f>
        <v>38088038.93</v>
      </c>
      <c r="DD39" s="35">
        <f>(0+(0)+('P&amp;L -Dec25'!DD27)+('P&amp;L -Dec25'!DD37))-(0)</f>
        <v>37522446.140000001</v>
      </c>
      <c r="DE39" s="35">
        <f>(0+(0)+('P&amp;L -Dec25'!DE27)+('P&amp;L -Dec25'!DE37))-(0)</f>
        <v>42125342.079999998</v>
      </c>
      <c r="DF39" s="35">
        <f>(0+(0)+('P&amp;L -Dec25'!DF27)+('P&amp;L -Dec25'!DF37))-(0)</f>
        <v>42696092.120000005</v>
      </c>
      <c r="DG39" s="35">
        <f>(0+(0)+('P&amp;L -Dec25'!DG27)+('P&amp;L -Dec25'!DG37))-(0)</f>
        <v>3939233.1899999995</v>
      </c>
      <c r="DH39" s="35">
        <f>SUM(CV39:DG39)</f>
        <v>395286762.25999999</v>
      </c>
      <c r="DI39" s="35">
        <f>(0+(0)+('P&amp;L -Dec25'!DI27)+('P&amp;L -Dec25'!DI37))-(0)</f>
        <v>35230519.75</v>
      </c>
      <c r="DJ39" s="35">
        <f>(0+(0)+('P&amp;L -Dec25'!DJ27)+('P&amp;L -Dec25'!DJ37))-(0)</f>
        <v>35467344.880000003</v>
      </c>
      <c r="DK39" s="35">
        <f>(0+(0)+('P&amp;L -Dec25'!DK27)+('P&amp;L -Dec25'!DK37))-(0)</f>
        <v>30574689.710000001</v>
      </c>
      <c r="DL39" s="35">
        <f>(0+(0)+('P&amp;L -Dec25'!DL27)+('P&amp;L -Dec25'!DL37))-(0)</f>
        <v>31695830</v>
      </c>
      <c r="DM39" s="35">
        <f>(0+(0)+('P&amp;L -Dec25'!DM27)+('P&amp;L -Dec25'!DM37))-(0)</f>
        <v>25578556.780000001</v>
      </c>
      <c r="DN39" s="35">
        <f>(0+(0)+('P&amp;L -Dec25'!DN27)+('P&amp;L -Dec25'!DN37))-(0)</f>
        <v>31920686.27</v>
      </c>
      <c r="DO39" s="35">
        <f>(0+(0)+('P&amp;L -Dec25'!DO27)+('P&amp;L -Dec25'!DO37))-(0)</f>
        <v>25902865.640000001</v>
      </c>
      <c r="DP39" s="35">
        <f>(0+(0)+('P&amp;L -Dec25'!DP27)+('P&amp;L -Dec25'!DP37))-(0)</f>
        <v>25178288.219999999</v>
      </c>
      <c r="DQ39" s="35">
        <f>(0+(0)+('P&amp;L -Dec25'!DQ27)+('P&amp;L -Dec25'!DQ37))-(0)</f>
        <v>32225225.920000002</v>
      </c>
      <c r="DR39" s="35">
        <f>(0+(0)+('P&amp;L -Dec25'!DR27)+('P&amp;L -Dec25'!DR37))-(0)</f>
        <v>23982431.880000003</v>
      </c>
      <c r="DS39" s="35">
        <f>(0+(0)+('P&amp;L -Dec25'!DS27)+('P&amp;L -Dec25'!DS37))-(0)</f>
        <v>0</v>
      </c>
      <c r="DT39" s="35">
        <f>(0+(0)+('P&amp;L -Dec25'!DT27)+('P&amp;L -Dec25'!DT37))-(0)</f>
        <v>0</v>
      </c>
      <c r="DU39" s="35">
        <f>SUM(DI39:DT39)</f>
        <v>297756439.05000001</v>
      </c>
    </row>
    <row r="40" spans="1:125" ht="8.25" hidden="1" customHeight="1" thickTop="1">
      <c r="A40" s="2"/>
      <c r="B40" s="12"/>
      <c r="C40" s="4"/>
      <c r="D40" s="4"/>
      <c r="E40" s="4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2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396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12"/>
      <c r="AT40" s="12"/>
      <c r="AU40" s="396"/>
      <c r="AV40" s="4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396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396"/>
      <c r="BU40" s="396"/>
      <c r="BV40" s="396"/>
      <c r="BW40" s="12"/>
      <c r="BX40" s="12"/>
      <c r="BY40" s="396"/>
      <c r="BZ40" s="396"/>
      <c r="CA40" s="396"/>
      <c r="CB40" s="396"/>
      <c r="CC40" s="396"/>
      <c r="CD40" s="396"/>
      <c r="CE40" s="396"/>
      <c r="CF40" s="396"/>
      <c r="CG40" s="396"/>
      <c r="CH40" s="396"/>
      <c r="CI40" s="396"/>
      <c r="CJ40" s="396"/>
      <c r="CK40" s="396"/>
      <c r="CL40" s="396"/>
      <c r="CM40" s="396"/>
      <c r="CN40" s="396"/>
      <c r="CO40" s="396"/>
      <c r="CP40" s="396"/>
      <c r="CQ40" s="396"/>
      <c r="CR40" s="396"/>
      <c r="CS40" s="396"/>
      <c r="CT40" s="396"/>
      <c r="CU40" s="396"/>
      <c r="CV40" s="396"/>
      <c r="CW40" s="396"/>
      <c r="CX40" s="934"/>
      <c r="CY40" s="934"/>
      <c r="CZ40" s="934"/>
      <c r="DA40" s="934"/>
      <c r="DB40" s="767"/>
      <c r="DC40" s="767"/>
      <c r="DD40" s="934"/>
      <c r="DE40" s="934"/>
      <c r="DF40" s="934"/>
      <c r="DG40" s="934"/>
      <c r="DH40" s="396"/>
      <c r="DI40" s="934"/>
      <c r="DJ40" s="934"/>
      <c r="DK40" s="934"/>
      <c r="DL40" s="934"/>
      <c r="DM40" s="934"/>
      <c r="DN40" s="934"/>
      <c r="DO40" s="934"/>
      <c r="DP40" s="934"/>
      <c r="DQ40" s="934"/>
      <c r="DR40" s="934"/>
      <c r="DS40" s="934"/>
      <c r="DT40" s="934"/>
      <c r="DU40" s="396"/>
    </row>
    <row r="41" spans="1:125" ht="12.75" hidden="1" customHeight="1" outlineLevel="1" thickTop="1">
      <c r="A41" s="13" t="s">
        <v>84</v>
      </c>
      <c r="B41" s="12"/>
      <c r="C41" s="4"/>
      <c r="D41" s="4"/>
      <c r="E41" s="4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2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396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12"/>
      <c r="AT41" s="12"/>
      <c r="AU41" s="396"/>
      <c r="AV41" s="4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396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396"/>
      <c r="BU41" s="396"/>
      <c r="BV41" s="396"/>
      <c r="BW41" s="12"/>
      <c r="BX41" s="12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396"/>
      <c r="CW41" s="396"/>
      <c r="CX41" s="934"/>
      <c r="CY41" s="934"/>
      <c r="CZ41" s="934"/>
      <c r="DA41" s="934"/>
      <c r="DB41" s="767"/>
      <c r="DC41" s="767"/>
      <c r="DD41" s="934"/>
      <c r="DE41" s="934"/>
      <c r="DF41" s="934"/>
      <c r="DG41" s="934"/>
      <c r="DH41" s="396"/>
      <c r="DI41" s="934"/>
      <c r="DJ41" s="934"/>
      <c r="DK41" s="934"/>
      <c r="DL41" s="934"/>
      <c r="DM41" s="934"/>
      <c r="DN41" s="934"/>
      <c r="DO41" s="934"/>
      <c r="DP41" s="934"/>
      <c r="DQ41" s="934"/>
      <c r="DR41" s="934"/>
      <c r="DS41" s="934"/>
      <c r="DT41" s="934"/>
      <c r="DU41" s="396"/>
    </row>
    <row r="42" spans="1:125" ht="12.75" hidden="1" customHeight="1" outlineLevel="1">
      <c r="A42" s="13" t="s">
        <v>85</v>
      </c>
      <c r="B42" s="12"/>
      <c r="C42" s="4"/>
      <c r="D42" s="4"/>
      <c r="E42" s="4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2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396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12"/>
      <c r="AT42" s="12"/>
      <c r="AU42" s="396"/>
      <c r="AV42" s="4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396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396"/>
      <c r="BU42" s="396"/>
      <c r="BV42" s="396"/>
      <c r="BW42" s="12"/>
      <c r="BX42" s="12"/>
      <c r="BY42" s="396"/>
      <c r="BZ42" s="396"/>
      <c r="CA42" s="396"/>
      <c r="CB42" s="396"/>
      <c r="CC42" s="396"/>
      <c r="CD42" s="396"/>
      <c r="CE42" s="396"/>
      <c r="CF42" s="396"/>
      <c r="CG42" s="396"/>
      <c r="CH42" s="396"/>
      <c r="CI42" s="396"/>
      <c r="CJ42" s="396"/>
      <c r="CK42" s="396"/>
      <c r="CL42" s="396"/>
      <c r="CM42" s="396"/>
      <c r="CN42" s="396"/>
      <c r="CO42" s="396"/>
      <c r="CP42" s="396"/>
      <c r="CQ42" s="396"/>
      <c r="CR42" s="396"/>
      <c r="CS42" s="396"/>
      <c r="CT42" s="396"/>
      <c r="CU42" s="396"/>
      <c r="CV42" s="396"/>
      <c r="CW42" s="396"/>
      <c r="CX42" s="934"/>
      <c r="CY42" s="934"/>
      <c r="CZ42" s="934"/>
      <c r="DA42" s="934"/>
      <c r="DB42" s="767"/>
      <c r="DC42" s="767"/>
      <c r="DD42" s="934"/>
      <c r="DE42" s="934"/>
      <c r="DF42" s="934"/>
      <c r="DG42" s="934"/>
      <c r="DH42" s="396"/>
      <c r="DI42" s="934"/>
      <c r="DJ42" s="934"/>
      <c r="DK42" s="934"/>
      <c r="DL42" s="934"/>
      <c r="DM42" s="934"/>
      <c r="DN42" s="934"/>
      <c r="DO42" s="934"/>
      <c r="DP42" s="934"/>
      <c r="DQ42" s="934"/>
      <c r="DR42" s="934"/>
      <c r="DS42" s="934"/>
      <c r="DT42" s="934"/>
      <c r="DU42" s="396"/>
    </row>
    <row r="43" spans="1:125" ht="12.75" hidden="1" customHeight="1" outlineLevel="1">
      <c r="A43" s="36" t="s">
        <v>86</v>
      </c>
      <c r="B43" s="12"/>
      <c r="C43" s="4"/>
      <c r="D43" s="4"/>
      <c r="E43" s="4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>
        <v>10636.53</v>
      </c>
      <c r="S43" s="12">
        <v>10636.53</v>
      </c>
      <c r="T43" s="4">
        <v>10636.53</v>
      </c>
      <c r="U43" s="4">
        <v>10637</v>
      </c>
      <c r="V43" s="4">
        <v>11061.66</v>
      </c>
      <c r="W43" s="4">
        <v>11061.66</v>
      </c>
      <c r="X43" s="4">
        <v>25511.43</v>
      </c>
      <c r="Y43" s="4">
        <v>26208.44</v>
      </c>
      <c r="Z43" s="4">
        <v>30041.439999999999</v>
      </c>
      <c r="AA43" s="4">
        <v>26899.68</v>
      </c>
      <c r="AB43" s="4">
        <v>53351.59</v>
      </c>
      <c r="AC43" s="4">
        <v>71339.789999999994</v>
      </c>
      <c r="AD43" s="4">
        <v>56890.02</v>
      </c>
      <c r="AE43" s="4">
        <v>56217.75</v>
      </c>
      <c r="AF43" s="396">
        <v>389856.99</v>
      </c>
      <c r="AG43" s="4">
        <v>51592.29</v>
      </c>
      <c r="AH43" s="4">
        <v>88968.39</v>
      </c>
      <c r="AI43" s="4">
        <v>75955.679999999993</v>
      </c>
      <c r="AJ43" s="4">
        <v>75955.679999999993</v>
      </c>
      <c r="AK43" s="4">
        <v>75955.679999999993</v>
      </c>
      <c r="AL43" s="4">
        <v>75700.02</v>
      </c>
      <c r="AM43" s="4">
        <v>65682.42</v>
      </c>
      <c r="AN43" s="4">
        <v>65682.42</v>
      </c>
      <c r="AO43" s="4">
        <v>47220.26</v>
      </c>
      <c r="AP43" s="4">
        <v>29232.06</v>
      </c>
      <c r="AQ43" s="4">
        <v>29232.06</v>
      </c>
      <c r="AR43" s="4">
        <v>28158.35</v>
      </c>
      <c r="AS43" s="12">
        <v>709335.31</v>
      </c>
      <c r="AT43" s="12"/>
      <c r="AU43" s="396">
        <v>709335.31</v>
      </c>
      <c r="AV43" s="4">
        <v>14773.93</v>
      </c>
      <c r="AW43" s="12">
        <v>4166.67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396">
        <v>18940.599999999999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396">
        <v>0</v>
      </c>
      <c r="BU43" s="396">
        <f>SUM(BI43:BT43)</f>
        <v>0</v>
      </c>
      <c r="BV43" s="396">
        <v>0</v>
      </c>
      <c r="BW43" s="12">
        <v>0</v>
      </c>
      <c r="BX43" s="12">
        <v>0</v>
      </c>
      <c r="BY43" s="396">
        <v>0</v>
      </c>
      <c r="BZ43" s="396">
        <v>0</v>
      </c>
      <c r="CA43" s="396">
        <v>0</v>
      </c>
      <c r="CB43" s="396">
        <v>0</v>
      </c>
      <c r="CC43" s="396">
        <v>0</v>
      </c>
      <c r="CD43" s="396">
        <v>0</v>
      </c>
      <c r="CE43" s="396">
        <v>0</v>
      </c>
      <c r="CF43" s="396">
        <v>0</v>
      </c>
      <c r="CG43" s="396">
        <v>0</v>
      </c>
      <c r="CH43" s="396">
        <f>SUM(BV43:CG43)</f>
        <v>0</v>
      </c>
      <c r="CI43" s="396">
        <v>0</v>
      </c>
      <c r="CJ43" s="396">
        <v>0</v>
      </c>
      <c r="CK43" s="396">
        <v>0</v>
      </c>
      <c r="CL43" s="396">
        <v>0</v>
      </c>
      <c r="CM43" s="396">
        <v>0</v>
      </c>
      <c r="CN43" s="396"/>
      <c r="CO43" s="396"/>
      <c r="CP43" s="396"/>
      <c r="CQ43" s="396"/>
      <c r="CR43" s="396"/>
      <c r="CS43" s="396"/>
      <c r="CT43" s="396"/>
      <c r="CU43" s="396">
        <f>SUM(CI43:CM43)</f>
        <v>0</v>
      </c>
      <c r="CV43" s="396">
        <v>0</v>
      </c>
      <c r="CW43" s="396">
        <v>0</v>
      </c>
      <c r="CX43" s="396">
        <v>0</v>
      </c>
      <c r="CY43" s="396">
        <v>0</v>
      </c>
      <c r="CZ43" s="396">
        <v>0</v>
      </c>
      <c r="DA43" s="934">
        <v>0</v>
      </c>
      <c r="DB43" s="767"/>
      <c r="DC43" s="767"/>
      <c r="DD43" s="934"/>
      <c r="DE43" s="934"/>
      <c r="DF43" s="934"/>
      <c r="DG43" s="934"/>
      <c r="DH43" s="396">
        <f>SUM(CV43:DG43)</f>
        <v>0</v>
      </c>
      <c r="DI43" s="934"/>
      <c r="DJ43" s="934"/>
      <c r="DK43" s="934"/>
      <c r="DL43" s="934"/>
      <c r="DM43" s="934"/>
      <c r="DN43" s="934"/>
      <c r="DO43" s="934"/>
      <c r="DP43" s="934"/>
      <c r="DQ43" s="934"/>
      <c r="DR43" s="934"/>
      <c r="DS43" s="934"/>
      <c r="DT43" s="934"/>
      <c r="DU43" s="396">
        <f>SUM(DI43:DT43)</f>
        <v>0</v>
      </c>
    </row>
    <row r="44" spans="1:125" ht="14.1" customHeight="1" collapsed="1" thickTop="1">
      <c r="A44" s="2"/>
      <c r="B44" s="12"/>
      <c r="C44" s="4"/>
      <c r="D44" s="4"/>
      <c r="E44" s="4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2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396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12"/>
      <c r="AT44" s="12"/>
      <c r="AU44" s="396"/>
      <c r="AV44" s="4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396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396"/>
      <c r="BU44" s="396"/>
      <c r="BV44" s="396"/>
      <c r="BW44" s="12"/>
      <c r="BX44" s="12"/>
      <c r="BY44" s="396"/>
      <c r="BZ44" s="396"/>
      <c r="CA44" s="396"/>
      <c r="CB44" s="396"/>
      <c r="CC44" s="396"/>
      <c r="CD44" s="396"/>
      <c r="CE44" s="396"/>
      <c r="CF44" s="396"/>
      <c r="CG44" s="396"/>
      <c r="CH44" s="396"/>
      <c r="CI44" s="396"/>
      <c r="CJ44" s="396"/>
      <c r="CK44" s="396"/>
      <c r="CL44" s="396"/>
      <c r="CM44" s="396"/>
      <c r="CN44" s="396"/>
      <c r="CO44" s="396"/>
      <c r="CP44" s="396"/>
      <c r="CQ44" s="396"/>
      <c r="CR44" s="396"/>
      <c r="CS44" s="396"/>
      <c r="CT44" s="396"/>
      <c r="CU44" s="396"/>
      <c r="CV44" s="396"/>
      <c r="CW44" s="396"/>
      <c r="CX44" s="934"/>
      <c r="CY44" s="934"/>
      <c r="CZ44" s="934"/>
      <c r="DA44" s="934"/>
      <c r="DB44" s="767"/>
      <c r="DC44" s="767"/>
      <c r="DD44" s="934"/>
      <c r="DE44" s="934"/>
      <c r="DF44" s="934"/>
      <c r="DG44" s="934"/>
      <c r="DH44" s="396"/>
      <c r="DI44" s="934"/>
      <c r="DJ44" s="934"/>
      <c r="DK44" s="934"/>
      <c r="DL44" s="934"/>
      <c r="DM44" s="934"/>
      <c r="DN44" s="934"/>
      <c r="DO44" s="934"/>
      <c r="DP44" s="934"/>
      <c r="DQ44" s="934"/>
      <c r="DR44" s="934"/>
      <c r="DS44" s="934"/>
      <c r="DT44" s="934"/>
      <c r="DU44" s="396"/>
    </row>
    <row r="45" spans="1:125" ht="12.75" customHeight="1">
      <c r="A45" s="13" t="s">
        <v>87</v>
      </c>
      <c r="B45" s="12"/>
      <c r="C45" s="4"/>
      <c r="D45" s="4"/>
      <c r="E45" s="4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2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396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12"/>
      <c r="AT45" s="12"/>
      <c r="AU45" s="396"/>
      <c r="AV45" s="4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396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396"/>
      <c r="BU45" s="396"/>
      <c r="BV45" s="396"/>
      <c r="BW45" s="12"/>
      <c r="BX45" s="12"/>
      <c r="BY45" s="396"/>
      <c r="BZ45" s="396"/>
      <c r="CA45" s="396"/>
      <c r="CB45" s="396"/>
      <c r="CC45" s="396"/>
      <c r="CD45" s="396"/>
      <c r="CE45" s="396"/>
      <c r="CF45" s="396"/>
      <c r="CG45" s="396"/>
      <c r="CH45" s="396"/>
      <c r="CI45" s="396"/>
      <c r="CJ45" s="396"/>
      <c r="CK45" s="396"/>
      <c r="CL45" s="396"/>
      <c r="CM45" s="396"/>
      <c r="CN45" s="396"/>
      <c r="CO45" s="396"/>
      <c r="CP45" s="396"/>
      <c r="CQ45" s="396"/>
      <c r="CR45" s="396"/>
      <c r="CS45" s="396"/>
      <c r="CT45" s="396"/>
      <c r="CU45" s="396"/>
      <c r="CV45" s="396"/>
      <c r="CW45" s="396"/>
      <c r="CX45" s="934"/>
      <c r="CY45" s="934"/>
      <c r="CZ45" s="934"/>
      <c r="DA45" s="934"/>
      <c r="DB45" s="767"/>
      <c r="DC45" s="767"/>
      <c r="DD45" s="934"/>
      <c r="DE45" s="934"/>
      <c r="DF45" s="934"/>
      <c r="DG45" s="934"/>
      <c r="DH45" s="396"/>
      <c r="DI45" s="934"/>
      <c r="DJ45" s="934"/>
      <c r="DK45" s="934"/>
      <c r="DL45" s="934"/>
      <c r="DM45" s="934"/>
      <c r="DN45" s="934"/>
      <c r="DO45" s="934"/>
      <c r="DP45" s="934"/>
      <c r="DQ45" s="934"/>
      <c r="DR45" s="934"/>
      <c r="DS45" s="934"/>
      <c r="DT45" s="934"/>
      <c r="DU45" s="396"/>
    </row>
    <row r="46" spans="1:125" ht="12.75" customHeight="1">
      <c r="A46" s="14" t="s">
        <v>88</v>
      </c>
      <c r="B46" s="12">
        <v>14521.93</v>
      </c>
      <c r="C46" s="4">
        <v>3349.32</v>
      </c>
      <c r="D46" s="4">
        <v>3914.58</v>
      </c>
      <c r="E46" s="4">
        <v>3738.59</v>
      </c>
      <c r="F46" s="12">
        <v>39667.440000000002</v>
      </c>
      <c r="G46" s="4">
        <v>4559.3999999999996</v>
      </c>
      <c r="H46" s="4">
        <v>4167.4799999999996</v>
      </c>
      <c r="I46" s="4">
        <v>4300.51</v>
      </c>
      <c r="J46" s="4">
        <v>4525.51</v>
      </c>
      <c r="K46" s="4">
        <v>4572.84</v>
      </c>
      <c r="L46" s="4">
        <v>5476.67</v>
      </c>
      <c r="M46" s="4">
        <v>5403.02</v>
      </c>
      <c r="N46" s="4">
        <v>4938.5600000000004</v>
      </c>
      <c r="O46" s="4">
        <v>5313.34</v>
      </c>
      <c r="P46" s="4">
        <v>5708.39</v>
      </c>
      <c r="Q46" s="4">
        <v>6019.64</v>
      </c>
      <c r="R46" s="4">
        <v>5623.65</v>
      </c>
      <c r="S46" s="12">
        <v>60609.01</v>
      </c>
      <c r="T46" s="4">
        <v>6995.65</v>
      </c>
      <c r="U46" s="4">
        <v>6002</v>
      </c>
      <c r="V46" s="4">
        <v>6555.64</v>
      </c>
      <c r="W46" s="4">
        <v>7451.39</v>
      </c>
      <c r="X46" s="4">
        <v>8194.8700000000008</v>
      </c>
      <c r="Y46" s="4">
        <v>9416.9599999999991</v>
      </c>
      <c r="Z46" s="4">
        <v>8881.1299999999992</v>
      </c>
      <c r="AA46" s="4">
        <v>10499.42</v>
      </c>
      <c r="AB46" s="4">
        <v>11606.13</v>
      </c>
      <c r="AC46" s="4">
        <v>11391.57</v>
      </c>
      <c r="AD46" s="4">
        <v>12302.65</v>
      </c>
      <c r="AE46" s="4">
        <v>11325.33</v>
      </c>
      <c r="AF46" s="396">
        <v>110622.74</v>
      </c>
      <c r="AG46" s="4">
        <v>12790.64</v>
      </c>
      <c r="AH46" s="4">
        <v>12772.94</v>
      </c>
      <c r="AI46" s="4">
        <v>13358.09</v>
      </c>
      <c r="AJ46" s="4">
        <v>12924.15</v>
      </c>
      <c r="AK46" s="4">
        <v>14452.43</v>
      </c>
      <c r="AL46" s="4">
        <v>15127.82</v>
      </c>
      <c r="AM46" s="4">
        <v>14895.92</v>
      </c>
      <c r="AN46" s="4">
        <v>16872.310000000001</v>
      </c>
      <c r="AO46" s="4">
        <v>19320.98</v>
      </c>
      <c r="AP46" s="4">
        <v>20954.47</v>
      </c>
      <c r="AQ46" s="4">
        <v>26370.13</v>
      </c>
      <c r="AR46" s="4">
        <v>26337.35</v>
      </c>
      <c r="AS46" s="12">
        <v>206177.23</v>
      </c>
      <c r="AT46" s="12"/>
      <c r="AU46" s="396">
        <v>206177.23</v>
      </c>
      <c r="AV46" s="4">
        <v>28539.97</v>
      </c>
      <c r="AW46" s="12">
        <v>28636.98</v>
      </c>
      <c r="AX46" s="12">
        <v>23416.82</v>
      </c>
      <c r="AY46" s="12">
        <v>22282.83</v>
      </c>
      <c r="AZ46" s="12">
        <v>24792.59</v>
      </c>
      <c r="BA46" s="12">
        <v>22289.57</v>
      </c>
      <c r="BB46" s="12">
        <v>23963.42</v>
      </c>
      <c r="BC46" s="12">
        <v>23779.279999999999</v>
      </c>
      <c r="BD46" s="12">
        <v>23255.88</v>
      </c>
      <c r="BE46" s="12">
        <v>25201.55</v>
      </c>
      <c r="BF46" s="12">
        <v>25097.3</v>
      </c>
      <c r="BG46" s="12">
        <v>25954.68</v>
      </c>
      <c r="BH46" s="396">
        <v>297210.87</v>
      </c>
      <c r="BI46" s="12">
        <v>29863.599999999999</v>
      </c>
      <c r="BJ46" s="12">
        <v>30384.880000000001</v>
      </c>
      <c r="BK46" s="12">
        <v>29154.07</v>
      </c>
      <c r="BL46" s="12">
        <v>27181.59</v>
      </c>
      <c r="BM46" s="12">
        <v>28045.25</v>
      </c>
      <c r="BN46" s="12">
        <v>26100.11</v>
      </c>
      <c r="BO46" s="12">
        <v>24973.74</v>
      </c>
      <c r="BP46" s="12">
        <v>25153.79</v>
      </c>
      <c r="BQ46" s="12">
        <v>25490</v>
      </c>
      <c r="BR46" s="12">
        <v>24145.75</v>
      </c>
      <c r="BS46" s="12">
        <v>27287.95</v>
      </c>
      <c r="BT46" s="12">
        <v>25303.18</v>
      </c>
      <c r="BU46" s="396">
        <f>SUM(BI46:BT46)</f>
        <v>323083.91000000003</v>
      </c>
      <c r="BV46" s="396">
        <v>31942.99</v>
      </c>
      <c r="BW46" s="12">
        <v>30280.97</v>
      </c>
      <c r="BX46" s="12">
        <v>34147.74</v>
      </c>
      <c r="BY46" s="12">
        <v>30460.639999999999</v>
      </c>
      <c r="BZ46" s="396">
        <v>31859.34</v>
      </c>
      <c r="CA46" s="396">
        <v>32657.71</v>
      </c>
      <c r="CB46" s="396">
        <v>31933.279999999999</v>
      </c>
      <c r="CC46" s="396">
        <v>35526.959999999999</v>
      </c>
      <c r="CD46" s="396">
        <v>34553.33</v>
      </c>
      <c r="CE46" s="396">
        <v>36690.239999999998</v>
      </c>
      <c r="CF46" s="396">
        <v>38769.96</v>
      </c>
      <c r="CG46" s="396">
        <v>38284.36</v>
      </c>
      <c r="CH46" s="396">
        <f>SUM(BV46:CG46)</f>
        <v>407107.52</v>
      </c>
      <c r="CI46" s="396">
        <v>45197.4</v>
      </c>
      <c r="CJ46" s="396">
        <v>37845.61</v>
      </c>
      <c r="CK46" s="396">
        <v>47393.24</v>
      </c>
      <c r="CL46" s="396">
        <v>46114.98</v>
      </c>
      <c r="CM46" s="396">
        <v>50670.63</v>
      </c>
      <c r="CN46" s="396">
        <v>52107.47</v>
      </c>
      <c r="CO46" s="396">
        <v>53700.78</v>
      </c>
      <c r="CP46" s="396">
        <v>57486.13</v>
      </c>
      <c r="CQ46" s="396">
        <v>60998.35</v>
      </c>
      <c r="CR46" s="396">
        <v>63746.13</v>
      </c>
      <c r="CS46" s="396">
        <v>69859.86</v>
      </c>
      <c r="CT46" s="396">
        <v>67696.03</v>
      </c>
      <c r="CU46" s="396">
        <f>SUM(CI46:CT46)</f>
        <v>652816.61</v>
      </c>
      <c r="CV46" s="396">
        <v>72244.44</v>
      </c>
      <c r="CW46" s="396">
        <v>78358.16</v>
      </c>
      <c r="CX46" s="934">
        <v>79411.37</v>
      </c>
      <c r="CY46" s="934">
        <v>76097.08</v>
      </c>
      <c r="CZ46" s="934">
        <v>90119.35</v>
      </c>
      <c r="DA46" s="934">
        <v>85777.32</v>
      </c>
      <c r="DB46" s="767">
        <v>80718.429999999993</v>
      </c>
      <c r="DC46" s="767">
        <v>84468.39</v>
      </c>
      <c r="DD46" s="934">
        <v>81543.44</v>
      </c>
      <c r="DE46" s="934">
        <v>82691.7</v>
      </c>
      <c r="DF46" s="934">
        <v>63218.13</v>
      </c>
      <c r="DG46" s="934">
        <v>72100.73</v>
      </c>
      <c r="DH46" s="396">
        <f>SUM(CV46:DG46)</f>
        <v>946748.53999999992</v>
      </c>
      <c r="DI46" s="934">
        <v>84496.12</v>
      </c>
      <c r="DJ46" s="934">
        <v>72179.039999999994</v>
      </c>
      <c r="DK46" s="934">
        <v>76323.94</v>
      </c>
      <c r="DL46" s="934">
        <v>72952.62</v>
      </c>
      <c r="DM46" s="934">
        <v>72008.11</v>
      </c>
      <c r="DN46" s="934">
        <v>68996.94</v>
      </c>
      <c r="DO46" s="934">
        <v>71683.149999999994</v>
      </c>
      <c r="DP46" s="934">
        <v>73518.149999999994</v>
      </c>
      <c r="DQ46" s="934">
        <v>66822.990000000005</v>
      </c>
      <c r="DR46" s="934">
        <v>71410.7</v>
      </c>
      <c r="DS46" s="934"/>
      <c r="DT46" s="934"/>
      <c r="DU46" s="396">
        <f>SUM(DI46:DT46)</f>
        <v>730391.75999999989</v>
      </c>
    </row>
    <row r="47" spans="1:125" ht="12.75" customHeight="1">
      <c r="A47" s="14" t="s">
        <v>89</v>
      </c>
      <c r="B47" s="12">
        <v>33247.760000000002</v>
      </c>
      <c r="C47" s="4">
        <v>8858.85</v>
      </c>
      <c r="D47" s="4">
        <v>8797.9699999999993</v>
      </c>
      <c r="E47" s="4">
        <v>11336.77</v>
      </c>
      <c r="F47" s="12">
        <v>88834.65</v>
      </c>
      <c r="G47" s="4">
        <v>13652.37</v>
      </c>
      <c r="H47" s="4">
        <v>14198.74</v>
      </c>
      <c r="I47" s="4">
        <v>14191.95</v>
      </c>
      <c r="J47" s="4">
        <v>13049.43</v>
      </c>
      <c r="K47" s="4">
        <v>16822.13</v>
      </c>
      <c r="L47" s="4">
        <v>15774.48</v>
      </c>
      <c r="M47" s="4">
        <v>15920.96</v>
      </c>
      <c r="N47" s="4">
        <v>15562.09</v>
      </c>
      <c r="O47" s="4">
        <v>11293.78</v>
      </c>
      <c r="P47" s="4">
        <v>17805.759999999998</v>
      </c>
      <c r="Q47" s="4">
        <v>9253.02</v>
      </c>
      <c r="R47" s="4">
        <v>17607.919999999998</v>
      </c>
      <c r="S47" s="12">
        <v>175132.63</v>
      </c>
      <c r="T47" s="4">
        <v>16420.39</v>
      </c>
      <c r="U47" s="4">
        <v>16034</v>
      </c>
      <c r="V47" s="4">
        <v>15379.57</v>
      </c>
      <c r="W47" s="4">
        <v>21118.58</v>
      </c>
      <c r="X47" s="4">
        <v>17409.52</v>
      </c>
      <c r="Y47" s="4">
        <v>17335.86</v>
      </c>
      <c r="Z47" s="4">
        <v>23479.45</v>
      </c>
      <c r="AA47" s="4">
        <v>28814.51</v>
      </c>
      <c r="AB47" s="4">
        <v>25646.65</v>
      </c>
      <c r="AC47" s="4">
        <v>28054.09</v>
      </c>
      <c r="AD47" s="4">
        <v>24224.83</v>
      </c>
      <c r="AE47" s="4">
        <v>33968.18</v>
      </c>
      <c r="AF47" s="396">
        <v>267885.63</v>
      </c>
      <c r="AG47" s="4">
        <v>36535.120000000003</v>
      </c>
      <c r="AH47" s="4">
        <v>40625.14</v>
      </c>
      <c r="AI47" s="4">
        <v>33401.300000000003</v>
      </c>
      <c r="AJ47" s="4">
        <v>49482.39</v>
      </c>
      <c r="AK47" s="4">
        <v>54962.47</v>
      </c>
      <c r="AL47" s="4">
        <v>58084.68</v>
      </c>
      <c r="AM47" s="4">
        <v>70186.259999999995</v>
      </c>
      <c r="AN47" s="4">
        <v>67884.039999999994</v>
      </c>
      <c r="AO47" s="4">
        <v>88337.76</v>
      </c>
      <c r="AP47" s="4">
        <v>95085.19</v>
      </c>
      <c r="AQ47" s="4">
        <v>57712.94</v>
      </c>
      <c r="AR47" s="4">
        <v>127575.35</v>
      </c>
      <c r="AS47" s="12">
        <v>779872.64</v>
      </c>
      <c r="AT47" s="12"/>
      <c r="AU47" s="396">
        <v>779872.64</v>
      </c>
      <c r="AV47" s="4">
        <v>82296.789999999994</v>
      </c>
      <c r="AW47" s="12">
        <v>59486.39</v>
      </c>
      <c r="AX47" s="12">
        <v>78059.78</v>
      </c>
      <c r="AY47" s="12">
        <v>59638.99</v>
      </c>
      <c r="AZ47" s="12">
        <v>49160.37</v>
      </c>
      <c r="BA47" s="12">
        <v>72481.119999999995</v>
      </c>
      <c r="BB47" s="12">
        <v>77029.13</v>
      </c>
      <c r="BC47" s="12">
        <v>74453.13</v>
      </c>
      <c r="BD47" s="12">
        <v>83643.98</v>
      </c>
      <c r="BE47" s="12">
        <v>66900.33</v>
      </c>
      <c r="BF47" s="12">
        <v>60243.65</v>
      </c>
      <c r="BG47" s="12">
        <v>105679.47</v>
      </c>
      <c r="BH47" s="396">
        <v>869073.12999999989</v>
      </c>
      <c r="BI47" s="12">
        <v>104315.96</v>
      </c>
      <c r="BJ47" s="12">
        <v>91766.69</v>
      </c>
      <c r="BK47" s="12">
        <v>89473.75</v>
      </c>
      <c r="BL47" s="12">
        <v>91898.13</v>
      </c>
      <c r="BM47" s="12">
        <v>77716.639999999999</v>
      </c>
      <c r="BN47" s="12">
        <v>79325</v>
      </c>
      <c r="BO47" s="12">
        <v>80477.070000000007</v>
      </c>
      <c r="BP47" s="12">
        <v>103477.97</v>
      </c>
      <c r="BQ47" s="12">
        <v>108437</v>
      </c>
      <c r="BR47" s="12">
        <v>133209.60000000001</v>
      </c>
      <c r="BS47" s="12">
        <v>78955.53</v>
      </c>
      <c r="BT47" s="396">
        <v>105952.34</v>
      </c>
      <c r="BU47" s="396">
        <f>SUM(BI47:BT47)</f>
        <v>1145005.68</v>
      </c>
      <c r="BV47" s="396">
        <v>102472.6</v>
      </c>
      <c r="BW47" s="12">
        <v>86095.31</v>
      </c>
      <c r="BX47" s="12">
        <v>105390.54</v>
      </c>
      <c r="BY47" s="12">
        <v>123689.7</v>
      </c>
      <c r="BZ47" s="396">
        <v>127955.3</v>
      </c>
      <c r="CA47" s="579">
        <v>119073.68</v>
      </c>
      <c r="CB47" s="456">
        <v>113575.9</v>
      </c>
      <c r="CC47" s="396">
        <v>105106.25</v>
      </c>
      <c r="CD47" s="396">
        <v>130476.58</v>
      </c>
      <c r="CE47" s="396">
        <v>121391.75</v>
      </c>
      <c r="CF47" s="396">
        <v>93672.61</v>
      </c>
      <c r="CG47" s="396">
        <v>105454.78</v>
      </c>
      <c r="CH47" s="396">
        <f>SUM(BV47:CG47)</f>
        <v>1334355.0000000002</v>
      </c>
      <c r="CI47" s="396">
        <v>110987.76</v>
      </c>
      <c r="CJ47" s="396">
        <v>105671.88</v>
      </c>
      <c r="CK47" s="396">
        <v>124632.75</v>
      </c>
      <c r="CL47" s="396">
        <v>143502.26999999999</v>
      </c>
      <c r="CM47" s="396">
        <v>149627.66</v>
      </c>
      <c r="CN47" s="396">
        <v>170372.67</v>
      </c>
      <c r="CO47" s="396">
        <v>160822.04999999999</v>
      </c>
      <c r="CP47" s="396">
        <v>168322.17</v>
      </c>
      <c r="CQ47" s="396">
        <v>166620.82</v>
      </c>
      <c r="CR47" s="396">
        <v>175877.51</v>
      </c>
      <c r="CS47" s="396">
        <v>140780.49</v>
      </c>
      <c r="CT47" s="396">
        <v>188378.22</v>
      </c>
      <c r="CU47" s="396">
        <f>SUM(CI47:CT47)</f>
        <v>1805596.25</v>
      </c>
      <c r="CV47" s="396">
        <v>191028.52</v>
      </c>
      <c r="CW47" s="396">
        <v>164721.23000000001</v>
      </c>
      <c r="CX47" s="934">
        <v>161033.93</v>
      </c>
      <c r="CY47" s="934">
        <v>196534.11</v>
      </c>
      <c r="CZ47" s="934">
        <v>215087.78</v>
      </c>
      <c r="DA47" s="934">
        <v>190730.21</v>
      </c>
      <c r="DB47" s="767">
        <v>214247.43</v>
      </c>
      <c r="DC47" s="767">
        <v>256941.01</v>
      </c>
      <c r="DD47" s="934">
        <v>241643.68</v>
      </c>
      <c r="DE47" s="934">
        <v>186666.51</v>
      </c>
      <c r="DF47" s="934">
        <v>255147.99</v>
      </c>
      <c r="DG47" s="934">
        <v>227639.59</v>
      </c>
      <c r="DH47" s="396">
        <f>SUM(CV47:DG47)</f>
        <v>2501421.9899999998</v>
      </c>
      <c r="DI47" s="934">
        <v>171754.87</v>
      </c>
      <c r="DJ47" s="934">
        <v>189388.79999999999</v>
      </c>
      <c r="DK47" s="934">
        <v>154980.47</v>
      </c>
      <c r="DL47" s="934">
        <v>216849.44</v>
      </c>
      <c r="DM47" s="934">
        <v>178478.72</v>
      </c>
      <c r="DN47" s="934">
        <v>178012.24</v>
      </c>
      <c r="DO47" s="934">
        <v>177831.27</v>
      </c>
      <c r="DP47" s="934">
        <v>175679.69</v>
      </c>
      <c r="DQ47" s="934">
        <v>230587.81</v>
      </c>
      <c r="DR47" s="934">
        <v>183259.17</v>
      </c>
      <c r="DS47" s="934"/>
      <c r="DT47" s="934"/>
      <c r="DU47" s="396">
        <f>SUM(DI47:DT47)</f>
        <v>1856822.48</v>
      </c>
    </row>
    <row r="48" spans="1:125" ht="12.75" customHeight="1">
      <c r="A48" s="17" t="s">
        <v>721</v>
      </c>
      <c r="B48" s="18">
        <f>SUM(B46:B47)</f>
        <v>47769.69</v>
      </c>
      <c r="C48" s="19">
        <f>SUM(C46:C47)</f>
        <v>12208.17</v>
      </c>
      <c r="D48" s="19">
        <f>SUM(D46:D47)</f>
        <v>12712.55</v>
      </c>
      <c r="E48" s="19">
        <f>SUM(E46:E47)</f>
        <v>15075.36</v>
      </c>
      <c r="F48" s="18">
        <f>SUM(F46:F47)</f>
        <v>128502.09</v>
      </c>
      <c r="G48" s="19">
        <f t="shared" ref="G48:R48" si="25">SUM(G41:G47)</f>
        <v>18211.77</v>
      </c>
      <c r="H48" s="19">
        <f t="shared" si="25"/>
        <v>18366.22</v>
      </c>
      <c r="I48" s="19">
        <f t="shared" si="25"/>
        <v>18492.46</v>
      </c>
      <c r="J48" s="19">
        <f t="shared" si="25"/>
        <v>17574.940000000002</v>
      </c>
      <c r="K48" s="19">
        <f t="shared" si="25"/>
        <v>21394.97</v>
      </c>
      <c r="L48" s="19">
        <f t="shared" si="25"/>
        <v>21251.15</v>
      </c>
      <c r="M48" s="19">
        <f t="shared" si="25"/>
        <v>21323.98</v>
      </c>
      <c r="N48" s="19">
        <f t="shared" si="25"/>
        <v>20500.650000000001</v>
      </c>
      <c r="O48" s="19">
        <f t="shared" si="25"/>
        <v>16607.120000000003</v>
      </c>
      <c r="P48" s="19">
        <f t="shared" si="25"/>
        <v>23514.149999999998</v>
      </c>
      <c r="Q48" s="19">
        <f t="shared" si="25"/>
        <v>15272.66</v>
      </c>
      <c r="R48" s="19">
        <f t="shared" si="25"/>
        <v>33868.1</v>
      </c>
      <c r="S48" s="18">
        <f>SUM(S43:S47)</f>
        <v>246378.17</v>
      </c>
      <c r="T48" s="27">
        <f>SUM(T46:T47)</f>
        <v>23416.04</v>
      </c>
      <c r="U48" s="19">
        <v>22035</v>
      </c>
      <c r="V48" s="19">
        <f t="shared" ref="V48:AE48" si="26">SUM(V46:V47)</f>
        <v>21935.21</v>
      </c>
      <c r="W48" s="19">
        <f t="shared" si="26"/>
        <v>28569.97</v>
      </c>
      <c r="X48" s="19">
        <f t="shared" si="26"/>
        <v>25604.39</v>
      </c>
      <c r="Y48" s="19">
        <f t="shared" si="26"/>
        <v>26752.82</v>
      </c>
      <c r="Z48" s="19">
        <f t="shared" si="26"/>
        <v>32360.58</v>
      </c>
      <c r="AA48" s="19">
        <f t="shared" si="26"/>
        <v>39313.93</v>
      </c>
      <c r="AB48" s="19">
        <f t="shared" si="26"/>
        <v>37252.78</v>
      </c>
      <c r="AC48" s="19">
        <f t="shared" si="26"/>
        <v>39445.660000000003</v>
      </c>
      <c r="AD48" s="19">
        <f t="shared" si="26"/>
        <v>36527.480000000003</v>
      </c>
      <c r="AE48" s="19">
        <f t="shared" si="26"/>
        <v>45293.51</v>
      </c>
      <c r="AF48" s="397">
        <v>378507.37</v>
      </c>
      <c r="AG48" s="19">
        <v>49325.760000000002</v>
      </c>
      <c r="AH48" s="19">
        <v>53398.080000000002</v>
      </c>
      <c r="AI48" s="19">
        <v>46759.39</v>
      </c>
      <c r="AJ48" s="19">
        <v>62406.54</v>
      </c>
      <c r="AK48" s="19">
        <v>69414.899999999994</v>
      </c>
      <c r="AL48" s="19">
        <v>73212.5</v>
      </c>
      <c r="AM48" s="19">
        <v>85082.18</v>
      </c>
      <c r="AN48" s="19">
        <v>84756.349999999991</v>
      </c>
      <c r="AO48" s="19">
        <v>107658.73999999999</v>
      </c>
      <c r="AP48" s="19">
        <v>116039.66</v>
      </c>
      <c r="AQ48" s="19">
        <v>84083.07</v>
      </c>
      <c r="AR48" s="19">
        <v>153912.70000000001</v>
      </c>
      <c r="AS48" s="22">
        <v>986049.86999999988</v>
      </c>
      <c r="AT48" s="19">
        <v>0</v>
      </c>
      <c r="AU48" s="397">
        <v>986049.86999999988</v>
      </c>
      <c r="AV48" s="19">
        <v>110836.76</v>
      </c>
      <c r="AW48" s="18">
        <v>88123.37</v>
      </c>
      <c r="AX48" s="18">
        <v>101476.6</v>
      </c>
      <c r="AY48" s="18">
        <v>81921.820000000007</v>
      </c>
      <c r="AZ48" s="18">
        <v>73952.960000000006</v>
      </c>
      <c r="BA48" s="18">
        <v>94770.69</v>
      </c>
      <c r="BB48" s="18">
        <v>100992.55</v>
      </c>
      <c r="BC48" s="18">
        <v>98232.41</v>
      </c>
      <c r="BD48" s="18">
        <v>106899.86</v>
      </c>
      <c r="BE48" s="18">
        <v>92101.88</v>
      </c>
      <c r="BF48" s="18">
        <v>85340.95</v>
      </c>
      <c r="BG48" s="18">
        <v>131634.15</v>
      </c>
      <c r="BH48" s="397">
        <v>1166284</v>
      </c>
      <c r="BI48" s="18">
        <f>SUM('P&amp;L -Dec25'!BI46:BI47)</f>
        <v>134179.56</v>
      </c>
      <c r="BJ48" s="18">
        <f>SUM('P&amp;L -Dec25'!BJ46:BJ47)</f>
        <v>122151.57</v>
      </c>
      <c r="BK48" s="18">
        <f>SUM('P&amp;L -Dec25'!BK46:BK47)</f>
        <v>118627.82</v>
      </c>
      <c r="BL48" s="18">
        <f>SUM('P&amp;L -Dec25'!BL46:BL47)</f>
        <v>119079.72</v>
      </c>
      <c r="BM48" s="18">
        <f>SUM('P&amp;L -Dec25'!BM46:BM47)</f>
        <v>105761.89</v>
      </c>
      <c r="BN48" s="18">
        <f>SUM('P&amp;L -Dec25'!BN46:BN47)</f>
        <v>105425.11</v>
      </c>
      <c r="BO48" s="18">
        <f>SUM('P&amp;L -Dec25'!BO46:BO47)</f>
        <v>105450.81000000001</v>
      </c>
      <c r="BP48" s="18">
        <f>SUM('P&amp;L -Dec25'!BP46:BP47)</f>
        <v>128631.76000000001</v>
      </c>
      <c r="BQ48" s="18">
        <f>SUM('P&amp;L -Dec25'!BQ46:BQ47)</f>
        <v>133927</v>
      </c>
      <c r="BR48" s="18">
        <f>SUM('P&amp;L -Dec25'!BR46:BR47)</f>
        <v>157355.35</v>
      </c>
      <c r="BS48" s="18">
        <f>SUM(BS46:BS47)</f>
        <v>106243.48</v>
      </c>
      <c r="BT48" s="18">
        <f>SUM(BT46:BT47)</f>
        <v>131255.51999999999</v>
      </c>
      <c r="BU48" s="397">
        <f>SUM(BI48:BT48)</f>
        <v>1468089.5900000003</v>
      </c>
      <c r="BV48" s="18">
        <f>SUM(BV46:BV47)</f>
        <v>134415.59</v>
      </c>
      <c r="BW48" s="18">
        <f>SUM('P&amp;L -Dec25'!BW46:BW47)</f>
        <v>116376.28</v>
      </c>
      <c r="BX48" s="18">
        <f>SUM('P&amp;L -Dec25'!BX46:BX47)</f>
        <v>139538.28</v>
      </c>
      <c r="BY48" s="18">
        <f>SUM('P&amp;L -Dec25'!BY46:BY47)</f>
        <v>154150.34</v>
      </c>
      <c r="BZ48" s="18">
        <f>SUM('P&amp;L -Dec25'!BZ46:BZ47)</f>
        <v>159814.64000000001</v>
      </c>
      <c r="CA48" s="18">
        <f>SUM('P&amp;L -Dec25'!CA46:CA47)</f>
        <v>151731.38999999998</v>
      </c>
      <c r="CB48" s="18">
        <f>SUM('P&amp;L -Dec25'!CB46:CB47)</f>
        <v>145509.18</v>
      </c>
      <c r="CC48" s="18">
        <f>SUM('P&amp;L -Dec25'!CC46:CC47)</f>
        <v>140633.21</v>
      </c>
      <c r="CD48" s="18">
        <f>SUM('P&amp;L -Dec25'!CD46:CD47)</f>
        <v>165029.91</v>
      </c>
      <c r="CE48" s="18">
        <f>SUM('P&amp;L -Dec25'!CE46:CE47)</f>
        <v>158081.99</v>
      </c>
      <c r="CF48" s="18">
        <f>SUM('P&amp;L -Dec25'!CF46:CF47)</f>
        <v>132442.57</v>
      </c>
      <c r="CG48" s="18">
        <f>SUM('P&amp;L -Dec25'!CG46:CG47)</f>
        <v>143739.14000000001</v>
      </c>
      <c r="CH48" s="397">
        <f>SUM(BV48:CG48)</f>
        <v>1741462.52</v>
      </c>
      <c r="CI48" s="18">
        <f>SUM('P&amp;L -Dec25'!CI46:CI47)</f>
        <v>156185.16</v>
      </c>
      <c r="CJ48" s="18">
        <f>SUM('P&amp;L -Dec25'!CJ46:CJ47)</f>
        <v>143517.49</v>
      </c>
      <c r="CK48" s="18">
        <f>SUM('P&amp;L -Dec25'!CK46:CK47)</f>
        <v>172025.99</v>
      </c>
      <c r="CL48" s="18">
        <f>SUM('P&amp;L -Dec25'!CL46:CL47)</f>
        <v>189617.25</v>
      </c>
      <c r="CM48" s="18">
        <f>SUM('P&amp;L -Dec25'!CM46:CM47)</f>
        <v>200298.29</v>
      </c>
      <c r="CN48" s="18">
        <f>SUM('P&amp;L -Dec25'!CN46:CN47)</f>
        <v>222480.14</v>
      </c>
      <c r="CO48" s="18">
        <f>SUM('P&amp;L -Dec25'!CO46:CO47)</f>
        <v>214522.83</v>
      </c>
      <c r="CP48" s="18">
        <f>SUM('P&amp;L -Dec25'!CP46:CP47)</f>
        <v>225808.30000000002</v>
      </c>
      <c r="CQ48" s="18">
        <f>SUM('P&amp;L -Dec25'!CQ46:CQ47)</f>
        <v>227619.17</v>
      </c>
      <c r="CR48" s="18">
        <f>SUM('P&amp;L -Dec25'!CR46:CR47)</f>
        <v>239623.64</v>
      </c>
      <c r="CS48" s="18">
        <f>SUM('P&amp;L -Dec25'!CS46:CS47)</f>
        <v>210640.34999999998</v>
      </c>
      <c r="CT48" s="18">
        <f>SUM('P&amp;L -Dec25'!CT46:CT47)</f>
        <v>256074.25</v>
      </c>
      <c r="CU48" s="397">
        <f>SUM(CI48:CT48)</f>
        <v>2458412.8600000003</v>
      </c>
      <c r="CV48" s="397">
        <f>SUM('P&amp;L -Dec25'!CV46:CV47)</f>
        <v>263272.95999999996</v>
      </c>
      <c r="CW48" s="397">
        <f>SUM('P&amp;L -Dec25'!CW46:CW47)</f>
        <v>243079.39</v>
      </c>
      <c r="CX48" s="397">
        <f>SUM('P&amp;L -Dec25'!CX46:CX47)</f>
        <v>240445.3</v>
      </c>
      <c r="CY48" s="397">
        <f>SUM('P&amp;L -Dec25'!CY46:CY47)</f>
        <v>272631.19</v>
      </c>
      <c r="CZ48" s="397">
        <f>SUM('P&amp;L -Dec25'!CZ46:CZ47)</f>
        <v>305207.13</v>
      </c>
      <c r="DA48" s="397">
        <f>SUM('P&amp;L -Dec25'!DA46:DA47)</f>
        <v>276507.53000000003</v>
      </c>
      <c r="DB48" s="22">
        <f>SUM('P&amp;L -Dec25'!DB46:DB47)</f>
        <v>294965.86</v>
      </c>
      <c r="DC48" s="22">
        <f>SUM('P&amp;L -Dec25'!DC46:DC47)</f>
        <v>341409.4</v>
      </c>
      <c r="DD48" s="22">
        <f>SUM('P&amp;L -Dec25'!DD46:DD47)</f>
        <v>323187.12</v>
      </c>
      <c r="DE48" s="22">
        <f>SUM('P&amp;L -Dec25'!DE46:DE47)</f>
        <v>269358.21000000002</v>
      </c>
      <c r="DF48" s="22">
        <f>SUM('P&amp;L -Dec25'!DF46:DF47)</f>
        <v>318366.12</v>
      </c>
      <c r="DG48" s="22">
        <f>SUM('P&amp;L -Dec25'!DG46:DG47)</f>
        <v>299740.32</v>
      </c>
      <c r="DH48" s="397">
        <f>SUM(CV48:DG48)</f>
        <v>3448170.53</v>
      </c>
      <c r="DI48" s="22">
        <f>SUM('P&amp;L -Dec25'!DI46:DI47)</f>
        <v>256250.99</v>
      </c>
      <c r="DJ48" s="22">
        <f>SUM('P&amp;L -Dec25'!DJ46:DJ47)</f>
        <v>261567.83999999997</v>
      </c>
      <c r="DK48" s="22">
        <f>SUM('P&amp;L -Dec25'!DK46:DK47)</f>
        <v>231304.41</v>
      </c>
      <c r="DL48" s="22">
        <f>SUM('P&amp;L -Dec25'!DL46:DL47)</f>
        <v>289802.06</v>
      </c>
      <c r="DM48" s="22">
        <f>SUM('P&amp;L -Dec25'!DM46:DM47)</f>
        <v>250486.83000000002</v>
      </c>
      <c r="DN48" s="22">
        <f>SUM('P&amp;L -Dec25'!DN46:DN47)</f>
        <v>247009.18</v>
      </c>
      <c r="DO48" s="22">
        <f>SUM('P&amp;L -Dec25'!DO46:DO47)</f>
        <v>249514.41999999998</v>
      </c>
      <c r="DP48" s="22">
        <f>SUM('P&amp;L -Dec25'!DP46:DP47)</f>
        <v>249197.84</v>
      </c>
      <c r="DQ48" s="22">
        <f>SUM('P&amp;L -Dec25'!DQ46:DQ47)</f>
        <v>297410.8</v>
      </c>
      <c r="DR48" s="22">
        <f>SUM('P&amp;L -Dec25'!DR46:DR47)</f>
        <v>254669.87</v>
      </c>
      <c r="DS48" s="22">
        <f>SUM('P&amp;L -Dec25'!DS46:DS47)</f>
        <v>0</v>
      </c>
      <c r="DT48" s="22">
        <f>SUM('P&amp;L -Dec25'!DT46:DT47)</f>
        <v>0</v>
      </c>
      <c r="DU48" s="397">
        <f>SUM(DI48:DT48)</f>
        <v>2587214.2400000002</v>
      </c>
    </row>
    <row r="49" spans="1:126" ht="7.65" customHeight="1">
      <c r="A49" s="539"/>
      <c r="B49" s="434"/>
      <c r="C49" s="434"/>
      <c r="D49" s="434"/>
      <c r="E49" s="434"/>
      <c r="F49" s="434"/>
      <c r="G49" s="434"/>
      <c r="H49" s="434"/>
      <c r="I49" s="434"/>
      <c r="J49" s="434"/>
      <c r="K49" s="434"/>
      <c r="L49" s="434"/>
      <c r="M49" s="434"/>
      <c r="N49" s="434"/>
      <c r="O49" s="434"/>
      <c r="P49" s="434"/>
      <c r="Q49" s="434"/>
      <c r="R49" s="434"/>
      <c r="S49" s="762"/>
      <c r="T49" s="434"/>
      <c r="U49" s="434"/>
      <c r="V49" s="434"/>
      <c r="W49" s="434"/>
      <c r="X49" s="434"/>
      <c r="Y49" s="434"/>
      <c r="Z49" s="434"/>
      <c r="AA49" s="434"/>
      <c r="AB49" s="434"/>
      <c r="AC49" s="434"/>
      <c r="AD49" s="434"/>
      <c r="AE49" s="434"/>
      <c r="AF49" s="762"/>
      <c r="AG49" s="434"/>
      <c r="AH49" s="434"/>
      <c r="AI49" s="434"/>
      <c r="AJ49" s="434"/>
      <c r="AK49" s="434"/>
      <c r="AL49" s="434"/>
      <c r="AM49" s="434"/>
      <c r="AN49" s="434"/>
      <c r="AO49" s="434"/>
      <c r="AP49" s="434"/>
      <c r="AQ49" s="434"/>
      <c r="AR49" s="434"/>
      <c r="AS49" s="902"/>
      <c r="AT49" s="434"/>
      <c r="AU49" s="762"/>
      <c r="AV49" s="434"/>
      <c r="AW49" s="762"/>
      <c r="AX49" s="762"/>
      <c r="AY49" s="762"/>
      <c r="AZ49" s="762"/>
      <c r="BA49" s="762"/>
      <c r="BB49" s="762"/>
      <c r="BC49" s="762"/>
      <c r="BD49" s="762"/>
      <c r="BE49" s="762"/>
      <c r="BF49" s="762"/>
      <c r="BG49" s="762"/>
      <c r="BH49" s="762"/>
      <c r="BI49" s="762"/>
      <c r="BJ49" s="762"/>
      <c r="BK49" s="762"/>
      <c r="BL49" s="762"/>
      <c r="BM49" s="762"/>
      <c r="BN49" s="762"/>
      <c r="BO49" s="762"/>
      <c r="BP49" s="762"/>
      <c r="BQ49" s="762"/>
      <c r="BR49" s="762"/>
      <c r="BS49" s="762"/>
      <c r="BT49" s="762"/>
      <c r="BU49" s="762"/>
      <c r="BV49" s="762"/>
      <c r="BW49" s="762"/>
      <c r="BX49" s="762"/>
      <c r="BY49" s="762"/>
      <c r="BZ49" s="762"/>
      <c r="CA49" s="762"/>
      <c r="CB49" s="762"/>
      <c r="CC49" s="762"/>
      <c r="CD49" s="762"/>
      <c r="CE49" s="762"/>
      <c r="CF49" s="762"/>
      <c r="CG49" s="762"/>
      <c r="CH49" s="762"/>
      <c r="CI49" s="762"/>
      <c r="CJ49" s="762"/>
      <c r="CK49" s="762"/>
      <c r="CL49" s="762"/>
      <c r="CM49" s="762"/>
      <c r="CN49" s="762"/>
      <c r="CO49" s="762"/>
      <c r="CP49" s="762"/>
      <c r="CQ49" s="762"/>
      <c r="CR49" s="762"/>
      <c r="CS49" s="762"/>
      <c r="CT49" s="762"/>
      <c r="CU49" s="762"/>
      <c r="CV49" s="762"/>
      <c r="CW49" s="762"/>
      <c r="CX49" s="938"/>
      <c r="CY49" s="938"/>
      <c r="CZ49" s="938"/>
      <c r="DA49" s="938"/>
      <c r="DB49" s="938"/>
      <c r="DC49" s="938"/>
      <c r="DD49" s="938"/>
      <c r="DE49" s="938"/>
      <c r="DF49" s="938"/>
      <c r="DG49" s="938"/>
      <c r="DH49" s="762"/>
      <c r="DI49" s="938"/>
      <c r="DJ49" s="938"/>
      <c r="DK49" s="938"/>
      <c r="DL49" s="938"/>
      <c r="DM49" s="938"/>
      <c r="DN49" s="938"/>
      <c r="DO49" s="938"/>
      <c r="DP49" s="938"/>
      <c r="DQ49" s="938"/>
      <c r="DR49" s="938"/>
      <c r="DS49" s="938"/>
      <c r="DT49" s="938"/>
      <c r="DU49" s="762"/>
    </row>
    <row r="50" spans="1:126" ht="12.75" customHeight="1">
      <c r="A50" s="13" t="s">
        <v>720</v>
      </c>
      <c r="B50" s="434"/>
      <c r="C50" s="434"/>
      <c r="D50" s="434"/>
      <c r="E50" s="434"/>
      <c r="F50" s="434"/>
      <c r="G50" s="434"/>
      <c r="H50" s="434"/>
      <c r="I50" s="434"/>
      <c r="J50" s="434"/>
      <c r="K50" s="434"/>
      <c r="L50" s="434"/>
      <c r="M50" s="434"/>
      <c r="N50" s="434"/>
      <c r="O50" s="434"/>
      <c r="P50" s="434"/>
      <c r="Q50" s="434"/>
      <c r="R50" s="434"/>
      <c r="S50" s="762"/>
      <c r="T50" s="434"/>
      <c r="U50" s="434"/>
      <c r="V50" s="434"/>
      <c r="W50" s="434"/>
      <c r="X50" s="434"/>
      <c r="Y50" s="434"/>
      <c r="Z50" s="434"/>
      <c r="AA50" s="434"/>
      <c r="AB50" s="434"/>
      <c r="AC50" s="434"/>
      <c r="AD50" s="434"/>
      <c r="AE50" s="434"/>
      <c r="AF50" s="762"/>
      <c r="AG50" s="434"/>
      <c r="AH50" s="434"/>
      <c r="AI50" s="434"/>
      <c r="AJ50" s="434"/>
      <c r="AK50" s="434"/>
      <c r="AL50" s="434"/>
      <c r="AM50" s="434"/>
      <c r="AN50" s="434"/>
      <c r="AO50" s="434"/>
      <c r="AP50" s="434"/>
      <c r="AQ50" s="434"/>
      <c r="AR50" s="434"/>
      <c r="AS50" s="902"/>
      <c r="AT50" s="434"/>
      <c r="AU50" s="762"/>
      <c r="AV50" s="434"/>
      <c r="AW50" s="762"/>
      <c r="AX50" s="762"/>
      <c r="AY50" s="762"/>
      <c r="AZ50" s="762"/>
      <c r="BA50" s="762"/>
      <c r="BB50" s="762"/>
      <c r="BC50" s="762"/>
      <c r="BD50" s="762"/>
      <c r="BE50" s="762"/>
      <c r="BF50" s="762"/>
      <c r="BG50" s="762"/>
      <c r="BH50" s="762"/>
      <c r="BI50" s="762"/>
      <c r="BJ50" s="762"/>
      <c r="BK50" s="762"/>
      <c r="BL50" s="762"/>
      <c r="BM50" s="762"/>
      <c r="BN50" s="762"/>
      <c r="BO50" s="762"/>
      <c r="BP50" s="762"/>
      <c r="BQ50" s="762"/>
      <c r="BR50" s="762"/>
      <c r="BS50" s="762"/>
      <c r="BT50" s="762"/>
      <c r="BU50" s="762"/>
      <c r="BV50" s="762"/>
      <c r="BW50" s="762"/>
      <c r="BX50" s="762"/>
      <c r="BY50" s="762"/>
      <c r="BZ50" s="762"/>
      <c r="CA50" s="762"/>
      <c r="CB50" s="762"/>
      <c r="CC50" s="762"/>
      <c r="CD50" s="762"/>
      <c r="CE50" s="762"/>
      <c r="CF50" s="762"/>
      <c r="CG50" s="762"/>
      <c r="CH50" s="762"/>
      <c r="CI50" s="762"/>
      <c r="CJ50" s="762"/>
      <c r="CK50" s="762"/>
      <c r="CL50" s="762"/>
      <c r="CM50" s="762"/>
      <c r="CN50" s="762"/>
      <c r="CO50" s="762"/>
      <c r="CP50" s="762"/>
      <c r="CQ50" s="762"/>
      <c r="CR50" s="762"/>
      <c r="CS50" s="762"/>
      <c r="CT50" s="762"/>
      <c r="CU50" s="762"/>
      <c r="CV50" s="762"/>
      <c r="CW50" s="762"/>
      <c r="CX50" s="938"/>
      <c r="CY50" s="938"/>
      <c r="CZ50" s="938"/>
      <c r="DA50" s="938"/>
      <c r="DB50" s="938"/>
      <c r="DC50" s="938"/>
      <c r="DD50" s="938"/>
      <c r="DE50" s="938"/>
      <c r="DF50" s="938"/>
      <c r="DG50" s="938"/>
      <c r="DH50" s="762"/>
      <c r="DI50" s="938"/>
      <c r="DJ50" s="938"/>
      <c r="DK50" s="938"/>
      <c r="DL50" s="938"/>
      <c r="DM50" s="938"/>
      <c r="DN50" s="938"/>
      <c r="DO50" s="938"/>
      <c r="DP50" s="938"/>
      <c r="DQ50" s="938"/>
      <c r="DR50" s="938"/>
      <c r="DS50" s="938"/>
      <c r="DT50" s="938"/>
      <c r="DU50" s="762"/>
    </row>
    <row r="51" spans="1:126" ht="15" customHeight="1">
      <c r="AF51" s="938"/>
      <c r="AU51" s="938"/>
      <c r="BH51" s="938"/>
      <c r="BU51" s="938"/>
      <c r="CH51" s="938"/>
      <c r="CU51" s="938"/>
      <c r="CV51" s="938"/>
      <c r="CW51" s="938"/>
      <c r="CX51" s="938"/>
      <c r="CY51" s="938"/>
      <c r="CZ51" s="938"/>
      <c r="DA51" s="938"/>
      <c r="DB51" s="938"/>
      <c r="DC51" s="938"/>
      <c r="DD51" s="938"/>
      <c r="DE51" s="938"/>
      <c r="DF51" s="938"/>
      <c r="DG51" s="938"/>
      <c r="DH51" s="938"/>
      <c r="DI51" s="938"/>
      <c r="DJ51" s="938"/>
      <c r="DK51" s="938"/>
      <c r="DL51" s="938"/>
      <c r="DM51" s="938"/>
      <c r="DN51" s="938"/>
      <c r="DO51" s="938"/>
      <c r="DP51" s="938"/>
      <c r="DQ51" s="938"/>
      <c r="DR51" s="938"/>
      <c r="DS51" s="938"/>
      <c r="DT51" s="938"/>
      <c r="DU51" s="938"/>
    </row>
    <row r="52" spans="1:126" ht="12.75" customHeight="1">
      <c r="A52" s="13" t="s">
        <v>591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456"/>
      <c r="O52" s="456"/>
      <c r="P52" s="456"/>
      <c r="Q52" s="456"/>
      <c r="R52" s="456"/>
      <c r="S52" s="396"/>
      <c r="T52" s="456"/>
      <c r="U52" s="456"/>
      <c r="V52" s="456"/>
      <c r="W52" s="456"/>
      <c r="X52" s="456"/>
      <c r="Y52" s="456"/>
      <c r="Z52" s="456"/>
      <c r="AA52" s="456"/>
      <c r="AB52" s="456"/>
      <c r="AC52" s="456"/>
      <c r="AD52" s="456"/>
      <c r="AE52" s="456"/>
      <c r="AF52" s="396"/>
      <c r="AG52" s="456"/>
      <c r="AH52" s="456"/>
      <c r="AI52" s="456"/>
      <c r="AJ52" s="456"/>
      <c r="AK52" s="456"/>
      <c r="AL52" s="456"/>
      <c r="AM52" s="456"/>
      <c r="AN52" s="456"/>
      <c r="AO52" s="456"/>
      <c r="AP52" s="456"/>
      <c r="AQ52" s="456"/>
      <c r="AR52" s="456"/>
      <c r="AS52" s="396"/>
      <c r="AT52" s="456"/>
      <c r="AU52" s="396"/>
      <c r="AV52" s="456"/>
      <c r="AW52" s="396"/>
      <c r="AX52" s="396"/>
      <c r="AY52" s="396"/>
      <c r="AZ52" s="396"/>
      <c r="BA52" s="396"/>
      <c r="BB52" s="396"/>
      <c r="BC52" s="396"/>
      <c r="BD52" s="396"/>
      <c r="BE52" s="396"/>
      <c r="BF52" s="396"/>
      <c r="BG52" s="396"/>
      <c r="BH52" s="396"/>
      <c r="BI52" s="396"/>
      <c r="BJ52" s="396"/>
      <c r="BK52" s="396"/>
      <c r="BL52" s="396"/>
      <c r="BM52" s="396"/>
      <c r="BN52" s="396"/>
      <c r="BO52" s="396"/>
      <c r="BP52" s="396"/>
      <c r="BQ52" s="396"/>
      <c r="BR52" s="396"/>
      <c r="BS52" s="396"/>
      <c r="BT52" s="396"/>
      <c r="BU52" s="396"/>
      <c r="BV52" s="396"/>
      <c r="BW52" s="396"/>
      <c r="BX52" s="396"/>
      <c r="BY52" s="396"/>
      <c r="BZ52" s="396"/>
      <c r="CA52" s="396"/>
      <c r="CB52" s="396"/>
      <c r="CC52" s="396"/>
      <c r="CD52" s="396"/>
      <c r="CE52" s="396"/>
      <c r="CF52" s="396"/>
      <c r="CG52" s="396"/>
      <c r="CH52" s="396"/>
      <c r="CI52" s="396"/>
      <c r="CJ52" s="396"/>
      <c r="CK52" s="396"/>
      <c r="CL52" s="396"/>
      <c r="CM52" s="396"/>
      <c r="CN52" s="396"/>
      <c r="CO52" s="396"/>
      <c r="CP52" s="396"/>
      <c r="CQ52" s="396"/>
      <c r="CR52" s="396"/>
      <c r="CS52" s="396"/>
      <c r="CT52" s="396"/>
      <c r="CU52" s="396"/>
      <c r="CV52" s="396"/>
      <c r="CW52" s="396"/>
      <c r="CX52" s="934"/>
      <c r="CY52" s="934"/>
      <c r="CZ52" s="934"/>
      <c r="DA52" s="934"/>
      <c r="DB52" s="767"/>
      <c r="DC52" s="767"/>
      <c r="DD52" s="934"/>
      <c r="DE52" s="934"/>
      <c r="DF52" s="934"/>
      <c r="DG52" s="934"/>
      <c r="DH52" s="396"/>
      <c r="DI52" s="934"/>
      <c r="DJ52" s="934"/>
      <c r="DK52" s="934"/>
      <c r="DL52" s="934"/>
      <c r="DM52" s="934"/>
      <c r="DN52" s="934"/>
      <c r="DO52" s="934"/>
      <c r="DP52" s="934"/>
      <c r="DQ52" s="934"/>
      <c r="DR52" s="934"/>
      <c r="DS52" s="934"/>
      <c r="DT52" s="934"/>
      <c r="DU52" s="396"/>
    </row>
    <row r="53" spans="1:126" ht="12.75" customHeight="1" outlineLevel="1">
      <c r="A53" s="40" t="s">
        <v>685</v>
      </c>
      <c r="B53" s="396"/>
      <c r="C53" s="456"/>
      <c r="D53" s="456"/>
      <c r="E53" s="456"/>
      <c r="F53" s="39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396"/>
      <c r="T53" s="456"/>
      <c r="U53" s="456"/>
      <c r="V53" s="456"/>
      <c r="W53" s="456"/>
      <c r="X53" s="456"/>
      <c r="Y53" s="456"/>
      <c r="Z53" s="456"/>
      <c r="AA53" s="456"/>
      <c r="AB53" s="456"/>
      <c r="AC53" s="456"/>
      <c r="AD53" s="456"/>
      <c r="AE53" s="456"/>
      <c r="AF53" s="430"/>
      <c r="AG53" s="456"/>
      <c r="AH53" s="456"/>
      <c r="AI53" s="456"/>
      <c r="AJ53" s="456"/>
      <c r="AK53" s="456"/>
      <c r="AL53" s="456"/>
      <c r="AM53" s="456"/>
      <c r="AN53" s="456"/>
      <c r="AO53" s="456"/>
      <c r="AP53" s="456"/>
      <c r="AQ53" s="456"/>
      <c r="AR53" s="456"/>
      <c r="AS53" s="396"/>
      <c r="AT53" s="456"/>
      <c r="AU53" s="430"/>
      <c r="AV53" s="456"/>
      <c r="AW53" s="396"/>
      <c r="AX53" s="396"/>
      <c r="AY53" s="396"/>
      <c r="AZ53" s="396"/>
      <c r="BA53" s="396"/>
      <c r="BB53" s="396"/>
      <c r="BC53" s="396"/>
      <c r="BD53" s="396"/>
      <c r="BE53" s="396"/>
      <c r="BF53" s="396"/>
      <c r="BG53" s="396"/>
      <c r="BH53" s="430"/>
      <c r="BI53" s="396"/>
      <c r="BJ53" s="396"/>
      <c r="BK53" s="396"/>
      <c r="BL53" s="396"/>
      <c r="BM53" s="396"/>
      <c r="BN53" s="396"/>
      <c r="BO53" s="396"/>
      <c r="BP53" s="396"/>
      <c r="BQ53" s="430"/>
      <c r="BR53" s="430"/>
      <c r="BS53" s="396"/>
      <c r="BT53" s="396"/>
      <c r="BU53" s="430"/>
      <c r="BV53" s="396"/>
      <c r="BW53" s="396"/>
      <c r="BX53" s="396"/>
      <c r="BY53" s="396"/>
      <c r="BZ53" s="396"/>
      <c r="CA53" s="396">
        <v>5000</v>
      </c>
      <c r="CB53" s="396">
        <v>1071.21</v>
      </c>
      <c r="CC53" s="396">
        <v>243.6</v>
      </c>
      <c r="CD53" s="396">
        <v>243.6</v>
      </c>
      <c r="CE53" s="396">
        <v>243.6</v>
      </c>
      <c r="CF53" s="396">
        <v>243.6</v>
      </c>
      <c r="CG53" s="396">
        <v>487.21</v>
      </c>
      <c r="CH53" s="430">
        <f>SUM(BV53:CG53)</f>
        <v>7532.8200000000015</v>
      </c>
      <c r="CI53" s="396">
        <v>81.2</v>
      </c>
      <c r="CJ53" s="396">
        <v>243.6</v>
      </c>
      <c r="CK53" s="396">
        <v>1218.02</v>
      </c>
      <c r="CL53" s="396">
        <v>3106.84</v>
      </c>
      <c r="CM53" s="396">
        <v>20395.009999999998</v>
      </c>
      <c r="CN53" s="396">
        <v>9112.57</v>
      </c>
      <c r="CO53" s="396">
        <v>6471.35</v>
      </c>
      <c r="CP53" s="396">
        <v>10569.32</v>
      </c>
      <c r="CQ53" s="396">
        <v>23300.05</v>
      </c>
      <c r="CR53" s="396">
        <v>15475.36</v>
      </c>
      <c r="CS53" s="396">
        <v>9053.75</v>
      </c>
      <c r="CT53" s="396">
        <v>23889.54</v>
      </c>
      <c r="CU53" s="430">
        <f>SUM(CI53:CT53)</f>
        <v>122916.60999999999</v>
      </c>
      <c r="CV53" s="430">
        <v>30024.92</v>
      </c>
      <c r="CW53" s="430">
        <v>24645.33</v>
      </c>
      <c r="CX53" s="767">
        <v>47188.52</v>
      </c>
      <c r="CY53" s="767">
        <v>42244.81</v>
      </c>
      <c r="CZ53" s="767">
        <v>38000.19</v>
      </c>
      <c r="DA53" s="767">
        <v>32611.73</v>
      </c>
      <c r="DB53" s="767">
        <v>37657.769999999997</v>
      </c>
      <c r="DC53" s="767">
        <v>44648.62</v>
      </c>
      <c r="DD53" s="934">
        <v>43415.74</v>
      </c>
      <c r="DE53" s="934">
        <v>13292.97</v>
      </c>
      <c r="DF53" s="934">
        <v>29549.32</v>
      </c>
      <c r="DG53" s="934">
        <v>28116.21</v>
      </c>
      <c r="DH53" s="396">
        <f t="shared" ref="DH53:DH54" si="27">SUM(CV53:DG53)</f>
        <v>411396.13</v>
      </c>
      <c r="DI53" s="934">
        <v>22775.18</v>
      </c>
      <c r="DJ53" s="934">
        <v>76723.570000000007</v>
      </c>
      <c r="DK53" s="934">
        <v>25762.51</v>
      </c>
      <c r="DL53" s="934">
        <v>23449.200000000001</v>
      </c>
      <c r="DM53" s="934">
        <v>24724.32</v>
      </c>
      <c r="DN53" s="934">
        <v>22529.89</v>
      </c>
      <c r="DO53" s="934">
        <v>8284.14</v>
      </c>
      <c r="DP53" s="934">
        <v>53923.21</v>
      </c>
      <c r="DQ53" s="934">
        <v>13563.22</v>
      </c>
      <c r="DR53" s="934">
        <v>0</v>
      </c>
      <c r="DS53" s="934"/>
      <c r="DT53" s="934"/>
      <c r="DU53" s="396">
        <f t="shared" ref="DU53:DU54" si="28">SUM(DI53:DT53)</f>
        <v>271735.24</v>
      </c>
    </row>
    <row r="54" spans="1:126" ht="12.75" customHeight="1" outlineLevel="1">
      <c r="A54" s="455" t="s">
        <v>710</v>
      </c>
      <c r="B54" s="396"/>
      <c r="C54" s="456"/>
      <c r="D54" s="456"/>
      <c r="E54" s="456"/>
      <c r="F54" s="39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396"/>
      <c r="T54" s="456"/>
      <c r="U54" s="456"/>
      <c r="V54" s="456"/>
      <c r="W54" s="456"/>
      <c r="X54" s="456"/>
      <c r="Y54" s="456"/>
      <c r="Z54" s="456"/>
      <c r="AA54" s="456"/>
      <c r="AB54" s="456"/>
      <c r="AC54" s="456"/>
      <c r="AD54" s="456"/>
      <c r="AE54" s="456"/>
      <c r="AF54" s="430"/>
      <c r="AG54" s="456"/>
      <c r="AH54" s="456"/>
      <c r="AI54" s="456"/>
      <c r="AJ54" s="456"/>
      <c r="AK54" s="456"/>
      <c r="AL54" s="456"/>
      <c r="AM54" s="456"/>
      <c r="AN54" s="456"/>
      <c r="AO54" s="456"/>
      <c r="AP54" s="456"/>
      <c r="AQ54" s="456"/>
      <c r="AR54" s="456"/>
      <c r="AS54" s="396"/>
      <c r="AT54" s="456"/>
      <c r="AU54" s="430"/>
      <c r="AV54" s="456"/>
      <c r="AW54" s="396"/>
      <c r="AX54" s="396"/>
      <c r="AY54" s="396"/>
      <c r="AZ54" s="396"/>
      <c r="BA54" s="396"/>
      <c r="BB54" s="396"/>
      <c r="BC54" s="396"/>
      <c r="BD54" s="396"/>
      <c r="BE54" s="396"/>
      <c r="BF54" s="396"/>
      <c r="BG54" s="396"/>
      <c r="BH54" s="430"/>
      <c r="BI54" s="396"/>
      <c r="BJ54" s="396"/>
      <c r="BK54" s="396"/>
      <c r="BL54" s="396"/>
      <c r="BM54" s="396"/>
      <c r="BN54" s="396"/>
      <c r="BO54" s="396"/>
      <c r="BP54" s="396"/>
      <c r="BQ54" s="430"/>
      <c r="BR54" s="430"/>
      <c r="BS54" s="396"/>
      <c r="BT54" s="396"/>
      <c r="BU54" s="430"/>
      <c r="BV54" s="396"/>
      <c r="BW54" s="396"/>
      <c r="BX54" s="396"/>
      <c r="BY54" s="396"/>
      <c r="BZ54" s="396"/>
      <c r="CA54" s="396"/>
      <c r="CB54" s="396"/>
      <c r="CC54" s="396"/>
      <c r="CD54" s="396"/>
      <c r="CE54" s="396"/>
      <c r="CF54" s="396"/>
      <c r="CG54" s="396"/>
      <c r="CH54" s="430"/>
      <c r="CI54" s="396"/>
      <c r="CJ54" s="396"/>
      <c r="CK54" s="396"/>
      <c r="CL54" s="396"/>
      <c r="CM54" s="396"/>
      <c r="CN54" s="396"/>
      <c r="CO54" s="396"/>
      <c r="CP54" s="396"/>
      <c r="CQ54" s="396"/>
      <c r="CR54" s="396"/>
      <c r="CS54" s="396"/>
      <c r="CT54" s="396"/>
      <c r="CU54" s="430"/>
      <c r="CV54" s="430">
        <v>9886.31</v>
      </c>
      <c r="CW54" s="430">
        <v>10415.43</v>
      </c>
      <c r="CX54" s="767">
        <v>6299.47</v>
      </c>
      <c r="CY54" s="767">
        <v>9168.64</v>
      </c>
      <c r="CZ54" s="767">
        <v>9168.64</v>
      </c>
      <c r="DA54" s="767">
        <v>8434.48</v>
      </c>
      <c r="DB54" s="767">
        <v>7170.78</v>
      </c>
      <c r="DC54" s="767">
        <v>9581.11</v>
      </c>
      <c r="DD54" s="934">
        <v>8381.5300000000007</v>
      </c>
      <c r="DE54" s="934">
        <v>12070.17</v>
      </c>
      <c r="DF54" s="934">
        <v>11820.44</v>
      </c>
      <c r="DG54" s="934">
        <v>12114.15</v>
      </c>
      <c r="DH54" s="396">
        <f t="shared" si="27"/>
        <v>114511.15</v>
      </c>
      <c r="DI54" s="934">
        <v>21296.19</v>
      </c>
      <c r="DJ54" s="934">
        <v>17437.400000000001</v>
      </c>
      <c r="DK54" s="934">
        <v>19517.32</v>
      </c>
      <c r="DL54" s="934">
        <v>21567.18</v>
      </c>
      <c r="DM54" s="934">
        <v>26096.79</v>
      </c>
      <c r="DN54" s="934">
        <v>25776.57</v>
      </c>
      <c r="DO54" s="934">
        <v>25484.47</v>
      </c>
      <c r="DP54" s="934">
        <v>27472.27</v>
      </c>
      <c r="DQ54" s="934">
        <v>0</v>
      </c>
      <c r="DR54" s="934">
        <v>0</v>
      </c>
      <c r="DS54" s="934"/>
      <c r="DT54" s="934"/>
      <c r="DU54" s="396">
        <f t="shared" si="28"/>
        <v>184648.19</v>
      </c>
    </row>
    <row r="55" spans="1:126" s="511" customFormat="1" ht="14.4" outlineLevel="1">
      <c r="A55" s="455" t="s">
        <v>592</v>
      </c>
      <c r="B55" s="396"/>
      <c r="C55" s="456"/>
      <c r="D55" s="456"/>
      <c r="E55" s="456"/>
      <c r="F55" s="396"/>
      <c r="G55" s="456"/>
      <c r="H55" s="456"/>
      <c r="I55" s="456"/>
      <c r="J55" s="456"/>
      <c r="K55" s="456"/>
      <c r="L55" s="456"/>
      <c r="M55" s="456"/>
      <c r="N55" s="456"/>
      <c r="O55" s="456"/>
      <c r="P55" s="456"/>
      <c r="Q55" s="456"/>
      <c r="R55" s="456"/>
      <c r="S55" s="396"/>
      <c r="T55" s="456"/>
      <c r="U55" s="456"/>
      <c r="V55" s="456"/>
      <c r="W55" s="456"/>
      <c r="X55" s="456"/>
      <c r="Y55" s="456"/>
      <c r="Z55" s="456"/>
      <c r="AA55" s="456"/>
      <c r="AB55" s="456"/>
      <c r="AC55" s="456"/>
      <c r="AD55" s="456"/>
      <c r="AE55" s="456"/>
      <c r="AF55" s="396"/>
      <c r="AG55" s="456"/>
      <c r="AH55" s="456"/>
      <c r="AI55" s="456"/>
      <c r="AJ55" s="456"/>
      <c r="AK55" s="456"/>
      <c r="AL55" s="456"/>
      <c r="AM55" s="456"/>
      <c r="AN55" s="456"/>
      <c r="AO55" s="456"/>
      <c r="AP55" s="456"/>
      <c r="AQ55" s="456"/>
      <c r="AR55" s="456"/>
      <c r="AS55" s="396"/>
      <c r="AT55" s="456"/>
      <c r="AU55" s="396"/>
      <c r="AV55" s="456"/>
      <c r="AW55" s="396"/>
      <c r="AX55" s="396"/>
      <c r="AY55" s="396"/>
      <c r="AZ55" s="396"/>
      <c r="BA55" s="396"/>
      <c r="BB55" s="396"/>
      <c r="BC55" s="396"/>
      <c r="BD55" s="396"/>
      <c r="BE55" s="396"/>
      <c r="BF55" s="396"/>
      <c r="BG55" s="396"/>
      <c r="BH55" s="396"/>
      <c r="BI55" s="396"/>
      <c r="BJ55" s="396"/>
      <c r="BK55" s="396"/>
      <c r="BL55" s="396"/>
      <c r="BM55" s="396"/>
      <c r="BN55" s="396"/>
      <c r="BO55" s="396"/>
      <c r="BP55" s="396"/>
      <c r="BQ55" s="396"/>
      <c r="BR55" s="396"/>
      <c r="BS55" s="396"/>
      <c r="BT55" s="396"/>
      <c r="BU55" s="396"/>
      <c r="BV55" s="396">
        <v>0</v>
      </c>
      <c r="BW55" s="396">
        <v>0</v>
      </c>
      <c r="BX55" s="396">
        <v>0</v>
      </c>
      <c r="BY55" s="396">
        <v>0</v>
      </c>
      <c r="BZ55" s="396">
        <v>0</v>
      </c>
      <c r="CA55" s="396">
        <v>179.21</v>
      </c>
      <c r="CB55" s="396">
        <v>132.1</v>
      </c>
      <c r="CC55" s="396">
        <v>361.05</v>
      </c>
      <c r="CD55" s="396">
        <v>236.13</v>
      </c>
      <c r="CE55" s="396">
        <v>260.3</v>
      </c>
      <c r="CF55" s="396">
        <v>785.47</v>
      </c>
      <c r="CG55" s="396">
        <v>807.77</v>
      </c>
      <c r="CH55" s="396">
        <f>SUM(BV55:CG55)</f>
        <v>2762.0299999999997</v>
      </c>
      <c r="CI55" s="396">
        <v>776.38</v>
      </c>
      <c r="CJ55" s="396">
        <v>841.33</v>
      </c>
      <c r="CK55" s="396">
        <v>2845.54</v>
      </c>
      <c r="CL55" s="396">
        <v>4908.3500000000004</v>
      </c>
      <c r="CM55" s="396">
        <v>6022.33</v>
      </c>
      <c r="CN55" s="396">
        <v>6913.94</v>
      </c>
      <c r="CO55" s="396">
        <v>7102.94</v>
      </c>
      <c r="CP55" s="396">
        <v>5824.24</v>
      </c>
      <c r="CQ55" s="396">
        <v>8761.73</v>
      </c>
      <c r="CR55" s="396">
        <v>11327.86</v>
      </c>
      <c r="CS55" s="396">
        <v>12126.89</v>
      </c>
      <c r="CT55" s="396">
        <v>12801.3</v>
      </c>
      <c r="CU55" s="396">
        <f>SUM(CI55:CT55)</f>
        <v>80252.83</v>
      </c>
      <c r="CV55" s="396">
        <v>16028.44</v>
      </c>
      <c r="CW55" s="396">
        <v>16496.259999999998</v>
      </c>
      <c r="CX55" s="934">
        <v>25749.29</v>
      </c>
      <c r="CY55" s="934">
        <v>26132.89</v>
      </c>
      <c r="CZ55" s="934">
        <v>30455.85</v>
      </c>
      <c r="DA55" s="934">
        <v>35006.839999999997</v>
      </c>
      <c r="DB55" s="971">
        <v>34878.9</v>
      </c>
      <c r="DC55" s="971">
        <v>39204.74</v>
      </c>
      <c r="DD55" s="934">
        <v>42244.78</v>
      </c>
      <c r="DE55" s="934">
        <v>45681</v>
      </c>
      <c r="DF55" s="934">
        <v>25058.7</v>
      </c>
      <c r="DG55" s="934">
        <v>50004.89</v>
      </c>
      <c r="DH55" s="396">
        <f>SUM(CV55:DG55)</f>
        <v>386942.58</v>
      </c>
      <c r="DI55" s="934">
        <v>55887.839999999997</v>
      </c>
      <c r="DJ55" s="934">
        <v>53990.17</v>
      </c>
      <c r="DK55" s="934">
        <v>53962.8</v>
      </c>
      <c r="DL55" s="934">
        <v>61529.07</v>
      </c>
      <c r="DM55" s="934">
        <v>71508.09</v>
      </c>
      <c r="DN55" s="934">
        <v>142926.92000000001</v>
      </c>
      <c r="DO55" s="934">
        <v>34264.86</v>
      </c>
      <c r="DP55" s="934">
        <v>78307.64</v>
      </c>
      <c r="DQ55" s="934">
        <v>11837.47</v>
      </c>
      <c r="DR55" s="934">
        <v>0</v>
      </c>
      <c r="DS55" s="934"/>
      <c r="DT55" s="934"/>
      <c r="DU55" s="396">
        <f>SUM(DI55:DT55)</f>
        <v>564214.86</v>
      </c>
    </row>
    <row r="56" spans="1:126" s="606" customFormat="1" ht="12.75" customHeight="1">
      <c r="A56" s="905" t="s">
        <v>736</v>
      </c>
      <c r="B56" s="906"/>
      <c r="C56" s="907"/>
      <c r="D56" s="907"/>
      <c r="E56" s="907"/>
      <c r="F56" s="906"/>
      <c r="G56" s="907"/>
      <c r="H56" s="907"/>
      <c r="I56" s="907"/>
      <c r="J56" s="907"/>
      <c r="K56" s="907"/>
      <c r="L56" s="907"/>
      <c r="M56" s="907"/>
      <c r="N56" s="907"/>
      <c r="O56" s="907"/>
      <c r="P56" s="907"/>
      <c r="Q56" s="907"/>
      <c r="R56" s="907"/>
      <c r="S56" s="906"/>
      <c r="T56" s="907">
        <f t="shared" ref="T56:CE56" si="29">SUM(T53:T55)</f>
        <v>0</v>
      </c>
      <c r="U56" s="907">
        <f t="shared" si="29"/>
        <v>0</v>
      </c>
      <c r="V56" s="907">
        <f t="shared" si="29"/>
        <v>0</v>
      </c>
      <c r="W56" s="907">
        <f t="shared" si="29"/>
        <v>0</v>
      </c>
      <c r="X56" s="907">
        <f t="shared" si="29"/>
        <v>0</v>
      </c>
      <c r="Y56" s="907">
        <f t="shared" si="29"/>
        <v>0</v>
      </c>
      <c r="Z56" s="907">
        <f t="shared" si="29"/>
        <v>0</v>
      </c>
      <c r="AA56" s="907">
        <f t="shared" si="29"/>
        <v>0</v>
      </c>
      <c r="AB56" s="907">
        <f t="shared" si="29"/>
        <v>0</v>
      </c>
      <c r="AC56" s="907">
        <f t="shared" si="29"/>
        <v>0</v>
      </c>
      <c r="AD56" s="907">
        <f t="shared" si="29"/>
        <v>0</v>
      </c>
      <c r="AE56" s="907">
        <f t="shared" si="29"/>
        <v>0</v>
      </c>
      <c r="AF56" s="906">
        <f t="shared" si="29"/>
        <v>0</v>
      </c>
      <c r="AG56" s="907">
        <f t="shared" si="29"/>
        <v>0</v>
      </c>
      <c r="AH56" s="907">
        <f t="shared" si="29"/>
        <v>0</v>
      </c>
      <c r="AI56" s="907">
        <f t="shared" si="29"/>
        <v>0</v>
      </c>
      <c r="AJ56" s="907">
        <f t="shared" si="29"/>
        <v>0</v>
      </c>
      <c r="AK56" s="907">
        <f t="shared" si="29"/>
        <v>0</v>
      </c>
      <c r="AL56" s="907">
        <f t="shared" si="29"/>
        <v>0</v>
      </c>
      <c r="AM56" s="907">
        <f t="shared" si="29"/>
        <v>0</v>
      </c>
      <c r="AN56" s="907">
        <f t="shared" si="29"/>
        <v>0</v>
      </c>
      <c r="AO56" s="907">
        <f t="shared" si="29"/>
        <v>0</v>
      </c>
      <c r="AP56" s="907">
        <f t="shared" si="29"/>
        <v>0</v>
      </c>
      <c r="AQ56" s="907">
        <f t="shared" si="29"/>
        <v>0</v>
      </c>
      <c r="AR56" s="907">
        <f t="shared" si="29"/>
        <v>0</v>
      </c>
      <c r="AS56" s="906">
        <f t="shared" si="29"/>
        <v>0</v>
      </c>
      <c r="AT56" s="907">
        <f t="shared" si="29"/>
        <v>0</v>
      </c>
      <c r="AU56" s="906">
        <f t="shared" si="29"/>
        <v>0</v>
      </c>
      <c r="AV56" s="907">
        <f t="shared" si="29"/>
        <v>0</v>
      </c>
      <c r="AW56" s="906">
        <f t="shared" si="29"/>
        <v>0</v>
      </c>
      <c r="AX56" s="906">
        <f t="shared" si="29"/>
        <v>0</v>
      </c>
      <c r="AY56" s="906">
        <f t="shared" si="29"/>
        <v>0</v>
      </c>
      <c r="AZ56" s="906">
        <f t="shared" si="29"/>
        <v>0</v>
      </c>
      <c r="BA56" s="906">
        <f t="shared" si="29"/>
        <v>0</v>
      </c>
      <c r="BB56" s="906">
        <f t="shared" si="29"/>
        <v>0</v>
      </c>
      <c r="BC56" s="906">
        <f t="shared" si="29"/>
        <v>0</v>
      </c>
      <c r="BD56" s="906">
        <f t="shared" si="29"/>
        <v>0</v>
      </c>
      <c r="BE56" s="906">
        <f t="shared" si="29"/>
        <v>0</v>
      </c>
      <c r="BF56" s="906">
        <f t="shared" si="29"/>
        <v>0</v>
      </c>
      <c r="BG56" s="906">
        <f t="shared" si="29"/>
        <v>0</v>
      </c>
      <c r="BH56" s="906">
        <f t="shared" si="29"/>
        <v>0</v>
      </c>
      <c r="BI56" s="906">
        <f t="shared" si="29"/>
        <v>0</v>
      </c>
      <c r="BJ56" s="906">
        <f t="shared" si="29"/>
        <v>0</v>
      </c>
      <c r="BK56" s="906">
        <f t="shared" si="29"/>
        <v>0</v>
      </c>
      <c r="BL56" s="906">
        <f t="shared" si="29"/>
        <v>0</v>
      </c>
      <c r="BM56" s="906">
        <f t="shared" si="29"/>
        <v>0</v>
      </c>
      <c r="BN56" s="906">
        <f t="shared" si="29"/>
        <v>0</v>
      </c>
      <c r="BO56" s="906">
        <f t="shared" si="29"/>
        <v>0</v>
      </c>
      <c r="BP56" s="906">
        <f t="shared" si="29"/>
        <v>0</v>
      </c>
      <c r="BQ56" s="906">
        <f t="shared" si="29"/>
        <v>0</v>
      </c>
      <c r="BR56" s="906">
        <f t="shared" si="29"/>
        <v>0</v>
      </c>
      <c r="BS56" s="906">
        <f t="shared" si="29"/>
        <v>0</v>
      </c>
      <c r="BT56" s="906">
        <f t="shared" si="29"/>
        <v>0</v>
      </c>
      <c r="BU56" s="906">
        <f t="shared" si="29"/>
        <v>0</v>
      </c>
      <c r="BV56" s="906">
        <f t="shared" si="29"/>
        <v>0</v>
      </c>
      <c r="BW56" s="906">
        <f t="shared" si="29"/>
        <v>0</v>
      </c>
      <c r="BX56" s="906">
        <f t="shared" si="29"/>
        <v>0</v>
      </c>
      <c r="BY56" s="906">
        <f t="shared" si="29"/>
        <v>0</v>
      </c>
      <c r="BZ56" s="906">
        <f t="shared" si="29"/>
        <v>0</v>
      </c>
      <c r="CA56" s="906">
        <f t="shared" si="29"/>
        <v>5179.21</v>
      </c>
      <c r="CB56" s="906">
        <f t="shared" si="29"/>
        <v>1203.31</v>
      </c>
      <c r="CC56" s="906">
        <f t="shared" si="29"/>
        <v>604.65</v>
      </c>
      <c r="CD56" s="906">
        <f t="shared" si="29"/>
        <v>479.73</v>
      </c>
      <c r="CE56" s="906">
        <f t="shared" si="29"/>
        <v>503.9</v>
      </c>
      <c r="CF56" s="906">
        <f t="shared" ref="CF56:CS56" si="30">SUM(CF53:CF55)</f>
        <v>1029.07</v>
      </c>
      <c r="CG56" s="906">
        <f t="shared" si="30"/>
        <v>1294.98</v>
      </c>
      <c r="CH56" s="906">
        <f t="shared" si="30"/>
        <v>10294.850000000002</v>
      </c>
      <c r="CI56" s="906">
        <f t="shared" si="30"/>
        <v>857.58</v>
      </c>
      <c r="CJ56" s="906">
        <f t="shared" si="30"/>
        <v>1084.93</v>
      </c>
      <c r="CK56" s="906">
        <f t="shared" si="30"/>
        <v>4063.56</v>
      </c>
      <c r="CL56" s="906">
        <f t="shared" si="30"/>
        <v>8015.1900000000005</v>
      </c>
      <c r="CM56" s="906">
        <f t="shared" si="30"/>
        <v>26417.339999999997</v>
      </c>
      <c r="CN56" s="906">
        <f t="shared" si="30"/>
        <v>16026.509999999998</v>
      </c>
      <c r="CO56" s="906">
        <f t="shared" si="30"/>
        <v>13574.29</v>
      </c>
      <c r="CP56" s="906">
        <f t="shared" si="30"/>
        <v>16393.559999999998</v>
      </c>
      <c r="CQ56" s="906">
        <f t="shared" si="30"/>
        <v>32061.78</v>
      </c>
      <c r="CR56" s="906">
        <f t="shared" si="30"/>
        <v>26803.22</v>
      </c>
      <c r="CS56" s="906">
        <f t="shared" si="30"/>
        <v>21180.639999999999</v>
      </c>
      <c r="CT56" s="906">
        <f t="shared" ref="CT56:CY56" si="31">SUM(CT53:CT55)</f>
        <v>36690.839999999997</v>
      </c>
      <c r="CU56" s="906">
        <f t="shared" si="31"/>
        <v>203169.44</v>
      </c>
      <c r="CV56" s="906">
        <f t="shared" si="31"/>
        <v>55939.67</v>
      </c>
      <c r="CW56" s="906">
        <f t="shared" si="31"/>
        <v>51557.020000000004</v>
      </c>
      <c r="CX56" s="906">
        <f t="shared" si="31"/>
        <v>79237.279999999999</v>
      </c>
      <c r="CY56" s="906">
        <f t="shared" si="31"/>
        <v>77546.34</v>
      </c>
      <c r="CZ56" s="906">
        <f t="shared" ref="CZ56:DG56" si="32">SUM(CZ53:CZ55)</f>
        <v>77624.679999999993</v>
      </c>
      <c r="DA56" s="906">
        <f t="shared" si="32"/>
        <v>76053.049999999988</v>
      </c>
      <c r="DB56" s="969">
        <f t="shared" si="32"/>
        <v>79707.45</v>
      </c>
      <c r="DC56" s="969">
        <f t="shared" si="32"/>
        <v>93434.47</v>
      </c>
      <c r="DD56" s="969">
        <f t="shared" ref="DD56" si="33">SUM(DD53:DD55)</f>
        <v>94042.049999999988</v>
      </c>
      <c r="DE56" s="969">
        <f t="shared" si="32"/>
        <v>71044.14</v>
      </c>
      <c r="DF56" s="969">
        <f t="shared" si="32"/>
        <v>66428.460000000006</v>
      </c>
      <c r="DG56" s="969">
        <f t="shared" si="32"/>
        <v>90235.25</v>
      </c>
      <c r="DH56" s="969">
        <f>SUM(DH51:DH55)</f>
        <v>912849.8600000001</v>
      </c>
      <c r="DI56" s="969">
        <f t="shared" ref="DI56:DJ56" si="34">SUM(DI53:DI55)</f>
        <v>99959.209999999992</v>
      </c>
      <c r="DJ56" s="969">
        <f t="shared" si="34"/>
        <v>148151.14000000001</v>
      </c>
      <c r="DK56" s="969">
        <f t="shared" ref="DK56:DT56" si="35">SUM(DK53:DK55)</f>
        <v>99242.63</v>
      </c>
      <c r="DL56" s="969">
        <f t="shared" si="35"/>
        <v>106545.45000000001</v>
      </c>
      <c r="DM56" s="969">
        <f t="shared" si="35"/>
        <v>122329.2</v>
      </c>
      <c r="DN56" s="969">
        <f t="shared" si="35"/>
        <v>191233.38</v>
      </c>
      <c r="DO56" s="969">
        <f t="shared" si="35"/>
        <v>68033.47</v>
      </c>
      <c r="DP56" s="969">
        <f t="shared" si="35"/>
        <v>159703.12</v>
      </c>
      <c r="DQ56" s="969">
        <f t="shared" si="35"/>
        <v>25400.69</v>
      </c>
      <c r="DR56" s="969">
        <f t="shared" si="35"/>
        <v>0</v>
      </c>
      <c r="DS56" s="969">
        <f t="shared" si="35"/>
        <v>0</v>
      </c>
      <c r="DT56" s="969">
        <f t="shared" si="35"/>
        <v>0</v>
      </c>
      <c r="DU56" s="969">
        <f>SUM(DU51:DU55)</f>
        <v>1020598.29</v>
      </c>
      <c r="DV56" s="830"/>
    </row>
    <row r="57" spans="1:126" ht="12.75" customHeight="1">
      <c r="A57" s="2"/>
      <c r="B57" s="12"/>
      <c r="C57" s="4"/>
      <c r="D57" s="4"/>
      <c r="E57" s="4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2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396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12"/>
      <c r="AT57" s="12"/>
      <c r="AU57" s="396"/>
      <c r="AV57" s="4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396"/>
      <c r="BI57" s="12"/>
      <c r="BJ57" s="12"/>
      <c r="BK57" s="12"/>
      <c r="BL57" s="12"/>
      <c r="BM57" s="12"/>
      <c r="BN57" s="12"/>
      <c r="BO57" s="12"/>
      <c r="BP57" s="12"/>
      <c r="BQ57" s="15"/>
      <c r="BR57" s="15"/>
      <c r="BS57" s="12"/>
      <c r="BT57" s="396"/>
      <c r="BU57" s="396"/>
      <c r="BV57" s="396"/>
      <c r="BW57" s="12"/>
      <c r="BX57" s="12"/>
      <c r="BY57" s="396"/>
      <c r="BZ57" s="396"/>
      <c r="CA57" s="396"/>
      <c r="CB57" s="396"/>
      <c r="CC57" s="396"/>
      <c r="CD57" s="396"/>
      <c r="CE57" s="396"/>
      <c r="CF57" s="396"/>
      <c r="CG57" s="396"/>
      <c r="CH57" s="396"/>
      <c r="CI57" s="396"/>
      <c r="CJ57" s="396"/>
      <c r="CK57" s="396"/>
      <c r="CL57" s="396"/>
      <c r="CM57" s="396"/>
      <c r="CN57" s="396"/>
      <c r="CO57" s="396"/>
      <c r="CP57" s="396"/>
      <c r="CQ57" s="396"/>
      <c r="CR57" s="396"/>
      <c r="CS57" s="396"/>
      <c r="CT57" s="396"/>
      <c r="CU57" s="396"/>
      <c r="CV57" s="396"/>
      <c r="CW57" s="396"/>
      <c r="CX57" s="934"/>
      <c r="CY57" s="934"/>
      <c r="CZ57" s="934"/>
      <c r="DA57" s="934"/>
      <c r="DB57" s="767"/>
      <c r="DC57" s="767"/>
      <c r="DD57" s="934"/>
      <c r="DE57" s="934"/>
      <c r="DF57" s="934"/>
      <c r="DG57" s="934"/>
      <c r="DH57" s="396"/>
      <c r="DI57" s="934"/>
      <c r="DJ57" s="934"/>
      <c r="DK57" s="934"/>
      <c r="DL57" s="934"/>
      <c r="DM57" s="934"/>
      <c r="DN57" s="934"/>
      <c r="DO57" s="934"/>
      <c r="DP57" s="934"/>
      <c r="DQ57" s="934"/>
      <c r="DR57" s="934"/>
      <c r="DS57" s="934"/>
      <c r="DT57" s="934"/>
      <c r="DU57" s="396"/>
      <c r="DV57" s="167"/>
    </row>
    <row r="58" spans="1:126" ht="12.75" customHeight="1" thickBot="1">
      <c r="A58" s="29" t="s">
        <v>90</v>
      </c>
      <c r="B58" s="30">
        <f t="shared" ref="B58:S58" si="36">(0+(0)+(B48)+(B39))-(0)</f>
        <v>600725.1399999999</v>
      </c>
      <c r="C58" s="31">
        <f t="shared" si="36"/>
        <v>130201.01999999999</v>
      </c>
      <c r="D58" s="31">
        <f t="shared" si="36"/>
        <v>96390.86</v>
      </c>
      <c r="E58" s="31">
        <f t="shared" si="36"/>
        <v>106580.57</v>
      </c>
      <c r="F58" s="30">
        <f t="shared" si="36"/>
        <v>1884379.05</v>
      </c>
      <c r="G58" s="31">
        <f t="shared" si="36"/>
        <v>140592.50999999998</v>
      </c>
      <c r="H58" s="31">
        <f t="shared" si="36"/>
        <v>142854.28</v>
      </c>
      <c r="I58" s="31">
        <f t="shared" si="36"/>
        <v>157446.97999999998</v>
      </c>
      <c r="J58" s="31">
        <f t="shared" si="36"/>
        <v>192288.07</v>
      </c>
      <c r="K58" s="31">
        <f t="shared" si="36"/>
        <v>202432.34</v>
      </c>
      <c r="L58" s="31">
        <f t="shared" si="36"/>
        <v>197510.75999999998</v>
      </c>
      <c r="M58" s="31">
        <f t="shared" si="36"/>
        <v>168797.24000000002</v>
      </c>
      <c r="N58" s="31">
        <f t="shared" si="36"/>
        <v>190198.39999999999</v>
      </c>
      <c r="O58" s="31">
        <f t="shared" si="36"/>
        <v>216074.56</v>
      </c>
      <c r="P58" s="31">
        <f t="shared" si="36"/>
        <v>282573.09999999998</v>
      </c>
      <c r="Q58" s="31">
        <f t="shared" si="36"/>
        <v>241296.27</v>
      </c>
      <c r="R58" s="31">
        <f t="shared" si="36"/>
        <v>111087.5</v>
      </c>
      <c r="S58" s="30">
        <f t="shared" si="36"/>
        <v>2243152.44</v>
      </c>
      <c r="T58" s="32">
        <f t="shared" ref="T58:CE58" si="37">+T39+T43+T48+T56</f>
        <v>195219.41</v>
      </c>
      <c r="U58" s="31">
        <f t="shared" si="37"/>
        <v>202888.62</v>
      </c>
      <c r="V58" s="31">
        <f t="shared" si="37"/>
        <v>264015.73</v>
      </c>
      <c r="W58" s="31">
        <f t="shared" si="37"/>
        <v>212795.39</v>
      </c>
      <c r="X58" s="31">
        <f t="shared" si="37"/>
        <v>251305.39999999997</v>
      </c>
      <c r="Y58" s="31">
        <f t="shared" si="37"/>
        <v>409947.54000000004</v>
      </c>
      <c r="Z58" s="31">
        <f t="shared" si="37"/>
        <v>446086.06000000006</v>
      </c>
      <c r="AA58" s="31">
        <f t="shared" si="37"/>
        <v>540618.86</v>
      </c>
      <c r="AB58" s="31">
        <f t="shared" si="37"/>
        <v>916756.9800000001</v>
      </c>
      <c r="AC58" s="31">
        <f t="shared" si="37"/>
        <v>901765.91</v>
      </c>
      <c r="AD58" s="31">
        <f t="shared" si="37"/>
        <v>745652.08</v>
      </c>
      <c r="AE58" s="31">
        <f t="shared" si="37"/>
        <v>948294.3</v>
      </c>
      <c r="AF58" s="454">
        <f t="shared" si="37"/>
        <v>6035346.2800000003</v>
      </c>
      <c r="AG58" s="31">
        <f t="shared" si="37"/>
        <v>869569.14000000013</v>
      </c>
      <c r="AH58" s="31">
        <f t="shared" si="37"/>
        <v>831799.71999999986</v>
      </c>
      <c r="AI58" s="31">
        <f t="shared" si="37"/>
        <v>1009480.9</v>
      </c>
      <c r="AJ58" s="31">
        <f t="shared" si="37"/>
        <v>1070834.8700000001</v>
      </c>
      <c r="AK58" s="31">
        <f t="shared" si="37"/>
        <v>1024530.09</v>
      </c>
      <c r="AL58" s="31">
        <f t="shared" si="37"/>
        <v>1168332.33</v>
      </c>
      <c r="AM58" s="31">
        <f t="shared" si="37"/>
        <v>1291011.8699999999</v>
      </c>
      <c r="AN58" s="31">
        <f t="shared" si="37"/>
        <v>1447044.3900000001</v>
      </c>
      <c r="AO58" s="31">
        <f t="shared" si="37"/>
        <v>1949910.02</v>
      </c>
      <c r="AP58" s="31">
        <f t="shared" si="37"/>
        <v>2599399.5300000003</v>
      </c>
      <c r="AQ58" s="31">
        <f t="shared" si="37"/>
        <v>2340459.5</v>
      </c>
      <c r="AR58" s="31">
        <f t="shared" si="37"/>
        <v>2448343.9900000002</v>
      </c>
      <c r="AS58" s="30">
        <f t="shared" si="37"/>
        <v>18050716.350000001</v>
      </c>
      <c r="AT58" s="31">
        <f t="shared" si="37"/>
        <v>0</v>
      </c>
      <c r="AU58" s="454">
        <f t="shared" si="37"/>
        <v>18050716.350000001</v>
      </c>
      <c r="AV58" s="31">
        <f t="shared" si="37"/>
        <v>5326080.8999999994</v>
      </c>
      <c r="AW58" s="30">
        <f t="shared" si="37"/>
        <v>6049841.1899999995</v>
      </c>
      <c r="AX58" s="30">
        <f t="shared" si="37"/>
        <v>5175552.09</v>
      </c>
      <c r="AY58" s="30">
        <f t="shared" si="37"/>
        <v>3688466.1699999995</v>
      </c>
      <c r="AZ58" s="30">
        <f t="shared" si="37"/>
        <v>3482094.04</v>
      </c>
      <c r="BA58" s="30">
        <f t="shared" si="37"/>
        <v>2088077.45</v>
      </c>
      <c r="BB58" s="30">
        <f t="shared" si="37"/>
        <v>2323195.13</v>
      </c>
      <c r="BC58" s="30">
        <f t="shared" si="37"/>
        <v>2535910.12</v>
      </c>
      <c r="BD58" s="30">
        <f t="shared" si="37"/>
        <v>2339104.62</v>
      </c>
      <c r="BE58" s="30">
        <f t="shared" si="37"/>
        <v>2759615.43</v>
      </c>
      <c r="BF58" s="30">
        <f t="shared" si="37"/>
        <v>2712036.49</v>
      </c>
      <c r="BG58" s="30">
        <f t="shared" si="37"/>
        <v>2690871.6599999997</v>
      </c>
      <c r="BH58" s="454">
        <f t="shared" si="37"/>
        <v>41170845.290000007</v>
      </c>
      <c r="BI58" s="30">
        <f t="shared" si="37"/>
        <v>3001218.43</v>
      </c>
      <c r="BJ58" s="30">
        <f t="shared" si="37"/>
        <v>2986680.4999999995</v>
      </c>
      <c r="BK58" s="30">
        <f t="shared" si="37"/>
        <v>3416688.84</v>
      </c>
      <c r="BL58" s="30">
        <f t="shared" si="37"/>
        <v>2883520.4200000004</v>
      </c>
      <c r="BM58" s="30">
        <f t="shared" si="37"/>
        <v>3611501.5400000005</v>
      </c>
      <c r="BN58" s="30">
        <f t="shared" si="37"/>
        <v>4653778.6100000003</v>
      </c>
      <c r="BO58" s="30">
        <f t="shared" si="37"/>
        <v>5368965.8999999994</v>
      </c>
      <c r="BP58" s="30">
        <f t="shared" si="37"/>
        <v>6592156.9199999999</v>
      </c>
      <c r="BQ58" s="35">
        <f t="shared" si="37"/>
        <v>6900475</v>
      </c>
      <c r="BR58" s="35">
        <f t="shared" si="37"/>
        <v>6714411.5299999993</v>
      </c>
      <c r="BS58" s="30">
        <f t="shared" si="37"/>
        <v>8051317.1400000006</v>
      </c>
      <c r="BT58" s="30">
        <f t="shared" si="37"/>
        <v>9034972.7399999984</v>
      </c>
      <c r="BU58" s="454">
        <f t="shared" si="37"/>
        <v>63215687.570000008</v>
      </c>
      <c r="BV58" s="30">
        <f t="shared" si="37"/>
        <v>8481272.7300000004</v>
      </c>
      <c r="BW58" s="30">
        <f t="shared" si="37"/>
        <v>7729396.4800000004</v>
      </c>
      <c r="BX58" s="30">
        <f t="shared" si="37"/>
        <v>7100365.96</v>
      </c>
      <c r="BY58" s="30">
        <f t="shared" si="37"/>
        <v>6844560.1200000001</v>
      </c>
      <c r="BZ58" s="30">
        <f t="shared" si="37"/>
        <v>9345658.25</v>
      </c>
      <c r="CA58" s="30">
        <f t="shared" si="37"/>
        <v>9255893.5900000017</v>
      </c>
      <c r="CB58" s="30">
        <f t="shared" si="37"/>
        <v>8341542.2199999997</v>
      </c>
      <c r="CC58" s="30">
        <f t="shared" si="37"/>
        <v>8656977.0500000026</v>
      </c>
      <c r="CD58" s="30">
        <f t="shared" si="37"/>
        <v>8733555.1400000006</v>
      </c>
      <c r="CE58" s="30">
        <f t="shared" si="37"/>
        <v>9780184.5600000005</v>
      </c>
      <c r="CF58" s="30">
        <f t="shared" ref="CF58:CS58" si="38">+CF39+CF43+CF48+CF56</f>
        <v>11324776.670000002</v>
      </c>
      <c r="CG58" s="30">
        <f t="shared" si="38"/>
        <v>10454732.960000001</v>
      </c>
      <c r="CH58" s="454">
        <f t="shared" si="38"/>
        <v>106048915.72999999</v>
      </c>
      <c r="CI58" s="30">
        <f t="shared" si="38"/>
        <v>11597175.6</v>
      </c>
      <c r="CJ58" s="30">
        <f t="shared" si="38"/>
        <v>11811522.9</v>
      </c>
      <c r="CK58" s="30">
        <f t="shared" si="38"/>
        <v>12530866.370000001</v>
      </c>
      <c r="CL58" s="30">
        <f t="shared" si="38"/>
        <v>12581820.449999999</v>
      </c>
      <c r="CM58" s="30">
        <f t="shared" si="38"/>
        <v>13771651.289999999</v>
      </c>
      <c r="CN58" s="30">
        <f t="shared" si="38"/>
        <v>14575981.34</v>
      </c>
      <c r="CO58" s="30">
        <f t="shared" si="38"/>
        <v>14940330.17</v>
      </c>
      <c r="CP58" s="30">
        <f t="shared" si="38"/>
        <v>15776956.910000002</v>
      </c>
      <c r="CQ58" s="30">
        <f t="shared" si="38"/>
        <v>17647060.600000001</v>
      </c>
      <c r="CR58" s="30">
        <f t="shared" si="38"/>
        <v>20660516.810000002</v>
      </c>
      <c r="CS58" s="30">
        <f t="shared" si="38"/>
        <v>24204561.330000002</v>
      </c>
      <c r="CT58" s="30">
        <f t="shared" ref="CT58:CZ58" si="39">+CT39+CT43+CT48+CT56</f>
        <v>62382797.569999993</v>
      </c>
      <c r="CU58" s="454">
        <f t="shared" si="39"/>
        <v>232481241.33999997</v>
      </c>
      <c r="CV58" s="454">
        <f t="shared" si="39"/>
        <v>32313910.780000001</v>
      </c>
      <c r="CW58" s="454">
        <f t="shared" si="39"/>
        <v>27143096.34</v>
      </c>
      <c r="CX58" s="454">
        <f t="shared" si="39"/>
        <v>34613896.460000001</v>
      </c>
      <c r="CY58" s="454">
        <f t="shared" si="39"/>
        <v>35600567.460000001</v>
      </c>
      <c r="CZ58" s="454">
        <f t="shared" si="39"/>
        <v>34013054.480000004</v>
      </c>
      <c r="DA58" s="454">
        <f t="shared" ref="DA58:DF58" si="40">+DA39+DA43+DA48+DA56</f>
        <v>33938514.609999999</v>
      </c>
      <c r="DB58" s="35">
        <f t="shared" si="40"/>
        <v>35686344.520000003</v>
      </c>
      <c r="DC58" s="35">
        <f t="shared" si="40"/>
        <v>38522882.799999997</v>
      </c>
      <c r="DD58" s="35">
        <f t="shared" si="40"/>
        <v>37939675.309999995</v>
      </c>
      <c r="DE58" s="35">
        <f t="shared" si="40"/>
        <v>42465744.43</v>
      </c>
      <c r="DF58" s="35">
        <f t="shared" si="40"/>
        <v>43080886.700000003</v>
      </c>
      <c r="DG58" s="35">
        <f t="shared" ref="DG58" si="41">+DG39+DG43+DG48+DG56</f>
        <v>4329208.76</v>
      </c>
      <c r="DH58" s="454">
        <f>SUM(CV58:DG58)</f>
        <v>399647782.65000004</v>
      </c>
      <c r="DI58" s="35">
        <f t="shared" ref="DI58" si="42">+DI39+DI43+DI48+DI56</f>
        <v>35586729.950000003</v>
      </c>
      <c r="DJ58" s="35">
        <f>+DJ39+DJ43+DJ48+DJ56</f>
        <v>35877063.860000007</v>
      </c>
      <c r="DK58" s="35">
        <f t="shared" ref="DK58:DT58" si="43">+DK39+DK43+DK48+DK56</f>
        <v>30905236.75</v>
      </c>
      <c r="DL58" s="35">
        <f t="shared" si="43"/>
        <v>32092177.509999998</v>
      </c>
      <c r="DM58" s="35">
        <f t="shared" si="43"/>
        <v>25951372.809999999</v>
      </c>
      <c r="DN58" s="35">
        <f t="shared" si="43"/>
        <v>32358928.829999998</v>
      </c>
      <c r="DO58" s="35">
        <f t="shared" si="43"/>
        <v>26220413.530000001</v>
      </c>
      <c r="DP58" s="35">
        <f t="shared" si="43"/>
        <v>25587189.18</v>
      </c>
      <c r="DQ58" s="35">
        <f t="shared" si="43"/>
        <v>32548037.410000004</v>
      </c>
      <c r="DR58" s="35">
        <f t="shared" si="43"/>
        <v>24237101.750000004</v>
      </c>
      <c r="DS58" s="35">
        <f t="shared" si="43"/>
        <v>0</v>
      </c>
      <c r="DT58" s="35">
        <f t="shared" si="43"/>
        <v>0</v>
      </c>
      <c r="DU58" s="454">
        <f>SUM(DI58:DT58)</f>
        <v>301364251.57999998</v>
      </c>
      <c r="DV58" s="232"/>
    </row>
    <row r="59" spans="1:126" ht="12.75" customHeight="1" thickTop="1">
      <c r="A59" s="2"/>
      <c r="B59" s="12"/>
      <c r="D59" s="4"/>
      <c r="E59" s="4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2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396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12"/>
      <c r="AT59" s="12"/>
      <c r="AU59" s="396"/>
      <c r="AV59" s="4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396"/>
      <c r="BI59" s="12"/>
      <c r="BJ59" s="12"/>
      <c r="BK59" s="12"/>
      <c r="BL59" s="12"/>
      <c r="BM59" s="12"/>
      <c r="BN59" s="12"/>
      <c r="BO59" s="12"/>
      <c r="BP59" s="12"/>
      <c r="BQ59" s="15"/>
      <c r="BR59" s="15"/>
      <c r="BS59" s="12"/>
      <c r="BT59" s="396"/>
      <c r="BU59" s="396"/>
      <c r="BV59" s="396"/>
      <c r="BW59" s="12"/>
      <c r="BX59" s="12"/>
      <c r="BY59" s="396"/>
      <c r="BZ59" s="396"/>
      <c r="CA59" s="396"/>
      <c r="CB59" s="396"/>
      <c r="CC59" s="396"/>
      <c r="CD59" s="396"/>
      <c r="CE59" s="396"/>
      <c r="CF59" s="396"/>
      <c r="CG59" s="396"/>
      <c r="CH59" s="396"/>
      <c r="CI59" s="396"/>
      <c r="CJ59" s="396"/>
      <c r="CK59" s="396"/>
      <c r="CL59" s="396"/>
      <c r="CM59" s="396"/>
      <c r="CN59" s="396"/>
      <c r="CO59" s="396"/>
      <c r="CP59" s="396"/>
      <c r="CQ59" s="396"/>
      <c r="CR59" s="396"/>
      <c r="CS59" s="396"/>
      <c r="CT59" s="396"/>
      <c r="CU59" s="396"/>
      <c r="CV59" s="396"/>
      <c r="CW59" s="396"/>
      <c r="CX59" s="396"/>
      <c r="CY59" s="396"/>
      <c r="CZ59" s="396"/>
      <c r="DA59" s="396"/>
      <c r="DB59" s="430"/>
      <c r="DC59" s="430"/>
      <c r="DD59" s="934"/>
      <c r="DE59" s="934"/>
      <c r="DF59" s="934"/>
      <c r="DG59" s="934"/>
      <c r="DH59" s="396"/>
      <c r="DI59" s="934"/>
      <c r="DJ59" s="934"/>
      <c r="DK59" s="934"/>
      <c r="DL59" s="934"/>
      <c r="DM59" s="934"/>
      <c r="DN59" s="934"/>
      <c r="DO59" s="934"/>
      <c r="DP59" s="934"/>
      <c r="DQ59" s="934"/>
      <c r="DR59" s="934"/>
      <c r="DS59" s="934"/>
      <c r="DT59" s="934"/>
      <c r="DU59" s="396"/>
    </row>
    <row r="60" spans="1:126" ht="12.75" customHeight="1" thickBot="1">
      <c r="A60" s="29" t="s">
        <v>91</v>
      </c>
      <c r="B60" s="30">
        <f>(B18)-(B58)</f>
        <v>1011382.3800000001</v>
      </c>
      <c r="C60" s="31">
        <f>(C18)-(C58)</f>
        <v>246278.16</v>
      </c>
      <c r="D60" s="31">
        <f>(D18)-(D58)</f>
        <v>283727.99</v>
      </c>
      <c r="E60" s="31">
        <f>(E18)-(E58)</f>
        <v>259570.3</v>
      </c>
      <c r="F60" s="30">
        <f>(F18)-(F58)</f>
        <v>2110322.96</v>
      </c>
      <c r="G60" s="31">
        <f t="shared" ref="G60:T60" si="44">(G10)-(G58)</f>
        <v>362446.49</v>
      </c>
      <c r="H60" s="31">
        <f t="shared" si="44"/>
        <v>355085.48</v>
      </c>
      <c r="I60" s="31">
        <f t="shared" si="44"/>
        <v>360929.52</v>
      </c>
      <c r="J60" s="31">
        <f t="shared" si="44"/>
        <v>424512.79</v>
      </c>
      <c r="K60" s="31">
        <f t="shared" si="44"/>
        <v>480765.9</v>
      </c>
      <c r="L60" s="31">
        <f t="shared" si="44"/>
        <v>620771.15</v>
      </c>
      <c r="M60" s="31">
        <f t="shared" si="44"/>
        <v>676946.35</v>
      </c>
      <c r="N60" s="31">
        <f t="shared" si="44"/>
        <v>612454.01</v>
      </c>
      <c r="O60" s="31">
        <f t="shared" si="44"/>
        <v>641311.85000000009</v>
      </c>
      <c r="P60" s="31">
        <f t="shared" si="44"/>
        <v>741953.3</v>
      </c>
      <c r="Q60" s="31">
        <f t="shared" si="44"/>
        <v>767798.66999999993</v>
      </c>
      <c r="R60" s="31">
        <f t="shared" si="44"/>
        <v>924692.35</v>
      </c>
      <c r="S60" s="30">
        <f t="shared" si="44"/>
        <v>6969667.4299999997</v>
      </c>
      <c r="T60" s="32">
        <f t="shared" si="44"/>
        <v>1113913.6700000002</v>
      </c>
      <c r="U60" s="31">
        <f t="shared" ref="U60:AE60" si="45">+U18-U58</f>
        <v>947262.38</v>
      </c>
      <c r="V60" s="31">
        <f t="shared" si="45"/>
        <v>989937.98</v>
      </c>
      <c r="W60" s="31">
        <f t="shared" si="45"/>
        <v>1207453.7000000002</v>
      </c>
      <c r="X60" s="31">
        <f t="shared" si="45"/>
        <v>1224193.4200000002</v>
      </c>
      <c r="Y60" s="31">
        <f t="shared" si="45"/>
        <v>1367699.95</v>
      </c>
      <c r="Z60" s="31">
        <f t="shared" si="45"/>
        <v>1297079.78</v>
      </c>
      <c r="AA60" s="31">
        <f t="shared" si="45"/>
        <v>1516007.8199999998</v>
      </c>
      <c r="AB60" s="31">
        <f t="shared" si="45"/>
        <v>1410593.4900000002</v>
      </c>
      <c r="AC60" s="31">
        <f t="shared" si="45"/>
        <v>1715513.0699999998</v>
      </c>
      <c r="AD60" s="31">
        <f t="shared" si="45"/>
        <v>1900505.8900000001</v>
      </c>
      <c r="AE60" s="31">
        <f t="shared" si="45"/>
        <v>2000719.5599999998</v>
      </c>
      <c r="AF60" s="454">
        <v>16690880.710000003</v>
      </c>
      <c r="AG60" s="31">
        <v>2552017.6999999997</v>
      </c>
      <c r="AH60" s="31">
        <v>2622218.7800000003</v>
      </c>
      <c r="AI60" s="31">
        <v>2463098.15</v>
      </c>
      <c r="AJ60" s="31">
        <v>2503177.21</v>
      </c>
      <c r="AK60" s="31">
        <v>3108270.5300000003</v>
      </c>
      <c r="AL60" s="31">
        <v>3202711.05</v>
      </c>
      <c r="AM60" s="31">
        <v>3018589.7800000003</v>
      </c>
      <c r="AN60" s="31">
        <v>3479212.4</v>
      </c>
      <c r="AO60" s="31">
        <v>3592954.7499999995</v>
      </c>
      <c r="AP60" s="31">
        <v>4159022.05</v>
      </c>
      <c r="AQ60" s="31">
        <v>4601548.12</v>
      </c>
      <c r="AR60" s="31">
        <v>4281043.71</v>
      </c>
      <c r="AS60" s="30">
        <v>39583864.230000004</v>
      </c>
      <c r="AT60" s="31">
        <v>0</v>
      </c>
      <c r="AU60" s="454">
        <v>39583864.230000004</v>
      </c>
      <c r="AV60" s="31">
        <v>2264138.6900000004</v>
      </c>
      <c r="AW60" s="30">
        <v>270059.15000000037</v>
      </c>
      <c r="AX60" s="30">
        <v>114514.44000000041</v>
      </c>
      <c r="AY60" s="30">
        <v>2160288.0700000008</v>
      </c>
      <c r="AZ60" s="30">
        <v>2938442.67</v>
      </c>
      <c r="BA60" s="30">
        <v>4212770.74</v>
      </c>
      <c r="BB60" s="30">
        <v>4059733.7800000003</v>
      </c>
      <c r="BC60" s="30">
        <v>4515153.5599999996</v>
      </c>
      <c r="BD60" s="30">
        <v>4678147.45</v>
      </c>
      <c r="BE60" s="30">
        <v>5075076.25</v>
      </c>
      <c r="BF60" s="30">
        <v>4935457.0199999996</v>
      </c>
      <c r="BG60" s="30">
        <v>5267551.24</v>
      </c>
      <c r="BH60" s="454">
        <v>40491333.060000002</v>
      </c>
      <c r="BI60" s="30">
        <f t="shared" ref="BI60:BT60" si="46">+BI18-BI58</f>
        <v>6538712.1600000001</v>
      </c>
      <c r="BJ60" s="30">
        <f t="shared" si="46"/>
        <v>7208661.4000000004</v>
      </c>
      <c r="BK60" s="30">
        <f t="shared" si="46"/>
        <v>7136704.0199999996</v>
      </c>
      <c r="BL60" s="30">
        <f t="shared" si="46"/>
        <v>7048380.5800000001</v>
      </c>
      <c r="BM60" s="30">
        <f t="shared" si="46"/>
        <v>8140784.0699999984</v>
      </c>
      <c r="BN60" s="30">
        <f t="shared" si="46"/>
        <v>7589932.8500000006</v>
      </c>
      <c r="BO60" s="30">
        <f t="shared" si="46"/>
        <v>8107621.4900000012</v>
      </c>
      <c r="BP60" s="30">
        <f t="shared" si="46"/>
        <v>8211849.9700000007</v>
      </c>
      <c r="BQ60" s="35">
        <f t="shared" si="46"/>
        <v>7787197</v>
      </c>
      <c r="BR60" s="35">
        <f t="shared" si="46"/>
        <v>8920469.4600000009</v>
      </c>
      <c r="BS60" s="30">
        <f t="shared" si="46"/>
        <v>9041241.7100000009</v>
      </c>
      <c r="BT60" s="30">
        <f t="shared" si="46"/>
        <v>7035930.2000000011</v>
      </c>
      <c r="BU60" s="454">
        <f>SUM(BI60:BT60)</f>
        <v>92767484.910000011</v>
      </c>
      <c r="BV60" s="30">
        <f t="shared" ref="BV60:CG60" si="47">+BV18-BV58</f>
        <v>10733028.849999998</v>
      </c>
      <c r="BW60" s="30">
        <f t="shared" si="47"/>
        <v>9698365.1999999993</v>
      </c>
      <c r="BX60" s="30">
        <f t="shared" si="47"/>
        <v>11249352.52</v>
      </c>
      <c r="BY60" s="30">
        <f t="shared" si="47"/>
        <v>12234361.779999997</v>
      </c>
      <c r="BZ60" s="30">
        <f t="shared" si="47"/>
        <v>11372096.139999997</v>
      </c>
      <c r="CA60" s="30">
        <f t="shared" si="47"/>
        <v>11492351.359999998</v>
      </c>
      <c r="CB60" s="30">
        <f t="shared" si="47"/>
        <v>11733981.629999999</v>
      </c>
      <c r="CC60" s="30">
        <f t="shared" si="47"/>
        <v>14833139.839999998</v>
      </c>
      <c r="CD60" s="30">
        <f t="shared" si="47"/>
        <v>14322198.669999998</v>
      </c>
      <c r="CE60" s="30">
        <f t="shared" si="47"/>
        <v>16338900.410000002</v>
      </c>
      <c r="CF60" s="30">
        <f t="shared" si="47"/>
        <v>14839675.159999996</v>
      </c>
      <c r="CG60" s="30">
        <f t="shared" si="47"/>
        <v>15865616.620000001</v>
      </c>
      <c r="CH60" s="454">
        <f>SUM(BV60:CG60)</f>
        <v>154713068.18000001</v>
      </c>
      <c r="CI60" s="30">
        <f t="shared" ref="CI60:CT60" si="48">+CI18-CI58</f>
        <v>17368684.770000003</v>
      </c>
      <c r="CJ60" s="30">
        <f t="shared" si="48"/>
        <v>17013083.18</v>
      </c>
      <c r="CK60" s="30">
        <f t="shared" si="48"/>
        <v>20147080.329999998</v>
      </c>
      <c r="CL60" s="30">
        <f t="shared" si="48"/>
        <v>21094606.820000004</v>
      </c>
      <c r="CM60" s="30">
        <f t="shared" si="48"/>
        <v>23106071.200000003</v>
      </c>
      <c r="CN60" s="30">
        <f t="shared" si="48"/>
        <v>23140895.150000002</v>
      </c>
      <c r="CO60" s="30">
        <f t="shared" si="48"/>
        <v>24183258.43</v>
      </c>
      <c r="CP60" s="30">
        <f t="shared" si="48"/>
        <v>27522383.839999996</v>
      </c>
      <c r="CQ60" s="30">
        <f t="shared" si="48"/>
        <v>27613556.389999993</v>
      </c>
      <c r="CR60" s="30">
        <f t="shared" si="48"/>
        <v>28546765.890000001</v>
      </c>
      <c r="CS60" s="30">
        <f t="shared" si="48"/>
        <v>27603805.039999995</v>
      </c>
      <c r="CT60" s="30">
        <f t="shared" si="48"/>
        <v>10830058.330000013</v>
      </c>
      <c r="CU60" s="454">
        <f>SUM(CI60:CT60)</f>
        <v>268170249.37</v>
      </c>
      <c r="CV60" s="454">
        <f t="shared" ref="CV60:DA60" si="49">+CV18-CV58</f>
        <v>23870330.670000002</v>
      </c>
      <c r="CW60" s="454">
        <f t="shared" si="49"/>
        <v>33680942.560000002</v>
      </c>
      <c r="CX60" s="454">
        <f t="shared" si="49"/>
        <v>25518015.599999994</v>
      </c>
      <c r="CY60" s="454">
        <f t="shared" si="49"/>
        <v>25576098.390000001</v>
      </c>
      <c r="CZ60" s="454">
        <f t="shared" si="49"/>
        <v>33779373.209999993</v>
      </c>
      <c r="DA60" s="454">
        <f t="shared" si="49"/>
        <v>34237782.820000008</v>
      </c>
      <c r="DB60" s="35">
        <f t="shared" ref="DB60:DG60" si="50">+DB18-DB58</f>
        <v>32601212.329999991</v>
      </c>
      <c r="DC60" s="35">
        <f t="shared" si="50"/>
        <v>27681400.980000004</v>
      </c>
      <c r="DD60" s="35">
        <f t="shared" si="50"/>
        <v>32435430.650000013</v>
      </c>
      <c r="DE60" s="35">
        <f t="shared" si="50"/>
        <v>29101557.740000002</v>
      </c>
      <c r="DF60" s="35">
        <f t="shared" si="50"/>
        <v>21745075.699999996</v>
      </c>
      <c r="DG60" s="35">
        <f t="shared" si="50"/>
        <v>24742248.920000002</v>
      </c>
      <c r="DH60" s="454">
        <f>SUM(CV60:DG60)</f>
        <v>344969469.57000005</v>
      </c>
      <c r="DI60" s="35">
        <f t="shared" ref="DI60:DJ60" si="51">+DI18-DI58</f>
        <v>32197611.450000003</v>
      </c>
      <c r="DJ60" s="35">
        <f t="shared" si="51"/>
        <v>28360131.329999991</v>
      </c>
      <c r="DK60" s="35">
        <f t="shared" ref="DK60:DT60" si="52">+DK18-DK58</f>
        <v>33746478.75</v>
      </c>
      <c r="DL60" s="35">
        <f t="shared" si="52"/>
        <v>28187944.600000001</v>
      </c>
      <c r="DM60" s="35">
        <f t="shared" si="52"/>
        <v>34315011.210000008</v>
      </c>
      <c r="DN60" s="35">
        <f t="shared" si="52"/>
        <v>28421548.200000003</v>
      </c>
      <c r="DO60" s="35">
        <f t="shared" si="52"/>
        <v>34137034.419999994</v>
      </c>
      <c r="DP60" s="35">
        <f t="shared" si="52"/>
        <v>36630643.490000002</v>
      </c>
      <c r="DQ60" s="35">
        <f t="shared" si="52"/>
        <v>24223737.019999996</v>
      </c>
      <c r="DR60" s="35">
        <f t="shared" si="52"/>
        <v>40919171.049999997</v>
      </c>
      <c r="DS60" s="35">
        <f t="shared" si="52"/>
        <v>0</v>
      </c>
      <c r="DT60" s="35">
        <f t="shared" si="52"/>
        <v>0</v>
      </c>
      <c r="DU60" s="454">
        <f>SUM(DI60:DT60)</f>
        <v>321139311.52000004</v>
      </c>
    </row>
    <row r="61" spans="1:126" ht="10.5" customHeight="1" thickTop="1">
      <c r="A61" s="2"/>
      <c r="B61" s="12"/>
      <c r="C61" s="4"/>
      <c r="D61" s="4"/>
      <c r="E61" s="4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2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396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12"/>
      <c r="AT61" s="12"/>
      <c r="AU61" s="396"/>
      <c r="AV61" s="4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396"/>
      <c r="BI61" s="12"/>
      <c r="BJ61" s="12"/>
      <c r="BK61" s="12"/>
      <c r="BL61" s="12"/>
      <c r="BM61" s="12"/>
      <c r="BN61" s="12"/>
      <c r="BO61" s="12"/>
      <c r="BP61" s="12"/>
      <c r="BQ61" s="15"/>
      <c r="BR61" s="15"/>
      <c r="BS61" s="12"/>
      <c r="BT61" s="396"/>
      <c r="BU61" s="396"/>
      <c r="BV61" s="396"/>
      <c r="BW61" s="12"/>
      <c r="BX61" s="12"/>
      <c r="BY61" s="396"/>
      <c r="BZ61" s="396"/>
      <c r="CA61" s="396"/>
      <c r="CB61" s="396"/>
      <c r="CC61" s="396"/>
      <c r="CD61" s="396"/>
      <c r="CE61" s="396"/>
      <c r="CF61" s="396"/>
      <c r="CG61" s="396"/>
      <c r="CH61" s="396"/>
      <c r="CI61" s="396"/>
      <c r="CJ61" s="396"/>
      <c r="CK61" s="396"/>
      <c r="CL61" s="396"/>
      <c r="CM61" s="396"/>
      <c r="CN61" s="396"/>
      <c r="CO61" s="396"/>
      <c r="CP61" s="396"/>
      <c r="CQ61" s="396"/>
      <c r="CR61" s="396"/>
      <c r="CS61" s="396"/>
      <c r="CT61" s="396"/>
      <c r="CU61" s="396"/>
      <c r="CV61" s="396"/>
      <c r="CW61" s="396"/>
      <c r="CX61" s="934"/>
      <c r="CY61" s="934"/>
      <c r="CZ61" s="934"/>
      <c r="DA61" s="934"/>
      <c r="DB61" s="767"/>
      <c r="DC61" s="767"/>
      <c r="DD61" s="934"/>
      <c r="DE61" s="934"/>
      <c r="DF61" s="934"/>
      <c r="DG61" s="934"/>
      <c r="DH61" s="396"/>
      <c r="DI61" s="934"/>
      <c r="DJ61" s="934"/>
      <c r="DK61" s="934"/>
      <c r="DL61" s="934"/>
      <c r="DM61" s="934"/>
      <c r="DN61" s="934"/>
      <c r="DO61" s="934"/>
      <c r="DP61" s="1192"/>
      <c r="DQ61" s="934"/>
      <c r="DR61" s="934"/>
      <c r="DS61" s="934"/>
      <c r="DT61" s="934"/>
      <c r="DU61" s="396"/>
    </row>
    <row r="62" spans="1:126" ht="10.5" customHeight="1" outlineLevel="1">
      <c r="A62" s="13" t="s">
        <v>92</v>
      </c>
      <c r="B62" s="12"/>
      <c r="C62" s="4"/>
      <c r="D62" s="4"/>
      <c r="E62" s="4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2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396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12"/>
      <c r="AT62" s="12"/>
      <c r="AU62" s="396"/>
      <c r="AV62" s="4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396"/>
      <c r="BI62" s="12"/>
      <c r="BJ62" s="12"/>
      <c r="BK62" s="12"/>
      <c r="BL62" s="12"/>
      <c r="BM62" s="12"/>
      <c r="BN62" s="12"/>
      <c r="BO62" s="12"/>
      <c r="BP62" s="12"/>
      <c r="BQ62" s="15"/>
      <c r="BR62" s="15"/>
      <c r="BS62" s="12"/>
      <c r="BT62" s="396"/>
      <c r="BU62" s="396"/>
      <c r="BV62" s="396"/>
      <c r="BW62" s="12"/>
      <c r="BX62" s="12"/>
      <c r="BY62" s="396"/>
      <c r="BZ62" s="396"/>
      <c r="CA62" s="396"/>
      <c r="CB62" s="396"/>
      <c r="CC62" s="396"/>
      <c r="CD62" s="396"/>
      <c r="CE62" s="396"/>
      <c r="CF62" s="396"/>
      <c r="CG62" s="396"/>
      <c r="CH62" s="396"/>
      <c r="CI62" s="396"/>
      <c r="CJ62" s="396"/>
      <c r="CK62" s="396"/>
      <c r="CL62" s="396"/>
      <c r="CM62" s="396"/>
      <c r="CN62" s="396"/>
      <c r="CO62" s="396"/>
      <c r="CP62" s="396"/>
      <c r="CQ62" s="396"/>
      <c r="CR62" s="396"/>
      <c r="CS62" s="396"/>
      <c r="CT62" s="396"/>
      <c r="CU62" s="396"/>
      <c r="CV62" s="396"/>
      <c r="CW62" s="396"/>
      <c r="CX62" s="934"/>
      <c r="CY62" s="934"/>
      <c r="CZ62" s="934"/>
      <c r="DA62" s="934"/>
      <c r="DB62" s="767"/>
      <c r="DC62" s="767"/>
      <c r="DD62" s="934"/>
      <c r="DE62" s="934"/>
      <c r="DF62" s="934"/>
      <c r="DG62" s="934"/>
      <c r="DH62" s="396"/>
      <c r="DI62" s="934"/>
      <c r="DJ62" s="934"/>
      <c r="DK62" s="934"/>
      <c r="DL62" s="934"/>
      <c r="DM62" s="934"/>
      <c r="DN62" s="934"/>
      <c r="DO62" s="934"/>
      <c r="DP62" s="934"/>
      <c r="DQ62" s="934"/>
      <c r="DR62" s="934"/>
      <c r="DS62" s="934"/>
      <c r="DT62" s="934"/>
      <c r="DU62" s="396"/>
    </row>
    <row r="63" spans="1:126" ht="10.5" hidden="1" customHeight="1" outlineLevel="2">
      <c r="A63" s="14" t="s">
        <v>93</v>
      </c>
      <c r="B63" s="12"/>
      <c r="C63" s="4"/>
      <c r="D63" s="4"/>
      <c r="E63" s="4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2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396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12"/>
      <c r="AT63" s="12"/>
      <c r="AU63" s="396"/>
      <c r="AV63" s="4"/>
      <c r="AW63" s="12"/>
      <c r="AX63" s="12"/>
      <c r="AY63" s="12"/>
      <c r="AZ63" s="12"/>
      <c r="BA63" s="12"/>
      <c r="BB63" s="12">
        <v>3092.59</v>
      </c>
      <c r="BC63" s="12"/>
      <c r="BD63" s="12"/>
      <c r="BE63" s="12"/>
      <c r="BF63" s="12"/>
      <c r="BG63" s="12"/>
      <c r="BH63" s="396">
        <v>3092.59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5">
        <v>0</v>
      </c>
      <c r="BR63" s="15">
        <v>0</v>
      </c>
      <c r="BS63" s="12">
        <v>0</v>
      </c>
      <c r="BT63" s="396">
        <v>0</v>
      </c>
      <c r="BU63" s="396">
        <f>SUM(BI63:BT63)</f>
        <v>0</v>
      </c>
      <c r="BV63" s="396">
        <v>0</v>
      </c>
      <c r="BW63" s="12">
        <v>0</v>
      </c>
      <c r="BX63" s="12">
        <v>0</v>
      </c>
      <c r="BY63" s="396">
        <v>0</v>
      </c>
      <c r="BZ63" s="396">
        <v>0</v>
      </c>
      <c r="CA63" s="396">
        <v>0</v>
      </c>
      <c r="CB63" s="396">
        <v>0</v>
      </c>
      <c r="CC63" s="396">
        <v>0</v>
      </c>
      <c r="CD63" s="396">
        <v>0</v>
      </c>
      <c r="CE63" s="396">
        <v>0</v>
      </c>
      <c r="CF63" s="396">
        <v>0</v>
      </c>
      <c r="CG63" s="396">
        <v>0</v>
      </c>
      <c r="CH63" s="396">
        <f>SUM(BV63:CG63)</f>
        <v>0</v>
      </c>
      <c r="CI63" s="396">
        <v>0</v>
      </c>
      <c r="CJ63" s="396">
        <v>0</v>
      </c>
      <c r="CK63" s="396"/>
      <c r="CL63" s="396"/>
      <c r="CM63" s="396"/>
      <c r="CN63" s="396"/>
      <c r="CO63" s="396"/>
      <c r="CP63" s="396"/>
      <c r="CQ63" s="396"/>
      <c r="CR63" s="396"/>
      <c r="CS63" s="396"/>
      <c r="CT63" s="396"/>
      <c r="CU63" s="396">
        <f>SUM(CI63:CM63)</f>
        <v>0</v>
      </c>
      <c r="CV63" s="396"/>
      <c r="CW63" s="396"/>
      <c r="CX63" s="934"/>
      <c r="CY63" s="934"/>
      <c r="CZ63" s="934"/>
      <c r="DA63" s="934"/>
      <c r="DB63" s="767"/>
      <c r="DC63" s="767"/>
      <c r="DD63" s="934"/>
      <c r="DE63" s="934"/>
      <c r="DF63" s="934"/>
      <c r="DG63" s="934"/>
      <c r="DH63" s="396"/>
      <c r="DI63" s="934"/>
      <c r="DJ63" s="934"/>
      <c r="DK63" s="934"/>
      <c r="DL63" s="934"/>
      <c r="DM63" s="934"/>
      <c r="DN63" s="934"/>
      <c r="DO63" s="934"/>
      <c r="DP63" s="934"/>
      <c r="DQ63" s="934"/>
      <c r="DR63" s="934"/>
      <c r="DS63" s="934"/>
      <c r="DT63" s="934"/>
      <c r="DU63" s="396"/>
    </row>
    <row r="64" spans="1:126" ht="10.5" hidden="1" customHeight="1" outlineLevel="2">
      <c r="A64" s="14" t="s">
        <v>94</v>
      </c>
      <c r="B64" s="12"/>
      <c r="C64" s="4"/>
      <c r="D64" s="4"/>
      <c r="E64" s="4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2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396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12"/>
      <c r="AT64" s="12"/>
      <c r="AU64" s="396"/>
      <c r="AV64" s="4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>
        <v>220421.47</v>
      </c>
      <c r="BH64" s="396">
        <v>220421.47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5">
        <v>0</v>
      </c>
      <c r="BR64" s="15">
        <v>0</v>
      </c>
      <c r="BS64" s="12">
        <v>0</v>
      </c>
      <c r="BT64" s="396">
        <v>0</v>
      </c>
      <c r="BU64" s="396">
        <f>SUM(BI64:BT64)</f>
        <v>0</v>
      </c>
      <c r="BV64" s="396">
        <v>0</v>
      </c>
      <c r="BW64" s="12">
        <v>0</v>
      </c>
      <c r="BX64" s="12">
        <v>0</v>
      </c>
      <c r="BY64" s="396">
        <v>0</v>
      </c>
      <c r="BZ64" s="396">
        <v>0</v>
      </c>
      <c r="CA64" s="396">
        <v>0</v>
      </c>
      <c r="CB64" s="396">
        <v>0</v>
      </c>
      <c r="CC64" s="396">
        <v>0</v>
      </c>
      <c r="CD64" s="396">
        <v>0</v>
      </c>
      <c r="CE64" s="396">
        <v>0</v>
      </c>
      <c r="CF64" s="396">
        <v>0</v>
      </c>
      <c r="CG64" s="396">
        <v>0</v>
      </c>
      <c r="CH64" s="396">
        <f>SUM(BV64:CG64)</f>
        <v>0</v>
      </c>
      <c r="CI64" s="396">
        <v>0</v>
      </c>
      <c r="CJ64" s="396">
        <v>0</v>
      </c>
      <c r="CK64" s="396"/>
      <c r="CL64" s="396"/>
      <c r="CM64" s="396"/>
      <c r="CN64" s="396"/>
      <c r="CO64" s="396"/>
      <c r="CP64" s="396"/>
      <c r="CQ64" s="396"/>
      <c r="CR64" s="396"/>
      <c r="CS64" s="396"/>
      <c r="CT64" s="396"/>
      <c r="CU64" s="396">
        <f>SUM(CI64:CM64)</f>
        <v>0</v>
      </c>
      <c r="CV64" s="396"/>
      <c r="CW64" s="396"/>
      <c r="CX64" s="934"/>
      <c r="CY64" s="934"/>
      <c r="CZ64" s="934"/>
      <c r="DA64" s="934"/>
      <c r="DB64" s="767"/>
      <c r="DC64" s="767"/>
      <c r="DD64" s="934"/>
      <c r="DE64" s="934"/>
      <c r="DF64" s="934"/>
      <c r="DG64" s="934"/>
      <c r="DH64" s="396"/>
      <c r="DI64" s="934"/>
      <c r="DJ64" s="934"/>
      <c r="DK64" s="934"/>
      <c r="DL64" s="934"/>
      <c r="DM64" s="934"/>
      <c r="DN64" s="934"/>
      <c r="DO64" s="934"/>
      <c r="DP64" s="934"/>
      <c r="DQ64" s="934"/>
      <c r="DR64" s="934"/>
      <c r="DS64" s="934"/>
      <c r="DT64" s="934"/>
      <c r="DU64" s="396"/>
    </row>
    <row r="65" spans="1:127" ht="10.5" hidden="1" customHeight="1" outlineLevel="2">
      <c r="A65" s="14" t="s">
        <v>95</v>
      </c>
      <c r="B65" s="12"/>
      <c r="C65" s="4"/>
      <c r="D65" s="4"/>
      <c r="E65" s="4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2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396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12"/>
      <c r="AT65" s="12"/>
      <c r="AU65" s="396"/>
      <c r="AV65" s="4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>
        <v>27192.5</v>
      </c>
      <c r="BH65" s="396">
        <v>27192.5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5">
        <v>0</v>
      </c>
      <c r="BR65" s="15">
        <v>0</v>
      </c>
      <c r="BS65" s="12">
        <v>0</v>
      </c>
      <c r="BT65" s="396">
        <v>0</v>
      </c>
      <c r="BU65" s="396">
        <f>SUM(BI65:BT65)</f>
        <v>0</v>
      </c>
      <c r="BV65" s="396">
        <v>0</v>
      </c>
      <c r="BW65" s="12">
        <v>0</v>
      </c>
      <c r="BX65" s="12">
        <v>0</v>
      </c>
      <c r="BY65" s="396">
        <v>0</v>
      </c>
      <c r="BZ65" s="396">
        <v>0</v>
      </c>
      <c r="CA65" s="396">
        <v>0</v>
      </c>
      <c r="CB65" s="396">
        <v>0</v>
      </c>
      <c r="CC65" s="396">
        <v>0</v>
      </c>
      <c r="CD65" s="396">
        <v>0</v>
      </c>
      <c r="CE65" s="396">
        <v>0</v>
      </c>
      <c r="CF65" s="396">
        <v>0</v>
      </c>
      <c r="CG65" s="396">
        <v>0</v>
      </c>
      <c r="CH65" s="396">
        <f>SUM(BV65:CG65)</f>
        <v>0</v>
      </c>
      <c r="CI65" s="396">
        <v>0</v>
      </c>
      <c r="CJ65" s="396">
        <v>0</v>
      </c>
      <c r="CK65" s="396"/>
      <c r="CL65" s="396"/>
      <c r="CM65" s="396"/>
      <c r="CN65" s="396"/>
      <c r="CO65" s="396"/>
      <c r="CP65" s="396"/>
      <c r="CQ65" s="396"/>
      <c r="CR65" s="396"/>
      <c r="CS65" s="396"/>
      <c r="CT65" s="396"/>
      <c r="CU65" s="396">
        <f>SUM(CI65:CM65)</f>
        <v>0</v>
      </c>
      <c r="CV65" s="396"/>
      <c r="CW65" s="396"/>
      <c r="CX65" s="934"/>
      <c r="CY65" s="934"/>
      <c r="CZ65" s="934"/>
      <c r="DA65" s="934"/>
      <c r="DB65" s="767"/>
      <c r="DC65" s="767"/>
      <c r="DD65" s="934"/>
      <c r="DE65" s="934"/>
      <c r="DF65" s="934"/>
      <c r="DG65" s="934"/>
      <c r="DH65" s="396"/>
      <c r="DI65" s="934"/>
      <c r="DJ65" s="934"/>
      <c r="DK65" s="934"/>
      <c r="DL65" s="934"/>
      <c r="DM65" s="934"/>
      <c r="DN65" s="934"/>
      <c r="DO65" s="934"/>
      <c r="DP65" s="934"/>
      <c r="DQ65" s="934"/>
      <c r="DR65" s="934"/>
      <c r="DS65" s="934"/>
      <c r="DT65" s="934"/>
      <c r="DU65" s="396"/>
    </row>
    <row r="66" spans="1:127" ht="10.5" customHeight="1" outlineLevel="1" collapsed="1">
      <c r="A66" s="14" t="s">
        <v>96</v>
      </c>
      <c r="B66" s="12"/>
      <c r="C66" s="4"/>
      <c r="D66" s="4"/>
      <c r="E66" s="4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2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30"/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366054.34</v>
      </c>
      <c r="AM66" s="4">
        <v>349664.73</v>
      </c>
      <c r="AN66" s="4">
        <v>335807.95</v>
      </c>
      <c r="AO66" s="4">
        <v>503350.94</v>
      </c>
      <c r="AP66" s="4">
        <v>522627.23</v>
      </c>
      <c r="AQ66" s="4">
        <v>646512.56999999995</v>
      </c>
      <c r="AR66" s="4">
        <v>525437.39</v>
      </c>
      <c r="AS66" s="12">
        <v>3249455.15</v>
      </c>
      <c r="AT66" s="12"/>
      <c r="AU66" s="430">
        <v>3249455.15</v>
      </c>
      <c r="AV66" s="4">
        <v>428140.5</v>
      </c>
      <c r="AW66" s="12">
        <v>346943.12</v>
      </c>
      <c r="AX66" s="12">
        <v>337169.84</v>
      </c>
      <c r="AY66" s="12">
        <v>304353.52</v>
      </c>
      <c r="AZ66" s="12">
        <v>295907.39</v>
      </c>
      <c r="BA66" s="12">
        <v>301273.03999999998</v>
      </c>
      <c r="BB66" s="15">
        <v>325995.24</v>
      </c>
      <c r="BC66" s="12">
        <v>400806.23</v>
      </c>
      <c r="BD66" s="12">
        <v>324242.12</v>
      </c>
      <c r="BE66" s="12">
        <v>211414.44</v>
      </c>
      <c r="BF66" s="12">
        <v>193349.54</v>
      </c>
      <c r="BG66" s="12">
        <v>162611.59</v>
      </c>
      <c r="BH66" s="430">
        <v>3632206.5700000003</v>
      </c>
      <c r="BI66" s="12">
        <v>197723.95</v>
      </c>
      <c r="BJ66" s="12">
        <v>122606.01</v>
      </c>
      <c r="BK66" s="12">
        <v>151281.60999999999</v>
      </c>
      <c r="BL66" s="12">
        <v>59702.31</v>
      </c>
      <c r="BM66" s="12">
        <v>141189.82</v>
      </c>
      <c r="BN66" s="12">
        <v>262460.59000000003</v>
      </c>
      <c r="BO66" s="12">
        <v>203035.57</v>
      </c>
      <c r="BP66" s="12">
        <v>190880.78</v>
      </c>
      <c r="BQ66" s="15">
        <v>274579</v>
      </c>
      <c r="BR66" s="15">
        <v>203952.8</v>
      </c>
      <c r="BS66" s="12">
        <v>300711.73</v>
      </c>
      <c r="BT66" s="396">
        <v>340304.45</v>
      </c>
      <c r="BU66" s="430">
        <f>SUM(BI66:BT66)</f>
        <v>2448428.62</v>
      </c>
      <c r="BV66" s="396">
        <v>358208.74</v>
      </c>
      <c r="BW66" s="12">
        <v>453012.33</v>
      </c>
      <c r="BX66" s="12">
        <v>426403.56</v>
      </c>
      <c r="BY66" s="396">
        <v>311535.52</v>
      </c>
      <c r="BZ66" s="396">
        <v>482017.18</v>
      </c>
      <c r="CA66" s="396">
        <v>643767.99</v>
      </c>
      <c r="CB66" s="396">
        <v>493358.04</v>
      </c>
      <c r="CC66" s="396">
        <v>295501.93</v>
      </c>
      <c r="CD66" s="396">
        <v>555352.16</v>
      </c>
      <c r="CE66" s="396">
        <v>306816.15000000002</v>
      </c>
      <c r="CF66" s="396">
        <v>881938.33</v>
      </c>
      <c r="CG66" s="396">
        <v>1744622.6</v>
      </c>
      <c r="CH66" s="430">
        <f>SUM(BV66:CG66)</f>
        <v>6952534.5300000012</v>
      </c>
      <c r="CI66" s="396">
        <v>1919606.51</v>
      </c>
      <c r="CJ66" s="396">
        <v>1803996.58</v>
      </c>
      <c r="CK66" s="396">
        <v>1612086.9</v>
      </c>
      <c r="CL66" s="396">
        <v>1388331.05</v>
      </c>
      <c r="CM66" s="396">
        <v>1147802.27</v>
      </c>
      <c r="CN66" s="396">
        <v>672737.47</v>
      </c>
      <c r="CO66" s="396">
        <v>957340.61</v>
      </c>
      <c r="CP66" s="396">
        <v>857246.35</v>
      </c>
      <c r="CQ66" s="396">
        <v>1030392.31</v>
      </c>
      <c r="CR66" s="396">
        <v>787960.52</v>
      </c>
      <c r="CS66" s="396">
        <v>1293692.74</v>
      </c>
      <c r="CT66" s="396">
        <v>383084.42</v>
      </c>
      <c r="CU66" s="430">
        <f>SUM(CI66:CT66)</f>
        <v>13854277.73</v>
      </c>
      <c r="CV66" s="430">
        <v>417405.25</v>
      </c>
      <c r="CW66" s="430">
        <v>469177.75</v>
      </c>
      <c r="CX66" s="767">
        <v>863944.56</v>
      </c>
      <c r="CY66" s="767">
        <v>1181731.31</v>
      </c>
      <c r="CZ66" s="767">
        <v>733164.02</v>
      </c>
      <c r="DA66" s="767">
        <v>421927.2</v>
      </c>
      <c r="DB66" s="767">
        <v>925734.21</v>
      </c>
      <c r="DC66" s="767">
        <v>633895.42000000004</v>
      </c>
      <c r="DD66" s="934">
        <v>883480.7</v>
      </c>
      <c r="DE66" s="934">
        <v>714055.11</v>
      </c>
      <c r="DF66" s="934">
        <v>1065794.3400000001</v>
      </c>
      <c r="DG66" s="934">
        <v>857879.43</v>
      </c>
      <c r="DH66" s="396">
        <f t="shared" ref="DH66" si="53">SUM(CV66:DG66)</f>
        <v>9168189.3000000007</v>
      </c>
      <c r="DI66" s="934">
        <v>309278.45</v>
      </c>
      <c r="DJ66" s="934">
        <v>880186.89</v>
      </c>
      <c r="DK66" s="934">
        <v>1567763.31</v>
      </c>
      <c r="DL66" s="934">
        <v>1459184.39</v>
      </c>
      <c r="DM66" s="934">
        <v>1340163.21</v>
      </c>
      <c r="DN66" s="934">
        <v>1197835.3600000001</v>
      </c>
      <c r="DO66" s="934">
        <v>676064.03</v>
      </c>
      <c r="DP66" s="934">
        <v>534191.19999999995</v>
      </c>
      <c r="DQ66" s="934">
        <v>676901.15</v>
      </c>
      <c r="DR66" s="934">
        <v>777831.26</v>
      </c>
      <c r="DS66" s="934"/>
      <c r="DT66" s="934"/>
      <c r="DU66" s="396">
        <f t="shared" ref="DU66" si="54">SUM(DI66:DT66)</f>
        <v>9419399.25</v>
      </c>
      <c r="DW66" s="456"/>
    </row>
    <row r="67" spans="1:127" ht="10.5" customHeight="1">
      <c r="A67" s="17" t="s">
        <v>97</v>
      </c>
      <c r="B67" s="12"/>
      <c r="C67" s="4"/>
      <c r="D67" s="4"/>
      <c r="E67" s="4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8"/>
      <c r="T67" s="27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397"/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366054.34</v>
      </c>
      <c r="AM67" s="19">
        <v>349664.73</v>
      </c>
      <c r="AN67" s="19">
        <v>335807.95</v>
      </c>
      <c r="AO67" s="19">
        <v>503350.94</v>
      </c>
      <c r="AP67" s="19">
        <v>522627.23</v>
      </c>
      <c r="AQ67" s="19">
        <v>646512.56999999995</v>
      </c>
      <c r="AR67" s="19">
        <v>525437.39</v>
      </c>
      <c r="AS67" s="22">
        <v>3249455.15</v>
      </c>
      <c r="AT67" s="19">
        <v>0</v>
      </c>
      <c r="AU67" s="397">
        <v>3249455.15</v>
      </c>
      <c r="AV67" s="18">
        <v>428140.5</v>
      </c>
      <c r="AW67" s="18">
        <v>346943.12</v>
      </c>
      <c r="AX67" s="18">
        <v>337169.84</v>
      </c>
      <c r="AY67" s="18">
        <v>304353.52</v>
      </c>
      <c r="AZ67" s="18">
        <v>295907.39</v>
      </c>
      <c r="BA67" s="18">
        <v>301273.03999999998</v>
      </c>
      <c r="BB67" s="18">
        <v>329087.83</v>
      </c>
      <c r="BC67" s="18">
        <v>400806.23</v>
      </c>
      <c r="BD67" s="18">
        <v>324242.12</v>
      </c>
      <c r="BE67" s="18">
        <v>211414.44</v>
      </c>
      <c r="BF67" s="18">
        <v>193349.54</v>
      </c>
      <c r="BG67" s="18">
        <v>410225.56</v>
      </c>
      <c r="BH67" s="397">
        <v>3882913.1300000004</v>
      </c>
      <c r="BI67" s="18">
        <f t="shared" ref="BI67:BT67" si="55">SUM(BI63:BI66)</f>
        <v>197723.95</v>
      </c>
      <c r="BJ67" s="18">
        <f t="shared" si="55"/>
        <v>122606.01</v>
      </c>
      <c r="BK67" s="18">
        <f t="shared" si="55"/>
        <v>151281.60999999999</v>
      </c>
      <c r="BL67" s="18">
        <f t="shared" si="55"/>
        <v>59702.31</v>
      </c>
      <c r="BM67" s="18">
        <f t="shared" si="55"/>
        <v>141189.82</v>
      </c>
      <c r="BN67" s="18">
        <f t="shared" si="55"/>
        <v>262460.59000000003</v>
      </c>
      <c r="BO67" s="18">
        <f t="shared" si="55"/>
        <v>203035.57</v>
      </c>
      <c r="BP67" s="18">
        <f t="shared" si="55"/>
        <v>190880.78</v>
      </c>
      <c r="BQ67" s="22">
        <f t="shared" si="55"/>
        <v>274579</v>
      </c>
      <c r="BR67" s="22">
        <f t="shared" si="55"/>
        <v>203952.8</v>
      </c>
      <c r="BS67" s="18">
        <f t="shared" si="55"/>
        <v>300711.73</v>
      </c>
      <c r="BT67" s="18">
        <f t="shared" si="55"/>
        <v>340304.45</v>
      </c>
      <c r="BU67" s="397">
        <f>SUM(BI67:BT67)</f>
        <v>2448428.62</v>
      </c>
      <c r="BV67" s="18">
        <f t="shared" ref="BV67:CG67" si="56">SUM(BV63:BV66)</f>
        <v>358208.74</v>
      </c>
      <c r="BW67" s="18">
        <f t="shared" si="56"/>
        <v>453012.33</v>
      </c>
      <c r="BX67" s="18">
        <f t="shared" si="56"/>
        <v>426403.56</v>
      </c>
      <c r="BY67" s="18">
        <f t="shared" si="56"/>
        <v>311535.52</v>
      </c>
      <c r="BZ67" s="18">
        <f t="shared" si="56"/>
        <v>482017.18</v>
      </c>
      <c r="CA67" s="18">
        <f t="shared" si="56"/>
        <v>643767.99</v>
      </c>
      <c r="CB67" s="18">
        <f t="shared" si="56"/>
        <v>493358.04</v>
      </c>
      <c r="CC67" s="18">
        <f t="shared" si="56"/>
        <v>295501.93</v>
      </c>
      <c r="CD67" s="18">
        <f t="shared" si="56"/>
        <v>555352.16</v>
      </c>
      <c r="CE67" s="18">
        <f t="shared" si="56"/>
        <v>306816.15000000002</v>
      </c>
      <c r="CF67" s="18">
        <f t="shared" si="56"/>
        <v>881938.33</v>
      </c>
      <c r="CG67" s="18">
        <f t="shared" si="56"/>
        <v>1744622.6</v>
      </c>
      <c r="CH67" s="397">
        <f>SUM(BV67:CG67)</f>
        <v>6952534.5300000012</v>
      </c>
      <c r="CI67" s="18">
        <f t="shared" ref="CI67:CT67" si="57">SUM(CI63:CI66)</f>
        <v>1919606.51</v>
      </c>
      <c r="CJ67" s="18">
        <f t="shared" si="57"/>
        <v>1803996.58</v>
      </c>
      <c r="CK67" s="18">
        <f t="shared" si="57"/>
        <v>1612086.9</v>
      </c>
      <c r="CL67" s="18">
        <f t="shared" si="57"/>
        <v>1388331.05</v>
      </c>
      <c r="CM67" s="18">
        <f t="shared" si="57"/>
        <v>1147802.27</v>
      </c>
      <c r="CN67" s="18">
        <f t="shared" si="57"/>
        <v>672737.47</v>
      </c>
      <c r="CO67" s="18">
        <f t="shared" si="57"/>
        <v>957340.61</v>
      </c>
      <c r="CP67" s="18">
        <f t="shared" si="57"/>
        <v>857246.35</v>
      </c>
      <c r="CQ67" s="18">
        <f t="shared" si="57"/>
        <v>1030392.31</v>
      </c>
      <c r="CR67" s="18">
        <f t="shared" si="57"/>
        <v>787960.52</v>
      </c>
      <c r="CS67" s="18">
        <f t="shared" si="57"/>
        <v>1293692.74</v>
      </c>
      <c r="CT67" s="18">
        <f t="shared" si="57"/>
        <v>383084.42</v>
      </c>
      <c r="CU67" s="397">
        <f>SUM(CI67:CT67)</f>
        <v>13854277.73</v>
      </c>
      <c r="CV67" s="397">
        <f t="shared" ref="CV67:DU67" si="58">SUM(CV63:CV66)</f>
        <v>417405.25</v>
      </c>
      <c r="CW67" s="397">
        <f t="shared" si="58"/>
        <v>469177.75</v>
      </c>
      <c r="CX67" s="397">
        <f t="shared" si="58"/>
        <v>863944.56</v>
      </c>
      <c r="CY67" s="397">
        <f t="shared" si="58"/>
        <v>1181731.31</v>
      </c>
      <c r="CZ67" s="397">
        <f t="shared" si="58"/>
        <v>733164.02</v>
      </c>
      <c r="DA67" s="397">
        <f t="shared" si="58"/>
        <v>421927.2</v>
      </c>
      <c r="DB67" s="22">
        <f t="shared" si="58"/>
        <v>925734.21</v>
      </c>
      <c r="DC67" s="22">
        <f t="shared" si="58"/>
        <v>633895.42000000004</v>
      </c>
      <c r="DD67" s="22">
        <f t="shared" si="58"/>
        <v>883480.7</v>
      </c>
      <c r="DE67" s="22">
        <f t="shared" si="58"/>
        <v>714055.11</v>
      </c>
      <c r="DF67" s="22">
        <f t="shared" si="58"/>
        <v>1065794.3400000001</v>
      </c>
      <c r="DG67" s="22">
        <f t="shared" si="58"/>
        <v>857879.43</v>
      </c>
      <c r="DH67" s="397">
        <f t="shared" si="58"/>
        <v>9168189.3000000007</v>
      </c>
      <c r="DI67" s="22">
        <f t="shared" si="58"/>
        <v>309278.45</v>
      </c>
      <c r="DJ67" s="22">
        <f t="shared" si="58"/>
        <v>880186.89</v>
      </c>
      <c r="DK67" s="22">
        <f t="shared" si="58"/>
        <v>1567763.31</v>
      </c>
      <c r="DL67" s="22">
        <f t="shared" si="58"/>
        <v>1459184.39</v>
      </c>
      <c r="DM67" s="22">
        <f t="shared" si="58"/>
        <v>1340163.21</v>
      </c>
      <c r="DN67" s="22">
        <f t="shared" si="58"/>
        <v>1197835.3600000001</v>
      </c>
      <c r="DO67" s="22">
        <f t="shared" si="58"/>
        <v>676064.03</v>
      </c>
      <c r="DP67" s="22">
        <f t="shared" si="58"/>
        <v>534191.19999999995</v>
      </c>
      <c r="DQ67" s="22">
        <f t="shared" si="58"/>
        <v>676901.15</v>
      </c>
      <c r="DR67" s="22">
        <f t="shared" si="58"/>
        <v>777831.26</v>
      </c>
      <c r="DS67" s="22">
        <f t="shared" si="58"/>
        <v>0</v>
      </c>
      <c r="DT67" s="22">
        <f t="shared" si="58"/>
        <v>0</v>
      </c>
      <c r="DU67" s="397">
        <f t="shared" si="58"/>
        <v>9419399.25</v>
      </c>
    </row>
    <row r="68" spans="1:127" ht="10.5" customHeight="1">
      <c r="A68" s="2"/>
      <c r="B68" s="37"/>
      <c r="C68" s="4"/>
      <c r="D68" s="4"/>
      <c r="E68" s="4"/>
      <c r="F68" s="3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2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396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12"/>
      <c r="AT68" s="12"/>
      <c r="AU68" s="396"/>
      <c r="AV68" s="4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396"/>
      <c r="BI68" s="12"/>
      <c r="BJ68" s="12"/>
      <c r="BK68" s="12"/>
      <c r="BL68" s="12"/>
      <c r="BM68" s="12"/>
      <c r="BN68" s="12"/>
      <c r="BO68" s="12"/>
      <c r="BP68" s="12"/>
      <c r="BQ68" s="15"/>
      <c r="BR68" s="15"/>
      <c r="BS68" s="12"/>
      <c r="BT68" s="396"/>
      <c r="BU68" s="396"/>
      <c r="BV68" s="396"/>
      <c r="BW68" s="12"/>
      <c r="BX68" s="12"/>
      <c r="BY68" s="396"/>
      <c r="BZ68" s="396"/>
      <c r="CA68" s="396"/>
      <c r="CB68" s="396"/>
      <c r="CC68" s="396"/>
      <c r="CD68" s="396"/>
      <c r="CE68" s="396"/>
      <c r="CF68" s="396"/>
      <c r="CG68" s="396"/>
      <c r="CH68" s="396"/>
      <c r="CI68" s="396"/>
      <c r="CJ68" s="396"/>
      <c r="CK68" s="396"/>
      <c r="CL68" s="396"/>
      <c r="CM68" s="396"/>
      <c r="CN68" s="396"/>
      <c r="CO68" s="396"/>
      <c r="CP68" s="396"/>
      <c r="CQ68" s="396"/>
      <c r="CR68" s="396"/>
      <c r="CS68" s="396"/>
      <c r="CT68" s="396"/>
      <c r="CU68" s="396"/>
      <c r="CV68" s="396"/>
      <c r="CW68" s="396"/>
      <c r="CX68" s="934"/>
      <c r="CY68" s="934"/>
      <c r="CZ68" s="934"/>
      <c r="DA68" s="934"/>
      <c r="DB68" s="767"/>
      <c r="DC68" s="767"/>
      <c r="DD68" s="934"/>
      <c r="DE68" s="934"/>
      <c r="DF68" s="934"/>
      <c r="DG68" s="934"/>
      <c r="DH68" s="396"/>
      <c r="DI68" s="934"/>
      <c r="DJ68" s="934"/>
      <c r="DK68" s="934"/>
      <c r="DL68" s="934"/>
      <c r="DM68" s="934"/>
      <c r="DN68" s="934"/>
      <c r="DO68" s="934"/>
      <c r="DP68" s="934"/>
      <c r="DQ68" s="934"/>
      <c r="DR68" s="934"/>
      <c r="DS68" s="934"/>
      <c r="DT68" s="934"/>
      <c r="DU68" s="396"/>
    </row>
    <row r="69" spans="1:127" ht="12.75" customHeight="1">
      <c r="A69" s="13" t="s">
        <v>98</v>
      </c>
      <c r="B69" s="12"/>
      <c r="C69" s="4"/>
      <c r="D69" s="4"/>
      <c r="E69" s="4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2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396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12"/>
      <c r="AT69" s="12"/>
      <c r="AU69" s="396"/>
      <c r="AV69" s="4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396"/>
      <c r="BI69" s="12"/>
      <c r="BJ69" s="12"/>
      <c r="BK69" s="12"/>
      <c r="BL69" s="12"/>
      <c r="BM69" s="12"/>
      <c r="BN69" s="12"/>
      <c r="BO69" s="12"/>
      <c r="BP69" s="12"/>
      <c r="BQ69" s="15"/>
      <c r="BR69" s="15"/>
      <c r="BS69" s="12"/>
      <c r="BT69" s="396"/>
      <c r="BU69" s="396"/>
      <c r="BV69" s="396"/>
      <c r="BW69" s="12"/>
      <c r="BX69" s="12"/>
      <c r="BY69" s="396"/>
      <c r="BZ69" s="396"/>
      <c r="CA69" s="396"/>
      <c r="CB69" s="396"/>
      <c r="CC69" s="396"/>
      <c r="CD69" s="396"/>
      <c r="CE69" s="396"/>
      <c r="CF69" s="396"/>
      <c r="CG69" s="396"/>
      <c r="CH69" s="396"/>
      <c r="CI69" s="396"/>
      <c r="CJ69" s="396"/>
      <c r="CK69" s="396"/>
      <c r="CL69" s="396"/>
      <c r="CM69" s="396"/>
      <c r="CN69" s="396"/>
      <c r="CO69" s="396"/>
      <c r="CP69" s="396"/>
      <c r="CQ69" s="396"/>
      <c r="CR69" s="396"/>
      <c r="CS69" s="396"/>
      <c r="CT69" s="396"/>
      <c r="CU69" s="396"/>
      <c r="CV69" s="396"/>
      <c r="CW69" s="396"/>
      <c r="CX69" s="934"/>
      <c r="CY69" s="934"/>
      <c r="CZ69" s="934"/>
      <c r="DA69" s="934"/>
      <c r="DB69" s="767"/>
      <c r="DC69" s="767"/>
      <c r="DD69" s="934"/>
      <c r="DE69" s="934"/>
      <c r="DF69" s="934"/>
      <c r="DG69" s="934"/>
      <c r="DH69" s="396"/>
      <c r="DI69" s="934"/>
      <c r="DJ69" s="934"/>
      <c r="DK69" s="934"/>
      <c r="DL69" s="934"/>
      <c r="DM69" s="934"/>
      <c r="DN69" s="934"/>
      <c r="DO69" s="934"/>
      <c r="DP69" s="934"/>
      <c r="DQ69" s="934"/>
      <c r="DR69" s="934"/>
      <c r="DS69" s="934"/>
      <c r="DT69" s="934"/>
      <c r="DU69" s="396"/>
    </row>
    <row r="70" spans="1:127" ht="12.75" customHeight="1">
      <c r="A70" s="402"/>
      <c r="B70" s="396"/>
      <c r="C70" s="456"/>
      <c r="D70" s="456"/>
      <c r="E70" s="456"/>
      <c r="F70" s="396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396"/>
      <c r="T70" s="456"/>
      <c r="U70" s="456"/>
      <c r="V70" s="456"/>
      <c r="W70" s="456"/>
      <c r="X70" s="456"/>
      <c r="Y70" s="456"/>
      <c r="Z70" s="456"/>
      <c r="AA70" s="456"/>
      <c r="AB70" s="456"/>
      <c r="AC70" s="456"/>
      <c r="AD70" s="456"/>
      <c r="AE70" s="456"/>
      <c r="AF70" s="396"/>
      <c r="AG70" s="456"/>
      <c r="AH70" s="456"/>
      <c r="AI70" s="456"/>
      <c r="AJ70" s="456"/>
      <c r="AK70" s="456"/>
      <c r="AL70" s="456"/>
      <c r="AM70" s="456"/>
      <c r="AN70" s="456"/>
      <c r="AO70" s="456"/>
      <c r="AP70" s="456"/>
      <c r="AQ70" s="456"/>
      <c r="AR70" s="456"/>
      <c r="AS70" s="396"/>
      <c r="AT70" s="396"/>
      <c r="AU70" s="396"/>
      <c r="AV70" s="456"/>
      <c r="AW70" s="396"/>
      <c r="AX70" s="396"/>
      <c r="AY70" s="396"/>
      <c r="AZ70" s="396"/>
      <c r="BA70" s="396"/>
      <c r="BB70" s="396"/>
      <c r="BC70" s="396"/>
      <c r="BD70" s="396"/>
      <c r="BE70" s="396"/>
      <c r="BF70" s="396"/>
      <c r="BG70" s="396"/>
      <c r="BH70" s="396"/>
      <c r="BI70" s="396"/>
      <c r="BJ70" s="396"/>
      <c r="BK70" s="396"/>
      <c r="BL70" s="396"/>
      <c r="BM70" s="396"/>
      <c r="BN70" s="396"/>
      <c r="BO70" s="396"/>
      <c r="BP70" s="396"/>
      <c r="BQ70" s="430"/>
      <c r="BR70" s="430"/>
      <c r="BS70" s="396"/>
      <c r="BT70" s="396"/>
      <c r="BU70" s="396"/>
      <c r="BV70" s="396"/>
      <c r="BW70" s="396"/>
      <c r="BX70" s="396"/>
      <c r="BY70" s="396"/>
      <c r="BZ70" s="396"/>
      <c r="CA70" s="396"/>
      <c r="CB70" s="396"/>
      <c r="CC70" s="396"/>
      <c r="CD70" s="396"/>
      <c r="CE70" s="396"/>
      <c r="CF70" s="396"/>
      <c r="CG70" s="396"/>
      <c r="CH70" s="396"/>
      <c r="CI70" s="396"/>
      <c r="CJ70" s="396"/>
      <c r="CK70" s="396"/>
      <c r="CL70" s="396"/>
      <c r="CM70" s="396"/>
      <c r="CN70" s="396"/>
      <c r="CO70" s="396"/>
      <c r="CP70" s="396"/>
      <c r="CQ70" s="396"/>
      <c r="CR70" s="396"/>
      <c r="CS70" s="396"/>
      <c r="CT70" s="396"/>
      <c r="CU70" s="396"/>
      <c r="CV70" s="396"/>
      <c r="CW70" s="396"/>
      <c r="CX70" s="934"/>
      <c r="CY70" s="934"/>
      <c r="CZ70" s="934"/>
      <c r="DA70" s="934"/>
      <c r="DB70" s="767"/>
      <c r="DC70" s="767"/>
      <c r="DD70" s="934"/>
      <c r="DE70" s="934"/>
      <c r="DF70" s="934"/>
      <c r="DG70" s="934"/>
      <c r="DH70" s="396"/>
      <c r="DI70" s="934"/>
      <c r="DJ70" s="934"/>
      <c r="DK70" s="934"/>
      <c r="DL70" s="934"/>
      <c r="DM70" s="934"/>
      <c r="DN70" s="934"/>
      <c r="DO70" s="934"/>
      <c r="DP70" s="934"/>
      <c r="DQ70" s="934"/>
      <c r="DR70" s="934"/>
      <c r="DS70" s="934"/>
      <c r="DT70" s="934"/>
      <c r="DU70" s="396"/>
    </row>
    <row r="71" spans="1:127" ht="12.75" customHeight="1">
      <c r="A71" s="402" t="s">
        <v>727</v>
      </c>
      <c r="B71" s="396"/>
      <c r="C71" s="456"/>
      <c r="D71" s="456"/>
      <c r="E71" s="456"/>
      <c r="F71" s="396"/>
      <c r="G71" s="456"/>
      <c r="H71" s="456"/>
      <c r="I71" s="456"/>
      <c r="J71" s="456"/>
      <c r="K71" s="456"/>
      <c r="L71" s="456"/>
      <c r="M71" s="456"/>
      <c r="N71" s="456"/>
      <c r="O71" s="456"/>
      <c r="P71" s="456"/>
      <c r="Q71" s="456"/>
      <c r="R71" s="456"/>
      <c r="S71" s="396"/>
      <c r="T71" s="456"/>
      <c r="U71" s="456"/>
      <c r="V71" s="456"/>
      <c r="W71" s="456"/>
      <c r="X71" s="456"/>
      <c r="Y71" s="456"/>
      <c r="Z71" s="456"/>
      <c r="AA71" s="456"/>
      <c r="AB71" s="456"/>
      <c r="AC71" s="456"/>
      <c r="AD71" s="456"/>
      <c r="AE71" s="456"/>
      <c r="AF71" s="396"/>
      <c r="AG71" s="456"/>
      <c r="AH71" s="456"/>
      <c r="AI71" s="456"/>
      <c r="AJ71" s="456"/>
      <c r="AK71" s="456"/>
      <c r="AL71" s="456"/>
      <c r="AM71" s="456"/>
      <c r="AN71" s="456"/>
      <c r="AO71" s="456"/>
      <c r="AP71" s="456"/>
      <c r="AQ71" s="456"/>
      <c r="AR71" s="456"/>
      <c r="AS71" s="396"/>
      <c r="AT71" s="396"/>
      <c r="AU71" s="396"/>
      <c r="AV71" s="456"/>
      <c r="AW71" s="396"/>
      <c r="AX71" s="396"/>
      <c r="AY71" s="396"/>
      <c r="AZ71" s="396"/>
      <c r="BA71" s="396"/>
      <c r="BB71" s="396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6"/>
      <c r="BN71" s="396"/>
      <c r="BO71" s="396"/>
      <c r="BP71" s="396"/>
      <c r="BQ71" s="430"/>
      <c r="BR71" s="430"/>
      <c r="BS71" s="396"/>
      <c r="BT71" s="396"/>
      <c r="BU71" s="396"/>
      <c r="BV71" s="396"/>
      <c r="BW71" s="396"/>
      <c r="BX71" s="396"/>
      <c r="BY71" s="396"/>
      <c r="BZ71" s="396"/>
      <c r="CA71" s="396"/>
      <c r="CB71" s="396"/>
      <c r="CC71" s="396"/>
      <c r="CD71" s="396"/>
      <c r="CE71" s="396"/>
      <c r="CF71" s="396"/>
      <c r="CG71" s="396"/>
      <c r="CH71" s="396"/>
      <c r="CI71" s="396"/>
      <c r="CJ71" s="396"/>
      <c r="CK71" s="396"/>
      <c r="CL71" s="396"/>
      <c r="CM71" s="396"/>
      <c r="CN71" s="396"/>
      <c r="CO71" s="396"/>
      <c r="CP71" s="396"/>
      <c r="CQ71" s="396"/>
      <c r="CR71" s="396"/>
      <c r="CS71" s="396"/>
      <c r="CT71" s="396"/>
      <c r="CU71" s="396"/>
      <c r="CV71" s="396"/>
      <c r="CW71" s="396"/>
      <c r="CX71" s="934"/>
      <c r="CY71" s="934"/>
      <c r="CZ71" s="934"/>
      <c r="DA71" s="934"/>
      <c r="DB71" s="767"/>
      <c r="DC71" s="767"/>
      <c r="DD71" s="934"/>
      <c r="DE71" s="934"/>
      <c r="DF71" s="934"/>
      <c r="DG71" s="934"/>
      <c r="DH71" s="396"/>
      <c r="DI71" s="934"/>
      <c r="DJ71" s="934"/>
      <c r="DK71" s="934"/>
      <c r="DL71" s="934"/>
      <c r="DM71" s="934"/>
      <c r="DN71" s="934"/>
      <c r="DO71" s="934"/>
      <c r="DP71" s="934"/>
      <c r="DQ71" s="934"/>
      <c r="DR71" s="934"/>
      <c r="DS71" s="934"/>
      <c r="DT71" s="934"/>
      <c r="DU71" s="396"/>
    </row>
    <row r="72" spans="1:127" ht="14.4">
      <c r="A72" s="2"/>
      <c r="B72" s="12"/>
      <c r="C72" s="4"/>
      <c r="D72" s="4"/>
      <c r="E72" s="4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2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396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12"/>
      <c r="AT72" s="12"/>
      <c r="AU72" s="396"/>
      <c r="AV72" s="4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396"/>
      <c r="BI72" s="12"/>
      <c r="BJ72" s="12"/>
      <c r="BK72" s="12"/>
      <c r="BL72" s="12"/>
      <c r="BM72" s="12"/>
      <c r="BN72" s="12"/>
      <c r="BO72" s="12"/>
      <c r="BP72" s="12"/>
      <c r="BQ72" s="15"/>
      <c r="BR72" s="15"/>
      <c r="BS72" s="12"/>
      <c r="BT72" s="396"/>
      <c r="BU72" s="396"/>
      <c r="BV72" s="396"/>
      <c r="BW72" s="12"/>
      <c r="BX72" s="12"/>
      <c r="BY72" s="396"/>
      <c r="BZ72" s="396"/>
      <c r="CA72" s="396"/>
      <c r="CB72" s="396"/>
      <c r="CC72" s="396"/>
      <c r="CD72" s="396"/>
      <c r="CE72" s="396"/>
      <c r="CF72" s="396"/>
      <c r="CG72" s="396"/>
      <c r="CH72" s="396"/>
      <c r="CI72" s="396"/>
      <c r="CJ72" s="396"/>
      <c r="CK72" s="396"/>
      <c r="CL72" s="396"/>
      <c r="CM72" s="396"/>
      <c r="CN72" s="396"/>
      <c r="CO72" s="396"/>
      <c r="CP72" s="396"/>
      <c r="CQ72" s="396"/>
      <c r="CR72" s="396"/>
      <c r="CS72" s="396"/>
      <c r="CT72" s="396"/>
      <c r="CU72" s="396"/>
      <c r="CV72" s="396"/>
      <c r="CW72" s="396"/>
      <c r="CX72" s="934"/>
      <c r="CY72" s="934"/>
      <c r="CZ72" s="934"/>
      <c r="DA72" s="934"/>
      <c r="DB72" s="767"/>
      <c r="DC72" s="767"/>
      <c r="DD72" s="934"/>
      <c r="DE72" s="934"/>
      <c r="DF72" s="934"/>
      <c r="DG72" s="934"/>
      <c r="DH72" s="396"/>
      <c r="DI72" s="934"/>
      <c r="DJ72" s="934"/>
      <c r="DK72" s="934"/>
      <c r="DL72" s="934"/>
      <c r="DM72" s="934"/>
      <c r="DN72" s="934"/>
      <c r="DO72" s="934"/>
      <c r="DP72" s="934"/>
      <c r="DQ72" s="934"/>
      <c r="DR72" s="934"/>
      <c r="DS72" s="934"/>
      <c r="DT72" s="934"/>
      <c r="DU72" s="396"/>
    </row>
    <row r="73" spans="1:127" ht="12.75" customHeight="1" outlineLevel="1">
      <c r="A73" s="13" t="s">
        <v>99</v>
      </c>
      <c r="B73" s="12"/>
      <c r="C73" s="4"/>
      <c r="D73" s="4"/>
      <c r="E73" s="4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2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396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12"/>
      <c r="AT73" s="12"/>
      <c r="AU73" s="396"/>
      <c r="AV73" s="4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396"/>
      <c r="BI73" s="12"/>
      <c r="BJ73" s="12"/>
      <c r="BK73" s="12"/>
      <c r="BL73" s="12"/>
      <c r="BM73" s="12"/>
      <c r="BN73" s="12"/>
      <c r="BO73" s="12"/>
      <c r="BP73" s="12"/>
      <c r="BQ73" s="15"/>
      <c r="BR73" s="15"/>
      <c r="BS73" s="12"/>
      <c r="BT73" s="396"/>
      <c r="BU73" s="396"/>
      <c r="BV73" s="396"/>
      <c r="BW73" s="12"/>
      <c r="BX73" s="12"/>
      <c r="BY73" s="396"/>
      <c r="BZ73" s="396"/>
      <c r="CA73" s="396"/>
      <c r="CB73" s="396"/>
      <c r="CC73" s="396"/>
      <c r="CD73" s="396"/>
      <c r="CE73" s="396"/>
      <c r="CF73" s="396"/>
      <c r="CG73" s="396"/>
      <c r="CH73" s="396"/>
      <c r="CI73" s="396"/>
      <c r="CJ73" s="396"/>
      <c r="CK73" s="396"/>
      <c r="CL73" s="396"/>
      <c r="CM73" s="396"/>
      <c r="CN73" s="396"/>
      <c r="CO73" s="396"/>
      <c r="CP73" s="396"/>
      <c r="CQ73" s="396"/>
      <c r="CR73" s="396"/>
      <c r="CS73" s="396"/>
      <c r="CT73" s="396"/>
      <c r="CU73" s="396"/>
      <c r="CV73" s="396"/>
      <c r="CW73" s="396"/>
      <c r="CX73" s="934"/>
      <c r="CY73" s="934"/>
      <c r="CZ73" s="934"/>
      <c r="DA73" s="934"/>
      <c r="DB73" s="767"/>
      <c r="DC73" s="767"/>
      <c r="DD73" s="934"/>
      <c r="DE73" s="934"/>
      <c r="DF73" s="934"/>
      <c r="DG73" s="934"/>
      <c r="DH73" s="396"/>
      <c r="DI73" s="934"/>
      <c r="DJ73" s="934"/>
      <c r="DK73" s="934"/>
      <c r="DL73" s="934"/>
      <c r="DM73" s="934"/>
      <c r="DN73" s="934"/>
      <c r="DO73" s="934"/>
      <c r="DP73" s="934"/>
      <c r="DQ73" s="934"/>
      <c r="DR73" s="934"/>
      <c r="DS73" s="934"/>
      <c r="DT73" s="934"/>
      <c r="DU73" s="396"/>
    </row>
    <row r="74" spans="1:127" ht="12.75" customHeight="1" outlineLevel="1">
      <c r="A74" s="14" t="s">
        <v>100</v>
      </c>
      <c r="B74" s="12">
        <v>3824.29</v>
      </c>
      <c r="C74" s="4">
        <v>839.75</v>
      </c>
      <c r="D74" s="4">
        <v>816.08</v>
      </c>
      <c r="E74" s="4">
        <v>938.24</v>
      </c>
      <c r="F74" s="12">
        <v>7861.97</v>
      </c>
      <c r="G74" s="4">
        <v>1499.66</v>
      </c>
      <c r="H74" s="4">
        <v>933.45</v>
      </c>
      <c r="I74" s="4">
        <v>1415.04</v>
      </c>
      <c r="J74" s="4">
        <v>1296.8800000000001</v>
      </c>
      <c r="K74" s="4">
        <v>1146.5999999999999</v>
      </c>
      <c r="L74" s="4">
        <v>1244.28</v>
      </c>
      <c r="M74" s="4">
        <v>894.15</v>
      </c>
      <c r="N74" s="4">
        <v>1066.82</v>
      </c>
      <c r="O74" s="4">
        <v>1067.54</v>
      </c>
      <c r="P74" s="4">
        <v>1270.6199999999999</v>
      </c>
      <c r="Q74" s="4">
        <v>1284.31</v>
      </c>
      <c r="R74" s="4">
        <v>1120.26</v>
      </c>
      <c r="S74" s="12">
        <v>14239.61</v>
      </c>
      <c r="T74" s="4">
        <v>1580.53</v>
      </c>
      <c r="U74" s="4">
        <v>857</v>
      </c>
      <c r="V74" s="4">
        <v>1313.09</v>
      </c>
      <c r="W74" s="4">
        <v>1333.36</v>
      </c>
      <c r="X74" s="4">
        <v>1580.35</v>
      </c>
      <c r="Y74" s="4">
        <v>1735.01</v>
      </c>
      <c r="Z74" s="4">
        <v>2531.39</v>
      </c>
      <c r="AA74" s="4">
        <v>2592.92</v>
      </c>
      <c r="AB74" s="4">
        <v>2531.69</v>
      </c>
      <c r="AC74" s="4">
        <v>2739.26</v>
      </c>
      <c r="AD74" s="4">
        <v>2533.75</v>
      </c>
      <c r="AE74" s="4">
        <v>2354.5</v>
      </c>
      <c r="AF74" s="396">
        <v>23682.85</v>
      </c>
      <c r="AG74" s="4">
        <v>2853.85</v>
      </c>
      <c r="AH74" s="4">
        <v>2972.33</v>
      </c>
      <c r="AI74" s="4">
        <v>4524.1400000000003</v>
      </c>
      <c r="AJ74" s="4">
        <v>3549.37</v>
      </c>
      <c r="AK74" s="4">
        <v>2974.4</v>
      </c>
      <c r="AL74" s="4">
        <v>3713.74</v>
      </c>
      <c r="AM74" s="4">
        <v>4365.8100000000004</v>
      </c>
      <c r="AN74" s="4">
        <v>3879.04</v>
      </c>
      <c r="AO74" s="4">
        <v>3756.9</v>
      </c>
      <c r="AP74" s="4">
        <v>5921.62</v>
      </c>
      <c r="AQ74" s="4">
        <v>6710.86</v>
      </c>
      <c r="AR74" s="4">
        <v>4896.6499999999996</v>
      </c>
      <c r="AS74" s="12">
        <v>50118.710000000006</v>
      </c>
      <c r="AT74" s="12"/>
      <c r="AU74" s="396">
        <v>50118.710000000006</v>
      </c>
      <c r="AV74" s="4">
        <v>7280.23</v>
      </c>
      <c r="AW74" s="12">
        <v>11009.87</v>
      </c>
      <c r="AX74" s="12">
        <v>8796.15</v>
      </c>
      <c r="AY74" s="12">
        <v>6065.44</v>
      </c>
      <c r="AZ74" s="12">
        <v>4509.4799999999996</v>
      </c>
      <c r="BA74" s="12">
        <v>2714.03</v>
      </c>
      <c r="BB74" s="12">
        <v>3180.56</v>
      </c>
      <c r="BC74" s="12">
        <v>3270.64</v>
      </c>
      <c r="BD74" s="12">
        <v>6449.36</v>
      </c>
      <c r="BE74" s="12">
        <v>4463.2299999999996</v>
      </c>
      <c r="BF74" s="12">
        <v>6057.22</v>
      </c>
      <c r="BG74" s="12">
        <v>4159.97</v>
      </c>
      <c r="BH74" s="396">
        <v>67956.179999999993</v>
      </c>
      <c r="BI74" s="12">
        <v>3963.49</v>
      </c>
      <c r="BJ74" s="12">
        <v>4449.42</v>
      </c>
      <c r="BK74" s="12">
        <v>5309.85</v>
      </c>
      <c r="BL74" s="12">
        <v>6738.75</v>
      </c>
      <c r="BM74" s="12">
        <v>5971.2</v>
      </c>
      <c r="BN74" s="12">
        <v>8985.25</v>
      </c>
      <c r="BO74" s="12">
        <v>5458.46</v>
      </c>
      <c r="BP74" s="12">
        <v>9409.2900000000009</v>
      </c>
      <c r="BQ74" s="15">
        <v>6715</v>
      </c>
      <c r="BR74" s="15">
        <v>7995.68</v>
      </c>
      <c r="BS74" s="12">
        <v>10443.09</v>
      </c>
      <c r="BT74" s="396">
        <v>10549.88</v>
      </c>
      <c r="BU74" s="396">
        <f>SUM(BI74:BT74)</f>
        <v>85989.360000000015</v>
      </c>
      <c r="BV74" s="396">
        <v>9265.85</v>
      </c>
      <c r="BW74" s="12">
        <v>5636.67</v>
      </c>
      <c r="BX74" s="12">
        <v>7117.47</v>
      </c>
      <c r="BY74" s="396">
        <v>6328.96</v>
      </c>
      <c r="BZ74" s="396">
        <v>6417.95</v>
      </c>
      <c r="CA74" s="396">
        <v>8251.14</v>
      </c>
      <c r="CB74" s="396">
        <v>7340.58</v>
      </c>
      <c r="CC74" s="396">
        <v>10152.4</v>
      </c>
      <c r="CD74" s="396">
        <v>8350.2800000000007</v>
      </c>
      <c r="CE74" s="396">
        <v>10141.34</v>
      </c>
      <c r="CF74" s="396">
        <v>11159.82</v>
      </c>
      <c r="CG74" s="396">
        <v>9718.41</v>
      </c>
      <c r="CH74" s="396">
        <f>SUM(BV74:CG74)</f>
        <v>99880.87</v>
      </c>
      <c r="CI74" s="396">
        <v>9289.23</v>
      </c>
      <c r="CJ74" s="396">
        <v>10021.41</v>
      </c>
      <c r="CK74" s="396">
        <v>8848.43</v>
      </c>
      <c r="CL74" s="396">
        <v>13741.23</v>
      </c>
      <c r="CM74" s="396">
        <f>14196.16-2</f>
        <v>14194.16</v>
      </c>
      <c r="CN74" s="396">
        <v>12806.18</v>
      </c>
      <c r="CO74" s="396">
        <v>13205.07</v>
      </c>
      <c r="CP74" s="396">
        <v>10359.530000000001</v>
      </c>
      <c r="CQ74" s="396">
        <v>13318.69</v>
      </c>
      <c r="CR74" s="396">
        <v>16106.9</v>
      </c>
      <c r="CS74" s="396">
        <v>13399.99</v>
      </c>
      <c r="CT74" s="396">
        <v>18396.93</v>
      </c>
      <c r="CU74" s="396">
        <f>SUM(CI74:CT74)</f>
        <v>153687.75</v>
      </c>
      <c r="CV74" s="396">
        <v>13480.98</v>
      </c>
      <c r="CW74" s="396">
        <v>14223.72</v>
      </c>
      <c r="CX74" s="934">
        <v>15053.24</v>
      </c>
      <c r="CY74" s="934">
        <v>17705.8</v>
      </c>
      <c r="CZ74" s="934">
        <v>12615.86</v>
      </c>
      <c r="DA74" s="934">
        <v>12735.46</v>
      </c>
      <c r="DB74" s="767">
        <v>15160.96</v>
      </c>
      <c r="DC74" s="767">
        <v>16796.89</v>
      </c>
      <c r="DD74" s="934">
        <v>15562.01</v>
      </c>
      <c r="DE74" s="934">
        <v>17040.45</v>
      </c>
      <c r="DF74" s="934">
        <v>15058.85</v>
      </c>
      <c r="DG74" s="934">
        <v>13901.31</v>
      </c>
      <c r="DH74" s="396">
        <f t="shared" ref="DH74:DH79" si="59">SUM(CV74:DG74)</f>
        <v>179335.53</v>
      </c>
      <c r="DI74" s="934">
        <v>14012.38</v>
      </c>
      <c r="DJ74" s="934">
        <v>12151.83</v>
      </c>
      <c r="DK74" s="934">
        <v>13311.51</v>
      </c>
      <c r="DL74" s="934">
        <v>14966.69</v>
      </c>
      <c r="DM74" s="934">
        <v>12020.86</v>
      </c>
      <c r="DN74" s="934">
        <v>15049.28</v>
      </c>
      <c r="DO74" s="934">
        <v>14312.35</v>
      </c>
      <c r="DP74" s="934">
        <v>20831.580000000002</v>
      </c>
      <c r="DQ74" s="934">
        <v>19912.400000000001</v>
      </c>
      <c r="DR74" s="934">
        <v>31761.59</v>
      </c>
      <c r="DS74" s="934"/>
      <c r="DT74" s="934"/>
      <c r="DU74" s="396">
        <f t="shared" ref="DU74:DU79" si="60">SUM(DI74:DT74)</f>
        <v>168330.47</v>
      </c>
    </row>
    <row r="75" spans="1:127" ht="12.75" customHeight="1" outlineLevel="1">
      <c r="A75" s="14" t="s">
        <v>101</v>
      </c>
      <c r="B75" s="12">
        <v>4394.07</v>
      </c>
      <c r="C75" s="4">
        <v>550</v>
      </c>
      <c r="D75" s="4">
        <v>6382.81</v>
      </c>
      <c r="E75" s="4">
        <v>1510</v>
      </c>
      <c r="F75" s="12">
        <v>18131.650000000001</v>
      </c>
      <c r="G75" s="4">
        <v>1510</v>
      </c>
      <c r="H75" s="4">
        <v>810</v>
      </c>
      <c r="I75" s="4">
        <v>6896.54</v>
      </c>
      <c r="J75" s="4">
        <v>1333.78</v>
      </c>
      <c r="K75" s="4">
        <v>535</v>
      </c>
      <c r="L75" s="4">
        <v>580.1</v>
      </c>
      <c r="M75" s="4">
        <v>2767.28</v>
      </c>
      <c r="N75" s="4">
        <v>8179.49</v>
      </c>
      <c r="O75" s="4">
        <v>2170.33</v>
      </c>
      <c r="P75" s="4">
        <v>3072.92</v>
      </c>
      <c r="Q75" s="4">
        <v>592</v>
      </c>
      <c r="R75" s="4">
        <v>4967.43</v>
      </c>
      <c r="S75" s="12">
        <v>33414.870000000003</v>
      </c>
      <c r="T75" s="4">
        <v>8515.74</v>
      </c>
      <c r="U75" s="4">
        <v>2207</v>
      </c>
      <c r="V75" s="4">
        <v>3738.47</v>
      </c>
      <c r="W75" s="4">
        <v>3049.48</v>
      </c>
      <c r="X75" s="4">
        <v>10483.99</v>
      </c>
      <c r="Y75" s="4">
        <v>4654.26</v>
      </c>
      <c r="Z75" s="4">
        <v>12091.51</v>
      </c>
      <c r="AA75" s="4">
        <v>10334.66</v>
      </c>
      <c r="AB75" s="4">
        <v>20991.03</v>
      </c>
      <c r="AC75" s="4">
        <v>38541.06</v>
      </c>
      <c r="AD75" s="4">
        <v>5135.8999999999996</v>
      </c>
      <c r="AE75" s="4">
        <v>2856.16</v>
      </c>
      <c r="AF75" s="396">
        <v>122599.26</v>
      </c>
      <c r="AG75" s="4">
        <v>6265.99</v>
      </c>
      <c r="AH75" s="4">
        <v>20281.71</v>
      </c>
      <c r="AI75" s="4">
        <v>3679.37</v>
      </c>
      <c r="AJ75" s="4">
        <v>26355.49</v>
      </c>
      <c r="AK75" s="4">
        <v>107205.99</v>
      </c>
      <c r="AL75" s="4">
        <v>11588.13</v>
      </c>
      <c r="AM75" s="4">
        <v>12765.86</v>
      </c>
      <c r="AN75" s="4">
        <v>13483.93</v>
      </c>
      <c r="AO75" s="4">
        <v>65976.95</v>
      </c>
      <c r="AP75" s="4">
        <v>39991.660000000003</v>
      </c>
      <c r="AQ75" s="4">
        <v>3974.3</v>
      </c>
      <c r="AR75" s="4">
        <v>7279.12</v>
      </c>
      <c r="AS75" s="12">
        <v>318848.49999999994</v>
      </c>
      <c r="AT75" s="12"/>
      <c r="AU75" s="396">
        <v>318848.49999999994</v>
      </c>
      <c r="AV75" s="4">
        <v>18369.39</v>
      </c>
      <c r="AW75" s="12">
        <v>1511.9</v>
      </c>
      <c r="AX75" s="12">
        <v>3220.09</v>
      </c>
      <c r="AY75" s="12">
        <v>9350.6</v>
      </c>
      <c r="AZ75" s="12">
        <v>13120.48</v>
      </c>
      <c r="BA75" s="12">
        <v>3552.23</v>
      </c>
      <c r="BB75" s="12">
        <v>7010.54</v>
      </c>
      <c r="BC75" s="12">
        <v>8257.91</v>
      </c>
      <c r="BD75" s="12">
        <v>9147.94</v>
      </c>
      <c r="BE75" s="12">
        <v>5144.8999999999996</v>
      </c>
      <c r="BF75" s="12">
        <v>7192.14</v>
      </c>
      <c r="BG75" s="12">
        <v>1573.98</v>
      </c>
      <c r="BH75" s="396">
        <v>87452.1</v>
      </c>
      <c r="BI75" s="12">
        <v>5334.12</v>
      </c>
      <c r="BJ75" s="12">
        <v>10695.31</v>
      </c>
      <c r="BK75" s="12">
        <v>6121.47</v>
      </c>
      <c r="BL75" s="12">
        <v>6352.89</v>
      </c>
      <c r="BM75" s="12">
        <v>19077.87</v>
      </c>
      <c r="BN75" s="12">
        <v>3797.87</v>
      </c>
      <c r="BO75" s="12">
        <v>8138.71</v>
      </c>
      <c r="BP75" s="12">
        <v>16443.990000000002</v>
      </c>
      <c r="BQ75" s="15">
        <v>5041</v>
      </c>
      <c r="BR75" s="15">
        <v>12917.33</v>
      </c>
      <c r="BS75" s="12">
        <v>14099.98</v>
      </c>
      <c r="BT75" s="396">
        <v>13748.74</v>
      </c>
      <c r="BU75" s="396">
        <f>SUM(BI75:BT75)</f>
        <v>121769.28000000001</v>
      </c>
      <c r="BV75" s="396">
        <v>27035.69</v>
      </c>
      <c r="BW75" s="12">
        <v>36920.949999999997</v>
      </c>
      <c r="BX75" s="12">
        <v>22294.02</v>
      </c>
      <c r="BY75" s="396">
        <v>27242.83</v>
      </c>
      <c r="BZ75" s="396">
        <v>38032.31</v>
      </c>
      <c r="CA75" s="396">
        <v>29205.46</v>
      </c>
      <c r="CB75" s="396">
        <v>22962.07</v>
      </c>
      <c r="CC75" s="396">
        <v>7124.8</v>
      </c>
      <c r="CD75" s="396">
        <v>13234.48</v>
      </c>
      <c r="CE75" s="396">
        <v>17860.43</v>
      </c>
      <c r="CF75" s="396">
        <v>29512.98</v>
      </c>
      <c r="CG75" s="396">
        <v>54318.95</v>
      </c>
      <c r="CH75" s="396">
        <f>SUM(BV75:CG75)</f>
        <v>325744.96999999997</v>
      </c>
      <c r="CI75" s="396">
        <v>19684.29</v>
      </c>
      <c r="CJ75" s="396">
        <v>9673.08</v>
      </c>
      <c r="CK75" s="396">
        <v>10092.86</v>
      </c>
      <c r="CL75" s="396">
        <v>9516.75</v>
      </c>
      <c r="CM75" s="396">
        <v>14957.42</v>
      </c>
      <c r="CN75" s="396">
        <v>23401.08</v>
      </c>
      <c r="CO75" s="396">
        <v>22882.77</v>
      </c>
      <c r="CP75" s="396">
        <v>22355.82</v>
      </c>
      <c r="CQ75" s="396">
        <v>19736.66</v>
      </c>
      <c r="CR75" s="396">
        <v>19566.5</v>
      </c>
      <c r="CS75" s="396">
        <v>17976.650000000001</v>
      </c>
      <c r="CT75" s="396">
        <v>4792.0200000000004</v>
      </c>
      <c r="CU75" s="396">
        <f>SUM(CI75:CT75)</f>
        <v>194635.9</v>
      </c>
      <c r="CV75" s="396">
        <v>20585.61</v>
      </c>
      <c r="CW75" s="396">
        <v>24654.37</v>
      </c>
      <c r="CX75" s="934">
        <v>18165.41</v>
      </c>
      <c r="CY75" s="934">
        <v>10462.5</v>
      </c>
      <c r="CZ75" s="934">
        <v>22118.87</v>
      </c>
      <c r="DA75" s="934">
        <v>13209.05</v>
      </c>
      <c r="DB75" s="767">
        <v>19219.54</v>
      </c>
      <c r="DC75" s="767">
        <v>20213.47</v>
      </c>
      <c r="DD75" s="934">
        <v>16566.259999999998</v>
      </c>
      <c r="DE75" s="934">
        <v>18956.84</v>
      </c>
      <c r="DF75" s="934">
        <v>23336.37</v>
      </c>
      <c r="DG75" s="934">
        <v>18592.88</v>
      </c>
      <c r="DH75" s="396">
        <f t="shared" si="59"/>
        <v>226081.17</v>
      </c>
      <c r="DI75" s="934">
        <v>39750.449999999997</v>
      </c>
      <c r="DJ75" s="934">
        <v>16513.38</v>
      </c>
      <c r="DK75" s="934">
        <v>26804.16</v>
      </c>
      <c r="DL75" s="934">
        <v>100220.85</v>
      </c>
      <c r="DM75" s="934">
        <v>42008.44</v>
      </c>
      <c r="DN75" s="934">
        <v>37212.959999999999</v>
      </c>
      <c r="DO75" s="934">
        <v>38759.08</v>
      </c>
      <c r="DP75" s="934">
        <v>28033.32</v>
      </c>
      <c r="DQ75" s="934">
        <v>29218.9</v>
      </c>
      <c r="DR75" s="934">
        <v>35070.42</v>
      </c>
      <c r="DS75" s="934"/>
      <c r="DT75" s="934"/>
      <c r="DU75" s="396">
        <f t="shared" si="60"/>
        <v>393591.96000000008</v>
      </c>
    </row>
    <row r="76" spans="1:127" ht="12.75" customHeight="1" outlineLevel="1">
      <c r="A76" s="14" t="s">
        <v>102</v>
      </c>
      <c r="B76" s="12">
        <v>0</v>
      </c>
      <c r="C76" s="4">
        <v>1611.2</v>
      </c>
      <c r="D76" s="4">
        <v>2104.5700000000002</v>
      </c>
      <c r="E76" s="4">
        <v>3078</v>
      </c>
      <c r="F76" s="12">
        <v>6793.77</v>
      </c>
      <c r="G76" s="4">
        <v>3720.2</v>
      </c>
      <c r="H76" s="4">
        <v>3446.6</v>
      </c>
      <c r="I76" s="4">
        <v>2457.02</v>
      </c>
      <c r="J76" s="4">
        <v>2870.9</v>
      </c>
      <c r="K76" s="4">
        <v>3138.12</v>
      </c>
      <c r="L76" s="4">
        <v>3451.54</v>
      </c>
      <c r="M76" s="4">
        <v>4404.93</v>
      </c>
      <c r="N76" s="4">
        <v>4251.01</v>
      </c>
      <c r="O76" s="4">
        <v>4199.1099999999997</v>
      </c>
      <c r="P76" s="4">
        <v>4515.0200000000004</v>
      </c>
      <c r="Q76" s="4">
        <v>3949.8</v>
      </c>
      <c r="R76" s="4">
        <v>446.87</v>
      </c>
      <c r="S76" s="12">
        <v>40851.120000000003</v>
      </c>
      <c r="T76" s="4">
        <v>2436.9699999999998</v>
      </c>
      <c r="U76" s="4">
        <v>2348</v>
      </c>
      <c r="V76" s="4">
        <v>2404.81</v>
      </c>
      <c r="W76" s="4">
        <v>4062.04</v>
      </c>
      <c r="X76" s="4">
        <v>1075.73</v>
      </c>
      <c r="Y76" s="4">
        <v>1075.73</v>
      </c>
      <c r="Z76" s="4">
        <v>1111.01</v>
      </c>
      <c r="AA76" s="4">
        <v>1111.01</v>
      </c>
      <c r="AB76" s="4">
        <v>1111.01</v>
      </c>
      <c r="AC76" s="4">
        <v>1111.01</v>
      </c>
      <c r="AD76" s="4">
        <v>1110.98</v>
      </c>
      <c r="AE76" s="4">
        <v>1110.98</v>
      </c>
      <c r="AF76" s="396">
        <v>20069.279999999995</v>
      </c>
      <c r="AG76" s="4">
        <v>1110.98</v>
      </c>
      <c r="AH76" s="4">
        <v>1110.98</v>
      </c>
      <c r="AI76" s="4">
        <v>1110.98</v>
      </c>
      <c r="AJ76" s="4">
        <v>2152.65</v>
      </c>
      <c r="AK76" s="4">
        <v>2152.65</v>
      </c>
      <c r="AL76" s="4">
        <v>3162.79</v>
      </c>
      <c r="AM76" s="4">
        <v>3027.26</v>
      </c>
      <c r="AN76" s="4">
        <v>3027.26</v>
      </c>
      <c r="AO76" s="4">
        <v>3027.26</v>
      </c>
      <c r="AP76" s="4">
        <v>3027.26</v>
      </c>
      <c r="AQ76" s="4">
        <v>15084.91</v>
      </c>
      <c r="AR76" s="4">
        <v>15084.81</v>
      </c>
      <c r="AS76" s="12">
        <v>53079.789999999994</v>
      </c>
      <c r="AT76" s="12"/>
      <c r="AU76" s="396">
        <v>53079.789999999994</v>
      </c>
      <c r="AV76" s="4">
        <v>15084.81</v>
      </c>
      <c r="AW76" s="12">
        <v>15356.45</v>
      </c>
      <c r="AX76" s="12">
        <v>15429.19</v>
      </c>
      <c r="AY76" s="12">
        <v>13762.52</v>
      </c>
      <c r="AZ76" s="12">
        <v>13762.52</v>
      </c>
      <c r="BA76" s="12">
        <v>13762.52</v>
      </c>
      <c r="BB76" s="12">
        <v>13816.55</v>
      </c>
      <c r="BC76" s="12">
        <v>13816.55</v>
      </c>
      <c r="BD76" s="12">
        <v>25670.19</v>
      </c>
      <c r="BE76" s="12">
        <v>19743.37</v>
      </c>
      <c r="BF76" s="12">
        <v>7685.82</v>
      </c>
      <c r="BG76" s="12">
        <v>40528.35</v>
      </c>
      <c r="BH76" s="396">
        <v>208418.84000000003</v>
      </c>
      <c r="BI76" s="12">
        <v>26713.18</v>
      </c>
      <c r="BJ76" s="12">
        <v>26713.18</v>
      </c>
      <c r="BK76" s="12">
        <v>26713.18</v>
      </c>
      <c r="BL76" s="12">
        <v>26713.18</v>
      </c>
      <c r="BM76" s="12">
        <v>26713.18</v>
      </c>
      <c r="BN76" s="12">
        <v>26713.18</v>
      </c>
      <c r="BO76" s="12">
        <v>26864.2</v>
      </c>
      <c r="BP76" s="12">
        <v>28692.25</v>
      </c>
      <c r="BQ76" s="15">
        <v>31223</v>
      </c>
      <c r="BR76" s="15">
        <v>30036.97</v>
      </c>
      <c r="BS76" s="12">
        <v>39505.71</v>
      </c>
      <c r="BT76" s="396">
        <v>39505.71</v>
      </c>
      <c r="BU76" s="396">
        <f>SUM(BI76:BT76)</f>
        <v>356106.92000000004</v>
      </c>
      <c r="BV76" s="396">
        <v>39505.71</v>
      </c>
      <c r="BW76" s="12">
        <v>39505.71</v>
      </c>
      <c r="BX76" s="12">
        <v>39505.71</v>
      </c>
      <c r="BY76" s="396">
        <v>39505.71</v>
      </c>
      <c r="BZ76" s="396">
        <v>39505.71</v>
      </c>
      <c r="CA76" s="396">
        <v>39505.71</v>
      </c>
      <c r="CB76" s="396">
        <v>33328.379999999997</v>
      </c>
      <c r="CC76" s="396">
        <v>39871.19</v>
      </c>
      <c r="CD76" s="396">
        <v>41293.69</v>
      </c>
      <c r="CE76" s="396">
        <v>40582.44</v>
      </c>
      <c r="CF76" s="396">
        <v>40582.44</v>
      </c>
      <c r="CG76" s="396">
        <v>40582.44</v>
      </c>
      <c r="CH76" s="396">
        <f>SUM(BV76:CG76)</f>
        <v>473274.83999999997</v>
      </c>
      <c r="CI76" s="396">
        <v>41193.620000000003</v>
      </c>
      <c r="CJ76" s="396">
        <v>41193.620000000003</v>
      </c>
      <c r="CK76" s="396">
        <v>41193.620000000003</v>
      </c>
      <c r="CL76" s="396">
        <v>41193.620000000003</v>
      </c>
      <c r="CM76" s="396">
        <v>41193.620000000003</v>
      </c>
      <c r="CN76" s="396">
        <v>45057.59</v>
      </c>
      <c r="CO76" s="396">
        <v>41122.589999999997</v>
      </c>
      <c r="CP76" s="396">
        <v>45554.65</v>
      </c>
      <c r="CQ76" s="396">
        <v>46807.81</v>
      </c>
      <c r="CR76" s="396">
        <v>46181.23</v>
      </c>
      <c r="CS76" s="396">
        <v>46181.25</v>
      </c>
      <c r="CT76" s="396">
        <v>46181.23</v>
      </c>
      <c r="CU76" s="396">
        <f>SUM(CI76:CT76)</f>
        <v>523054.45</v>
      </c>
      <c r="CV76" s="396">
        <v>51780.15</v>
      </c>
      <c r="CW76" s="396">
        <v>45570.78</v>
      </c>
      <c r="CX76" s="934">
        <v>45570.77</v>
      </c>
      <c r="CY76" s="934">
        <v>45570.77</v>
      </c>
      <c r="CZ76" s="934">
        <v>45570.77</v>
      </c>
      <c r="DA76" s="934">
        <v>45570.77</v>
      </c>
      <c r="DB76" s="767">
        <v>37566.589999999997</v>
      </c>
      <c r="DC76" s="767">
        <v>46220.72</v>
      </c>
      <c r="DD76" s="934">
        <v>47188.98</v>
      </c>
      <c r="DE76" s="934">
        <v>46704.79</v>
      </c>
      <c r="DF76" s="934">
        <v>46705.05</v>
      </c>
      <c r="DG76" s="934">
        <v>46705.05</v>
      </c>
      <c r="DH76" s="396">
        <f t="shared" si="59"/>
        <v>550725.18999999994</v>
      </c>
      <c r="DI76" s="934">
        <v>54064.800000000003</v>
      </c>
      <c r="DJ76" s="934">
        <v>54064.800000000003</v>
      </c>
      <c r="DK76" s="934">
        <v>54098.03</v>
      </c>
      <c r="DL76" s="934">
        <v>54031.58</v>
      </c>
      <c r="DM76" s="934">
        <v>54064.800000000003</v>
      </c>
      <c r="DN76" s="934">
        <v>54064.800000000003</v>
      </c>
      <c r="DO76" s="934">
        <v>44244.13</v>
      </c>
      <c r="DP76" s="934">
        <v>54589.65</v>
      </c>
      <c r="DQ76" s="934">
        <v>54589.65</v>
      </c>
      <c r="DR76" s="934">
        <v>54589.65</v>
      </c>
      <c r="DS76" s="934"/>
      <c r="DT76" s="934"/>
      <c r="DU76" s="396">
        <f t="shared" si="60"/>
        <v>532401.89</v>
      </c>
    </row>
    <row r="77" spans="1:127" ht="12.75" customHeight="1" outlineLevel="1">
      <c r="A77" s="14" t="s">
        <v>103</v>
      </c>
      <c r="B77" s="12">
        <v>65029.89</v>
      </c>
      <c r="C77" s="4">
        <v>192992.18</v>
      </c>
      <c r="D77" s="4">
        <v>17053.349999999999</v>
      </c>
      <c r="E77" s="4">
        <v>13742.37</v>
      </c>
      <c r="F77" s="12">
        <v>857567.7</v>
      </c>
      <c r="G77" s="4">
        <v>28226.35</v>
      </c>
      <c r="H77" s="4">
        <v>3050</v>
      </c>
      <c r="I77" s="4">
        <v>15759.32</v>
      </c>
      <c r="J77" s="4">
        <v>15213.81</v>
      </c>
      <c r="K77" s="4">
        <v>137711.01</v>
      </c>
      <c r="L77" s="4">
        <v>16094.36</v>
      </c>
      <c r="M77" s="4">
        <v>14169.11</v>
      </c>
      <c r="N77" s="4">
        <v>5741.18</v>
      </c>
      <c r="O77" s="4">
        <v>10174.81</v>
      </c>
      <c r="P77" s="4">
        <v>19995.830000000002</v>
      </c>
      <c r="Q77" s="4">
        <v>17095.5</v>
      </c>
      <c r="R77" s="4">
        <v>29991.47</v>
      </c>
      <c r="S77" s="12">
        <v>313222.75</v>
      </c>
      <c r="T77" s="4">
        <v>11423.69</v>
      </c>
      <c r="U77" s="4">
        <v>9563</v>
      </c>
      <c r="V77" s="4">
        <v>22856.51</v>
      </c>
      <c r="W77" s="4">
        <v>11186.22</v>
      </c>
      <c r="X77" s="4">
        <v>21199.29</v>
      </c>
      <c r="Y77" s="4">
        <v>16865</v>
      </c>
      <c r="Z77" s="4">
        <v>48909.58</v>
      </c>
      <c r="AA77" s="4">
        <v>37661.5</v>
      </c>
      <c r="AB77" s="4">
        <v>44830.44</v>
      </c>
      <c r="AC77" s="4">
        <v>33894.81</v>
      </c>
      <c r="AD77" s="4">
        <v>46014.09</v>
      </c>
      <c r="AE77" s="4">
        <v>22644.79</v>
      </c>
      <c r="AF77" s="396">
        <v>327048.92</v>
      </c>
      <c r="AG77" s="4">
        <v>4973.55</v>
      </c>
      <c r="AH77" s="4">
        <v>36110.14</v>
      </c>
      <c r="AI77" s="4">
        <v>58790.13</v>
      </c>
      <c r="AJ77" s="4">
        <v>75259.09</v>
      </c>
      <c r="AK77" s="4">
        <v>939287.86</v>
      </c>
      <c r="AL77" s="4">
        <v>243446.98</v>
      </c>
      <c r="AM77" s="4">
        <v>36505.97</v>
      </c>
      <c r="AN77" s="4">
        <v>27785.68</v>
      </c>
      <c r="AO77" s="4">
        <v>51364</v>
      </c>
      <c r="AP77" s="4">
        <v>32576.23</v>
      </c>
      <c r="AQ77" s="4">
        <v>33110.51</v>
      </c>
      <c r="AR77" s="4">
        <v>21046.13</v>
      </c>
      <c r="AS77" s="12">
        <v>1560256.2699999998</v>
      </c>
      <c r="AT77" s="12">
        <v>-1211435.3799999999</v>
      </c>
      <c r="AU77" s="396">
        <v>348820.8899999999</v>
      </c>
      <c r="AV77" s="4">
        <v>34808.99</v>
      </c>
      <c r="AW77" s="12">
        <v>11020.7</v>
      </c>
      <c r="AX77" s="12">
        <v>26950.95</v>
      </c>
      <c r="AY77" s="12">
        <v>45782.81</v>
      </c>
      <c r="AZ77" s="12">
        <v>35444.94</v>
      </c>
      <c r="BA77" s="12">
        <v>57921.72</v>
      </c>
      <c r="BB77" s="12">
        <v>31596.75</v>
      </c>
      <c r="BC77" s="12">
        <v>81249.22</v>
      </c>
      <c r="BD77" s="12">
        <v>33157.89</v>
      </c>
      <c r="BE77" s="12">
        <v>50543.3</v>
      </c>
      <c r="BF77" s="12">
        <v>17390.09</v>
      </c>
      <c r="BG77" s="12">
        <v>31527.84</v>
      </c>
      <c r="BH77" s="396">
        <v>457395.20000000007</v>
      </c>
      <c r="BI77" s="12">
        <v>65055.25</v>
      </c>
      <c r="BJ77" s="12">
        <v>125811.28</v>
      </c>
      <c r="BK77" s="12">
        <v>79425.429999999993</v>
      </c>
      <c r="BL77" s="12">
        <v>98729.63</v>
      </c>
      <c r="BM77" s="12">
        <v>177263.02</v>
      </c>
      <c r="BN77" s="12">
        <v>76930.16</v>
      </c>
      <c r="BO77" s="12">
        <v>137898.6</v>
      </c>
      <c r="BP77" s="12">
        <v>72892.42</v>
      </c>
      <c r="BQ77" s="15">
        <v>167778</v>
      </c>
      <c r="BR77" s="15">
        <v>184198.79</v>
      </c>
      <c r="BS77" s="12">
        <v>204424.17</v>
      </c>
      <c r="BT77" s="396">
        <v>118604.02</v>
      </c>
      <c r="BU77" s="396">
        <f>SUM(BI77:BT77)</f>
        <v>1509010.77</v>
      </c>
      <c r="BV77" s="396">
        <v>104430.51</v>
      </c>
      <c r="BW77" s="12">
        <v>67836.320000000007</v>
      </c>
      <c r="BX77" s="12">
        <v>127209.75</v>
      </c>
      <c r="BY77" s="396">
        <v>203321.64</v>
      </c>
      <c r="BZ77" s="396">
        <v>66174.649999999994</v>
      </c>
      <c r="CA77" s="396">
        <v>31038.3</v>
      </c>
      <c r="CB77" s="396">
        <v>217062.98</v>
      </c>
      <c r="CC77" s="396">
        <v>127874.24000000001</v>
      </c>
      <c r="CD77" s="396">
        <v>159203</v>
      </c>
      <c r="CE77" s="396">
        <v>102200.3</v>
      </c>
      <c r="CF77" s="396">
        <v>89759.18</v>
      </c>
      <c r="CG77" s="396">
        <v>107573.45</v>
      </c>
      <c r="CH77" s="396">
        <f>SUM(BV77:CG77)</f>
        <v>1403684.32</v>
      </c>
      <c r="CI77" s="396">
        <v>144451.46</v>
      </c>
      <c r="CJ77" s="396">
        <v>125088.4</v>
      </c>
      <c r="CK77" s="396">
        <v>186116.85</v>
      </c>
      <c r="CL77" s="396">
        <v>121992.43</v>
      </c>
      <c r="CM77" s="396">
        <v>144372.92000000001</v>
      </c>
      <c r="CN77" s="396">
        <v>158136.01999999999</v>
      </c>
      <c r="CO77" s="396">
        <v>119059.72</v>
      </c>
      <c r="CP77" s="396">
        <v>181472.39</v>
      </c>
      <c r="CQ77" s="396">
        <v>129751.33</v>
      </c>
      <c r="CR77" s="396">
        <v>105489.77</v>
      </c>
      <c r="CS77" s="396">
        <v>104479.63</v>
      </c>
      <c r="CT77" s="396">
        <v>-2634.49</v>
      </c>
      <c r="CU77" s="396">
        <f>SUM(CI77:CT77)</f>
        <v>1517776.43</v>
      </c>
      <c r="CV77" s="396">
        <v>175549.56</v>
      </c>
      <c r="CW77" s="396">
        <v>182444.06</v>
      </c>
      <c r="CX77" s="934">
        <v>182716.5</v>
      </c>
      <c r="CY77" s="934">
        <v>209265.84</v>
      </c>
      <c r="CZ77" s="934">
        <v>210971.68</v>
      </c>
      <c r="DA77" s="934">
        <v>326625.98</v>
      </c>
      <c r="DB77" s="767">
        <v>365106.42</v>
      </c>
      <c r="DC77" s="767">
        <v>393874.05</v>
      </c>
      <c r="DD77" s="934">
        <v>438226.71</v>
      </c>
      <c r="DE77" s="934">
        <v>881317.26</v>
      </c>
      <c r="DF77" s="934">
        <v>445669.15</v>
      </c>
      <c r="DG77" s="934">
        <v>373153.76</v>
      </c>
      <c r="DH77" s="396">
        <f t="shared" si="59"/>
        <v>4184920.9699999997</v>
      </c>
      <c r="DI77" s="934">
        <v>458256.76</v>
      </c>
      <c r="DJ77" s="934">
        <v>347217.46</v>
      </c>
      <c r="DK77" s="934">
        <v>437437.65</v>
      </c>
      <c r="DL77" s="934">
        <v>507523.64</v>
      </c>
      <c r="DM77" s="934">
        <v>525037.65</v>
      </c>
      <c r="DN77" s="934">
        <v>739792.48</v>
      </c>
      <c r="DO77" s="934">
        <v>1541086.5</v>
      </c>
      <c r="DP77" s="934">
        <v>369770.83</v>
      </c>
      <c r="DQ77" s="934">
        <v>1235547.56</v>
      </c>
      <c r="DR77" s="934">
        <v>472267.91</v>
      </c>
      <c r="DS77" s="934"/>
      <c r="DT77" s="934"/>
      <c r="DU77" s="396">
        <f t="shared" si="60"/>
        <v>6633938.4400000013</v>
      </c>
    </row>
    <row r="78" spans="1:127" ht="12.75" customHeight="1" outlineLevel="1">
      <c r="A78" s="14" t="s">
        <v>104</v>
      </c>
      <c r="B78" s="12">
        <v>3344.08</v>
      </c>
      <c r="C78" s="4">
        <v>1616.19</v>
      </c>
      <c r="D78" s="4">
        <v>1027.8499999999999</v>
      </c>
      <c r="E78" s="4">
        <v>1153.29</v>
      </c>
      <c r="F78" s="12">
        <v>20985.279999999999</v>
      </c>
      <c r="G78" s="4">
        <v>1800.05</v>
      </c>
      <c r="H78" s="4">
        <v>985.54</v>
      </c>
      <c r="I78" s="4">
        <v>1367.86</v>
      </c>
      <c r="J78" s="4">
        <v>1873.5</v>
      </c>
      <c r="K78" s="4">
        <v>1151.53</v>
      </c>
      <c r="L78" s="4">
        <v>2003.81</v>
      </c>
      <c r="M78" s="4">
        <v>2066.13</v>
      </c>
      <c r="N78" s="4">
        <v>2198.4499999999998</v>
      </c>
      <c r="O78" s="4">
        <v>4869.9399999999996</v>
      </c>
      <c r="P78" s="4">
        <v>3863</v>
      </c>
      <c r="Q78" s="4">
        <v>3737.17</v>
      </c>
      <c r="R78" s="4">
        <v>2933.46</v>
      </c>
      <c r="S78" s="12">
        <v>28850.44</v>
      </c>
      <c r="T78" s="4">
        <v>4041.63</v>
      </c>
      <c r="U78" s="4">
        <v>4116</v>
      </c>
      <c r="V78" s="4">
        <v>4331.8999999999996</v>
      </c>
      <c r="W78" s="4">
        <v>3068.29</v>
      </c>
      <c r="X78" s="4">
        <v>5006.3900000000003</v>
      </c>
      <c r="Y78" s="4">
        <v>5848.28</v>
      </c>
      <c r="Z78" s="4">
        <v>4786.26</v>
      </c>
      <c r="AA78" s="4">
        <v>8737.18</v>
      </c>
      <c r="AB78" s="4">
        <v>7738.37</v>
      </c>
      <c r="AC78" s="4">
        <v>14684.94</v>
      </c>
      <c r="AD78" s="4">
        <v>3624.05</v>
      </c>
      <c r="AE78" s="4">
        <v>3769.81</v>
      </c>
      <c r="AF78" s="396">
        <v>69753.100000000006</v>
      </c>
      <c r="AG78" s="4">
        <v>5146.79</v>
      </c>
      <c r="AH78" s="4">
        <v>4851.45</v>
      </c>
      <c r="AI78" s="4">
        <v>9778.5499999999993</v>
      </c>
      <c r="AJ78" s="4">
        <v>8097.34</v>
      </c>
      <c r="AK78" s="4">
        <v>12690.86</v>
      </c>
      <c r="AL78" s="4">
        <v>25054.45</v>
      </c>
      <c r="AM78" s="4">
        <v>10206.66</v>
      </c>
      <c r="AN78" s="4">
        <v>27231.360000000001</v>
      </c>
      <c r="AO78" s="4">
        <v>22394.21</v>
      </c>
      <c r="AP78" s="4">
        <v>34440.94</v>
      </c>
      <c r="AQ78" s="4">
        <v>23363.71</v>
      </c>
      <c r="AR78" s="4">
        <v>33034.69</v>
      </c>
      <c r="AS78" s="12">
        <v>216291.01</v>
      </c>
      <c r="AT78" s="12"/>
      <c r="AU78" s="396">
        <v>216291.01</v>
      </c>
      <c r="AV78" s="4">
        <v>16120.7</v>
      </c>
      <c r="AW78" s="12">
        <v>11706.51</v>
      </c>
      <c r="AX78" s="12">
        <v>10839.15</v>
      </c>
      <c r="AY78" s="12">
        <v>7947.11</v>
      </c>
      <c r="AZ78" s="12">
        <v>9426.7900000000009</v>
      </c>
      <c r="BA78" s="12">
        <v>7935.47</v>
      </c>
      <c r="BB78" s="12">
        <v>8547.58</v>
      </c>
      <c r="BC78" s="12">
        <v>11001.66</v>
      </c>
      <c r="BD78" s="12">
        <v>15462.62</v>
      </c>
      <c r="BE78" s="12">
        <v>46834.45</v>
      </c>
      <c r="BF78" s="12">
        <v>11795.5</v>
      </c>
      <c r="BG78" s="12">
        <v>9365.27</v>
      </c>
      <c r="BH78" s="396">
        <v>166982.80999999997</v>
      </c>
      <c r="BI78" s="12">
        <v>13970.99</v>
      </c>
      <c r="BJ78" s="12">
        <v>13928.37</v>
      </c>
      <c r="BK78" s="12">
        <v>20243.080000000002</v>
      </c>
      <c r="BL78" s="12">
        <v>42221.78</v>
      </c>
      <c r="BM78" s="12">
        <v>22756.400000000001</v>
      </c>
      <c r="BN78" s="12">
        <v>29410.16</v>
      </c>
      <c r="BO78" s="12">
        <v>26831.59</v>
      </c>
      <c r="BP78" s="12">
        <v>18157.46</v>
      </c>
      <c r="BQ78" s="15">
        <v>40772</v>
      </c>
      <c r="BR78" s="15">
        <v>79461.3</v>
      </c>
      <c r="BS78" s="12">
        <v>32228.43</v>
      </c>
      <c r="BT78" s="396">
        <v>27520.21</v>
      </c>
      <c r="BU78" s="396">
        <f>SUM(BI78:BT78)</f>
        <v>367501.77</v>
      </c>
      <c r="BV78" s="396">
        <v>15371.07</v>
      </c>
      <c r="BW78" s="12">
        <v>11506.03</v>
      </c>
      <c r="BX78" s="12">
        <v>12169.51</v>
      </c>
      <c r="BY78" s="396">
        <v>9775.41</v>
      </c>
      <c r="BZ78" s="396">
        <v>9518.26</v>
      </c>
      <c r="CA78" s="396">
        <v>10213.75</v>
      </c>
      <c r="CB78" s="396">
        <v>11720.82</v>
      </c>
      <c r="CC78" s="396">
        <v>9779.25</v>
      </c>
      <c r="CD78" s="396">
        <v>8855.25</v>
      </c>
      <c r="CE78" s="396">
        <v>14006.91</v>
      </c>
      <c r="CF78" s="396">
        <v>9079.25</v>
      </c>
      <c r="CG78" s="396">
        <v>9941.25</v>
      </c>
      <c r="CH78" s="396">
        <f>SUM(BV78:CG78)</f>
        <v>131936.76</v>
      </c>
      <c r="CI78" s="396">
        <v>4823.29</v>
      </c>
      <c r="CJ78" s="396">
        <v>4447.68</v>
      </c>
      <c r="CK78" s="396">
        <v>5446</v>
      </c>
      <c r="CL78" s="396">
        <v>6097.47</v>
      </c>
      <c r="CM78" s="396">
        <v>4376.3999999999996</v>
      </c>
      <c r="CN78" s="396">
        <v>16000.32</v>
      </c>
      <c r="CO78" s="396">
        <v>5040.24</v>
      </c>
      <c r="CP78" s="396">
        <v>4563.37</v>
      </c>
      <c r="CQ78" s="396">
        <v>4376.3999999999996</v>
      </c>
      <c r="CR78" s="396">
        <v>10053.040000000001</v>
      </c>
      <c r="CS78" s="396">
        <v>4376.32</v>
      </c>
      <c r="CT78" s="396">
        <v>4868.9399999999996</v>
      </c>
      <c r="CU78" s="396">
        <f>SUM(CI78:CT78)</f>
        <v>74469.47</v>
      </c>
      <c r="CV78" s="396">
        <f>3582.66+35424.63</f>
        <v>39007.289999999994</v>
      </c>
      <c r="CW78" s="396">
        <v>101490.96</v>
      </c>
      <c r="CX78" s="934">
        <v>25665.02</v>
      </c>
      <c r="CY78" s="934">
        <v>58906.38</v>
      </c>
      <c r="CZ78" s="934">
        <v>7444.33</v>
      </c>
      <c r="DA78" s="934">
        <v>54486.63</v>
      </c>
      <c r="DB78" s="767">
        <v>50372.82</v>
      </c>
      <c r="DC78" s="767">
        <v>188413</v>
      </c>
      <c r="DD78" s="934">
        <v>100104.37</v>
      </c>
      <c r="DE78" s="934">
        <v>7585</v>
      </c>
      <c r="DF78" s="934">
        <v>6315</v>
      </c>
      <c r="DG78" s="934">
        <v>61554.5</v>
      </c>
      <c r="DH78" s="396">
        <f>SUM(CV78:DG78)</f>
        <v>701345.29999999993</v>
      </c>
      <c r="DI78" s="934">
        <f>2088.33+25265.96</f>
        <v>27354.29</v>
      </c>
      <c r="DJ78" s="934">
        <v>63711.86</v>
      </c>
      <c r="DK78" s="934">
        <v>33143.300000000003</v>
      </c>
      <c r="DL78" s="934">
        <v>54151.24</v>
      </c>
      <c r="DM78" s="934">
        <v>107034.96</v>
      </c>
      <c r="DN78" s="934">
        <v>97394.93</v>
      </c>
      <c r="DO78" s="934">
        <v>68233.19</v>
      </c>
      <c r="DP78" s="934">
        <v>133156.79</v>
      </c>
      <c r="DQ78" s="934">
        <v>165910.87</v>
      </c>
      <c r="DR78" s="934">
        <v>11375.25</v>
      </c>
      <c r="DS78" s="934"/>
      <c r="DT78" s="934"/>
      <c r="DU78" s="396">
        <f>SUM(DI78:DT78)</f>
        <v>761466.68</v>
      </c>
    </row>
    <row r="79" spans="1:127" ht="12.75" customHeight="1" outlineLevel="1">
      <c r="A79" s="14" t="s">
        <v>105</v>
      </c>
      <c r="B79" s="12">
        <v>2400</v>
      </c>
      <c r="C79" s="4">
        <v>0</v>
      </c>
      <c r="D79" s="4">
        <v>729.17</v>
      </c>
      <c r="E79" s="4">
        <v>0</v>
      </c>
      <c r="F79" s="12">
        <v>879.17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2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396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12"/>
      <c r="AT79" s="12"/>
      <c r="AU79" s="396"/>
      <c r="AV79" s="4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396"/>
      <c r="BI79" s="12"/>
      <c r="BJ79" s="12"/>
      <c r="BK79" s="12"/>
      <c r="BL79" s="12"/>
      <c r="BM79" s="12"/>
      <c r="BN79" s="12"/>
      <c r="BO79" s="12"/>
      <c r="BP79" s="12"/>
      <c r="BQ79" s="15"/>
      <c r="BR79" s="15"/>
      <c r="BS79" s="12"/>
      <c r="BT79" s="396"/>
      <c r="BU79" s="396"/>
      <c r="BV79" s="396"/>
      <c r="BW79" s="12"/>
      <c r="BX79" s="12"/>
      <c r="BY79" s="396"/>
      <c r="BZ79" s="396"/>
      <c r="CA79" s="396"/>
      <c r="CB79" s="396"/>
      <c r="CC79" s="396"/>
      <c r="CD79" s="396"/>
      <c r="CE79" s="396"/>
      <c r="CF79" s="396"/>
      <c r="CG79" s="396"/>
      <c r="CH79" s="396"/>
      <c r="CI79" s="396"/>
      <c r="CJ79" s="396"/>
      <c r="CK79" s="396"/>
      <c r="CL79" s="396"/>
      <c r="CM79" s="396"/>
      <c r="CN79" s="396"/>
      <c r="CO79" s="396"/>
      <c r="CP79" s="396"/>
      <c r="CQ79" s="396"/>
      <c r="CR79" s="396"/>
      <c r="CS79" s="396"/>
      <c r="CT79" s="396"/>
      <c r="CU79" s="396">
        <f>BV79</f>
        <v>0</v>
      </c>
      <c r="CV79" s="396"/>
      <c r="CW79" s="396"/>
      <c r="CX79" s="934"/>
      <c r="CY79" s="934"/>
      <c r="CZ79" s="934"/>
      <c r="DA79" s="934"/>
      <c r="DB79" s="767"/>
      <c r="DC79" s="767"/>
      <c r="DD79" s="934"/>
      <c r="DE79" s="934"/>
      <c r="DF79" s="934"/>
      <c r="DG79" s="934"/>
      <c r="DH79" s="396">
        <f t="shared" si="59"/>
        <v>0</v>
      </c>
      <c r="DI79" s="934">
        <v>0</v>
      </c>
      <c r="DJ79" s="934">
        <v>0</v>
      </c>
      <c r="DK79" s="934">
        <v>0</v>
      </c>
      <c r="DL79" s="934">
        <v>0</v>
      </c>
      <c r="DM79" s="934">
        <v>0</v>
      </c>
      <c r="DN79" s="934"/>
      <c r="DO79" s="934"/>
      <c r="DP79" s="934"/>
      <c r="DQ79" s="934"/>
      <c r="DR79" s="934"/>
      <c r="DS79" s="934"/>
      <c r="DT79" s="934"/>
      <c r="DU79" s="396">
        <f t="shared" si="60"/>
        <v>0</v>
      </c>
    </row>
    <row r="80" spans="1:127" ht="12.75" customHeight="1">
      <c r="A80" s="17" t="s">
        <v>106</v>
      </c>
      <c r="B80" s="18">
        <f t="shared" ref="B80:R80" si="61">SUM(B74:B79)</f>
        <v>78992.33</v>
      </c>
      <c r="C80" s="19">
        <f t="shared" si="61"/>
        <v>197609.32</v>
      </c>
      <c r="D80" s="19">
        <f t="shared" si="61"/>
        <v>28113.829999999994</v>
      </c>
      <c r="E80" s="19">
        <f t="shared" si="61"/>
        <v>20421.900000000001</v>
      </c>
      <c r="F80" s="18">
        <f t="shared" si="61"/>
        <v>912219.54</v>
      </c>
      <c r="G80" s="19">
        <f t="shared" si="61"/>
        <v>36756.26</v>
      </c>
      <c r="H80" s="19">
        <f t="shared" si="61"/>
        <v>9225.59</v>
      </c>
      <c r="I80" s="19">
        <f t="shared" si="61"/>
        <v>27895.78</v>
      </c>
      <c r="J80" s="19">
        <f t="shared" si="61"/>
        <v>22588.87</v>
      </c>
      <c r="K80" s="19">
        <f t="shared" si="61"/>
        <v>143682.26</v>
      </c>
      <c r="L80" s="19">
        <f t="shared" si="61"/>
        <v>23374.09</v>
      </c>
      <c r="M80" s="19">
        <f t="shared" si="61"/>
        <v>24301.600000000002</v>
      </c>
      <c r="N80" s="19">
        <f t="shared" si="61"/>
        <v>21436.95</v>
      </c>
      <c r="O80" s="19">
        <f t="shared" si="61"/>
        <v>22481.73</v>
      </c>
      <c r="P80" s="19">
        <f t="shared" si="61"/>
        <v>32717.390000000003</v>
      </c>
      <c r="Q80" s="19">
        <f t="shared" si="61"/>
        <v>26658.78</v>
      </c>
      <c r="R80" s="19">
        <f t="shared" si="61"/>
        <v>39459.49</v>
      </c>
      <c r="S80" s="18">
        <f>SUM(S74:S78)</f>
        <v>430578.79</v>
      </c>
      <c r="T80" s="27">
        <f>SUM(T74:T78)</f>
        <v>27998.560000000001</v>
      </c>
      <c r="U80" s="19">
        <v>19092</v>
      </c>
      <c r="V80" s="19">
        <f t="shared" ref="V80:AE80" si="62">SUM(V74:V78)</f>
        <v>34644.78</v>
      </c>
      <c r="W80" s="19">
        <f t="shared" si="62"/>
        <v>22699.39</v>
      </c>
      <c r="X80" s="19">
        <f t="shared" si="62"/>
        <v>39345.75</v>
      </c>
      <c r="Y80" s="19">
        <f t="shared" si="62"/>
        <v>30178.28</v>
      </c>
      <c r="Z80" s="19">
        <f t="shared" si="62"/>
        <v>69429.75</v>
      </c>
      <c r="AA80" s="19">
        <f t="shared" si="62"/>
        <v>60437.27</v>
      </c>
      <c r="AB80" s="19">
        <f t="shared" si="62"/>
        <v>77202.539999999994</v>
      </c>
      <c r="AC80" s="19">
        <f t="shared" si="62"/>
        <v>90971.08</v>
      </c>
      <c r="AD80" s="19">
        <f t="shared" si="62"/>
        <v>58418.77</v>
      </c>
      <c r="AE80" s="19">
        <f t="shared" si="62"/>
        <v>32736.240000000002</v>
      </c>
      <c r="AF80" s="397">
        <v>563154.40999999992</v>
      </c>
      <c r="AG80" s="19">
        <v>20351.16</v>
      </c>
      <c r="AH80" s="19">
        <v>65326.61</v>
      </c>
      <c r="AI80" s="19">
        <v>77883.17</v>
      </c>
      <c r="AJ80" s="19">
        <v>115413.94</v>
      </c>
      <c r="AK80" s="19">
        <v>1064311.76</v>
      </c>
      <c r="AL80" s="19">
        <v>286966.09000000003</v>
      </c>
      <c r="AM80" s="19">
        <v>66871.56</v>
      </c>
      <c r="AN80" s="19">
        <v>75407.27</v>
      </c>
      <c r="AO80" s="19">
        <v>146519.31999999998</v>
      </c>
      <c r="AP80" s="19">
        <v>115957.71</v>
      </c>
      <c r="AQ80" s="19">
        <v>82244.290000000008</v>
      </c>
      <c r="AR80" s="19">
        <v>81341.400000000009</v>
      </c>
      <c r="AS80" s="18">
        <v>2198594.2800000003</v>
      </c>
      <c r="AT80" s="19">
        <v>-1211435.3799999999</v>
      </c>
      <c r="AU80" s="397">
        <v>987158.90000000037</v>
      </c>
      <c r="AV80" s="19">
        <v>91664.12</v>
      </c>
      <c r="AW80" s="18">
        <v>50605.43</v>
      </c>
      <c r="AX80" s="18">
        <v>65235.530000000006</v>
      </c>
      <c r="AY80" s="18">
        <v>82908.479999999996</v>
      </c>
      <c r="AZ80" s="18">
        <v>76264.209999999992</v>
      </c>
      <c r="BA80" s="18">
        <v>85885.97</v>
      </c>
      <c r="BB80" s="18">
        <v>64151.98</v>
      </c>
      <c r="BC80" s="18">
        <v>117595.98000000001</v>
      </c>
      <c r="BD80" s="18">
        <v>89888</v>
      </c>
      <c r="BE80" s="18">
        <v>126729.25</v>
      </c>
      <c r="BF80" s="18">
        <v>50120.770000000004</v>
      </c>
      <c r="BG80" s="18">
        <v>87155.41</v>
      </c>
      <c r="BH80" s="397">
        <v>988205.13</v>
      </c>
      <c r="BI80" s="18">
        <f t="shared" ref="BI80:BT80" si="63">SUM(BI74:BI78)</f>
        <v>115037.03000000001</v>
      </c>
      <c r="BJ80" s="18">
        <f t="shared" si="63"/>
        <v>181597.56</v>
      </c>
      <c r="BK80" s="18">
        <f t="shared" si="63"/>
        <v>137813.01</v>
      </c>
      <c r="BL80" s="18">
        <f t="shared" si="63"/>
        <v>180756.23</v>
      </c>
      <c r="BM80" s="18">
        <f t="shared" si="63"/>
        <v>251781.66999999998</v>
      </c>
      <c r="BN80" s="18">
        <f t="shared" si="63"/>
        <v>145836.62</v>
      </c>
      <c r="BO80" s="18">
        <f t="shared" si="63"/>
        <v>205191.56</v>
      </c>
      <c r="BP80" s="18">
        <f t="shared" si="63"/>
        <v>145595.41</v>
      </c>
      <c r="BQ80" s="22">
        <f t="shared" si="63"/>
        <v>251529</v>
      </c>
      <c r="BR80" s="22">
        <f t="shared" si="63"/>
        <v>314610.07</v>
      </c>
      <c r="BS80" s="18">
        <f t="shared" si="63"/>
        <v>300701.38</v>
      </c>
      <c r="BT80" s="18">
        <f t="shared" si="63"/>
        <v>209928.56</v>
      </c>
      <c r="BU80" s="397">
        <f>SUM(BI80:BT80)</f>
        <v>2440378.1</v>
      </c>
      <c r="BV80" s="18">
        <f t="shared" ref="BV80:CG80" si="64">SUM(BV74:BV78)</f>
        <v>195608.83000000002</v>
      </c>
      <c r="BW80" s="18">
        <f t="shared" si="64"/>
        <v>161405.68</v>
      </c>
      <c r="BX80" s="18">
        <f t="shared" si="64"/>
        <v>208296.46000000002</v>
      </c>
      <c r="BY80" s="18">
        <f t="shared" si="64"/>
        <v>286174.55</v>
      </c>
      <c r="BZ80" s="18">
        <f t="shared" si="64"/>
        <v>159648.88</v>
      </c>
      <c r="CA80" s="18">
        <f t="shared" si="64"/>
        <v>118214.36</v>
      </c>
      <c r="CB80" s="18">
        <f t="shared" si="64"/>
        <v>292414.83</v>
      </c>
      <c r="CC80" s="18">
        <f t="shared" si="64"/>
        <v>194801.88</v>
      </c>
      <c r="CD80" s="18">
        <f t="shared" si="64"/>
        <v>230936.7</v>
      </c>
      <c r="CE80" s="18">
        <f t="shared" si="64"/>
        <v>184791.42</v>
      </c>
      <c r="CF80" s="18">
        <f t="shared" si="64"/>
        <v>180093.66999999998</v>
      </c>
      <c r="CG80" s="18">
        <f t="shared" si="64"/>
        <v>222134.5</v>
      </c>
      <c r="CH80" s="397">
        <f>SUM(BV80:CG80)</f>
        <v>2434521.7600000002</v>
      </c>
      <c r="CI80" s="18">
        <f t="shared" ref="CI80:CT80" si="65">SUM(CI74:CI78)</f>
        <v>219441.88999999998</v>
      </c>
      <c r="CJ80" s="18">
        <f t="shared" si="65"/>
        <v>190424.19</v>
      </c>
      <c r="CK80" s="18">
        <f t="shared" si="65"/>
        <v>251697.76</v>
      </c>
      <c r="CL80" s="18">
        <f t="shared" si="65"/>
        <v>192541.5</v>
      </c>
      <c r="CM80" s="18">
        <f t="shared" si="65"/>
        <v>219094.52000000002</v>
      </c>
      <c r="CN80" s="18">
        <f t="shared" si="65"/>
        <v>255401.19</v>
      </c>
      <c r="CO80" s="18">
        <f t="shared" si="65"/>
        <v>201310.38999999998</v>
      </c>
      <c r="CP80" s="18">
        <f t="shared" si="65"/>
        <v>264305.76</v>
      </c>
      <c r="CQ80" s="18">
        <f t="shared" si="65"/>
        <v>213990.88999999998</v>
      </c>
      <c r="CR80" s="18">
        <f t="shared" si="65"/>
        <v>197397.44000000003</v>
      </c>
      <c r="CS80" s="18">
        <f t="shared" si="65"/>
        <v>186413.84000000003</v>
      </c>
      <c r="CT80" s="18">
        <f t="shared" si="65"/>
        <v>71604.63</v>
      </c>
      <c r="CU80" s="397">
        <f>SUM(CI80:CT80)</f>
        <v>2463623.9999999995</v>
      </c>
      <c r="CV80" s="397">
        <f t="shared" ref="CV80:DA80" si="66">SUM(CV74:CV78)</f>
        <v>300403.58999999997</v>
      </c>
      <c r="CW80" s="397">
        <f t="shared" si="66"/>
        <v>368383.89</v>
      </c>
      <c r="CX80" s="397">
        <f t="shared" si="66"/>
        <v>287170.94</v>
      </c>
      <c r="CY80" s="397">
        <f t="shared" si="66"/>
        <v>341911.29</v>
      </c>
      <c r="CZ80" s="397">
        <f t="shared" si="66"/>
        <v>298721.51</v>
      </c>
      <c r="DA80" s="397">
        <f t="shared" si="66"/>
        <v>452627.89</v>
      </c>
      <c r="DB80" s="22">
        <f t="shared" ref="DB80:DG80" si="67">SUM(DB74:DB78)</f>
        <v>487426.33</v>
      </c>
      <c r="DC80" s="22">
        <f t="shared" si="67"/>
        <v>665518.13</v>
      </c>
      <c r="DD80" s="22">
        <f t="shared" si="67"/>
        <v>617648.33000000007</v>
      </c>
      <c r="DE80" s="22">
        <f t="shared" si="67"/>
        <v>971604.34</v>
      </c>
      <c r="DF80" s="22">
        <f t="shared" si="67"/>
        <v>537084.42000000004</v>
      </c>
      <c r="DG80" s="22">
        <f t="shared" si="67"/>
        <v>513907.5</v>
      </c>
      <c r="DH80" s="397">
        <f>SUM(CV80:DG80)</f>
        <v>5842408.1600000001</v>
      </c>
      <c r="DI80" s="22">
        <f>SUM(DI74:DI79)</f>
        <v>593438.68000000005</v>
      </c>
      <c r="DJ80" s="22">
        <f>SUM(DJ74:DJ79)</f>
        <v>493659.33</v>
      </c>
      <c r="DK80" s="22">
        <f>SUM(DK74:DK79)</f>
        <v>564794.65</v>
      </c>
      <c r="DL80" s="22">
        <f>SUM(DL74:DL79)</f>
        <v>730894</v>
      </c>
      <c r="DM80" s="22">
        <f>SUM(DM74:DM79)</f>
        <v>740166.71</v>
      </c>
      <c r="DN80" s="22">
        <f t="shared" ref="DN80:DT80" si="68">SUM(DN74:DN78)</f>
        <v>943514.45</v>
      </c>
      <c r="DO80" s="22">
        <f t="shared" si="68"/>
        <v>1706635.25</v>
      </c>
      <c r="DP80" s="22">
        <f t="shared" si="68"/>
        <v>606382.17000000004</v>
      </c>
      <c r="DQ80" s="22">
        <f>SUM(DQ74:DQ78)</f>
        <v>1505179.38</v>
      </c>
      <c r="DR80" s="22">
        <f t="shared" si="68"/>
        <v>605064.81999999995</v>
      </c>
      <c r="DS80" s="22">
        <f t="shared" si="68"/>
        <v>0</v>
      </c>
      <c r="DT80" s="22">
        <f t="shared" si="68"/>
        <v>0</v>
      </c>
      <c r="DU80" s="397">
        <f>SUM(DI80:DT80)</f>
        <v>8489729.4399999995</v>
      </c>
    </row>
    <row r="81" spans="1:125" ht="9.75" customHeight="1">
      <c r="A81" s="2"/>
      <c r="B81" s="12"/>
      <c r="C81" s="4"/>
      <c r="D81" s="4"/>
      <c r="E81" s="4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2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396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12"/>
      <c r="AT81" s="12"/>
      <c r="AU81" s="396"/>
      <c r="AV81" s="4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396"/>
      <c r="BI81" s="12"/>
      <c r="BJ81" s="12"/>
      <c r="BK81" s="12"/>
      <c r="BL81" s="12"/>
      <c r="BM81" s="12"/>
      <c r="BN81" s="12"/>
      <c r="BO81" s="12"/>
      <c r="BP81" s="12"/>
      <c r="BQ81" s="15"/>
      <c r="BR81" s="15"/>
      <c r="BS81" s="12"/>
      <c r="BT81" s="396"/>
      <c r="BU81" s="396"/>
      <c r="BV81" s="396"/>
      <c r="BW81" s="12"/>
      <c r="BX81" s="12"/>
      <c r="BY81" s="396"/>
      <c r="BZ81" s="396"/>
      <c r="CA81" s="396"/>
      <c r="CB81" s="396"/>
      <c r="CC81" s="396"/>
      <c r="CD81" s="396"/>
      <c r="CE81" s="396"/>
      <c r="CF81" s="396"/>
      <c r="CG81" s="396"/>
      <c r="CH81" s="396"/>
      <c r="CI81" s="396"/>
      <c r="CJ81" s="396"/>
      <c r="CK81" s="396"/>
      <c r="CL81" s="396"/>
      <c r="CM81" s="396"/>
      <c r="CN81" s="396"/>
      <c r="CO81" s="396"/>
      <c r="CP81" s="396"/>
      <c r="CQ81" s="396"/>
      <c r="CR81" s="396"/>
      <c r="CS81" s="396"/>
      <c r="CT81" s="396"/>
      <c r="CU81" s="396"/>
      <c r="CV81" s="396"/>
      <c r="CW81" s="396"/>
      <c r="CX81" s="934"/>
      <c r="CY81" s="934"/>
      <c r="CZ81" s="934"/>
      <c r="DA81" s="934"/>
      <c r="DB81" s="767"/>
      <c r="DC81" s="767"/>
      <c r="DD81" s="934"/>
      <c r="DE81" s="934"/>
      <c r="DF81" s="934"/>
      <c r="DG81" s="934"/>
      <c r="DH81" s="396"/>
      <c r="DI81" s="934"/>
      <c r="DJ81" s="934"/>
      <c r="DK81" s="934"/>
      <c r="DL81" s="934"/>
      <c r="DM81" s="934"/>
      <c r="DN81" s="934"/>
      <c r="DO81" s="934"/>
      <c r="DP81" s="934"/>
      <c r="DQ81" s="934"/>
      <c r="DR81" s="934"/>
      <c r="DS81" s="934"/>
      <c r="DT81" s="934"/>
      <c r="DU81" s="396"/>
    </row>
    <row r="82" spans="1:125" s="613" customFormat="1" ht="14.4">
      <c r="A82" s="13" t="s">
        <v>663</v>
      </c>
      <c r="B82" s="12"/>
      <c r="C82" s="4"/>
      <c r="D82" s="4"/>
      <c r="E82" s="4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2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396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12"/>
      <c r="AT82" s="12"/>
      <c r="AU82" s="396"/>
      <c r="AV82" s="4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396"/>
      <c r="BI82" s="12"/>
      <c r="BJ82" s="12"/>
      <c r="BK82" s="12"/>
      <c r="BL82" s="12"/>
      <c r="BM82" s="12"/>
      <c r="BN82" s="12"/>
      <c r="BO82" s="12"/>
      <c r="BP82" s="12"/>
      <c r="BQ82" s="15"/>
      <c r="BR82" s="15"/>
      <c r="BS82" s="12"/>
      <c r="BT82" s="396"/>
      <c r="BU82" s="396"/>
      <c r="BV82" s="396"/>
      <c r="BW82" s="12"/>
      <c r="BX82" s="12"/>
      <c r="BY82" s="396"/>
      <c r="BZ82" s="396"/>
      <c r="CA82" s="396"/>
      <c r="CB82" s="396"/>
      <c r="CC82" s="396"/>
      <c r="CD82" s="396"/>
      <c r="CE82" s="396"/>
      <c r="CF82" s="396"/>
      <c r="CG82" s="396"/>
      <c r="CH82" s="396"/>
      <c r="CI82" s="396">
        <v>500000</v>
      </c>
      <c r="CJ82" s="396">
        <v>491129</v>
      </c>
      <c r="CK82" s="396">
        <v>400000</v>
      </c>
      <c r="CL82" s="396">
        <v>0</v>
      </c>
      <c r="CM82" s="396">
        <v>0</v>
      </c>
      <c r="CN82" s="396">
        <v>0</v>
      </c>
      <c r="CO82" s="396">
        <v>0</v>
      </c>
      <c r="CP82" s="396">
        <v>0</v>
      </c>
      <c r="CQ82" s="396">
        <v>0</v>
      </c>
      <c r="CR82" s="396">
        <v>0</v>
      </c>
      <c r="CS82" s="396">
        <v>0</v>
      </c>
      <c r="CT82" s="396">
        <v>0</v>
      </c>
      <c r="CU82" s="396">
        <f>SUM(CI82:CT82)</f>
        <v>1391129</v>
      </c>
      <c r="CV82" s="396">
        <v>63494.01</v>
      </c>
      <c r="CW82" s="396">
        <v>79844.87</v>
      </c>
      <c r="CX82" s="934">
        <v>62319.09</v>
      </c>
      <c r="CY82" s="934">
        <v>141044.32999999999</v>
      </c>
      <c r="CZ82" s="934">
        <v>265598.57</v>
      </c>
      <c r="DA82" s="934">
        <v>384218.25</v>
      </c>
      <c r="DB82" s="767">
        <v>314266.53000000003</v>
      </c>
      <c r="DC82" s="767">
        <v>224537.1</v>
      </c>
      <c r="DD82" s="934">
        <v>217176.92</v>
      </c>
      <c r="DE82" s="934">
        <v>165373.72</v>
      </c>
      <c r="DF82" s="934">
        <v>165373.72</v>
      </c>
      <c r="DG82" s="934">
        <v>157548.12</v>
      </c>
      <c r="DH82" s="396">
        <f t="shared" ref="DH82" si="69">SUM(CV82:DG82)</f>
        <v>2240795.23</v>
      </c>
      <c r="DI82" s="934">
        <v>58837.94</v>
      </c>
      <c r="DJ82" s="934">
        <v>288837.94</v>
      </c>
      <c r="DK82" s="934">
        <v>77023</v>
      </c>
      <c r="DL82" s="934">
        <v>279859.53999999998</v>
      </c>
      <c r="DM82" s="934">
        <v>121353.13</v>
      </c>
      <c r="DN82" s="934">
        <v>177607.14</v>
      </c>
      <c r="DO82" s="934">
        <v>324616.90000000002</v>
      </c>
      <c r="DP82" s="934">
        <v>267479.46000000002</v>
      </c>
      <c r="DQ82" s="934">
        <v>387151.16</v>
      </c>
      <c r="DR82" s="934">
        <v>210417.68</v>
      </c>
      <c r="DS82" s="934"/>
      <c r="DT82" s="934"/>
      <c r="DU82" s="396">
        <f t="shared" ref="DU82" si="70">SUM(DI82:DT82)</f>
        <v>2193183.8899999997</v>
      </c>
    </row>
    <row r="83" spans="1:125" ht="15" customHeight="1">
      <c r="AF83" s="938"/>
      <c r="AU83" s="938"/>
      <c r="BH83" s="938"/>
      <c r="BU83" s="938"/>
      <c r="CH83" s="938"/>
      <c r="CU83" s="938"/>
      <c r="CV83" s="950"/>
      <c r="CW83" s="950"/>
      <c r="CX83" s="938"/>
      <c r="CY83" s="938"/>
      <c r="CZ83" s="938"/>
      <c r="DA83" s="938"/>
      <c r="DB83" s="938"/>
      <c r="DC83" s="938"/>
      <c r="DD83" s="938"/>
      <c r="DE83" s="938"/>
      <c r="DF83" s="938"/>
      <c r="DG83" s="938"/>
      <c r="DH83" s="938"/>
      <c r="DI83" s="938"/>
      <c r="DJ83" s="938"/>
      <c r="DK83" s="938"/>
      <c r="DL83" s="938"/>
      <c r="DM83" s="938"/>
      <c r="DN83" s="938"/>
      <c r="DO83" s="938"/>
      <c r="DP83" s="938"/>
      <c r="DQ83" s="938"/>
      <c r="DR83" s="938"/>
      <c r="DS83" s="938"/>
      <c r="DT83" s="938"/>
      <c r="DU83" s="938"/>
    </row>
    <row r="84" spans="1:125" ht="12.75" customHeight="1" outlineLevel="1">
      <c r="A84" s="914" t="s">
        <v>722</v>
      </c>
      <c r="B84" s="12"/>
      <c r="C84" s="4"/>
      <c r="D84" s="4"/>
      <c r="E84" s="4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2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396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12"/>
      <c r="AT84" s="12"/>
      <c r="AU84" s="396"/>
      <c r="AV84" s="4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396"/>
      <c r="BI84" s="12"/>
      <c r="BJ84" s="12"/>
      <c r="BK84" s="12"/>
      <c r="BL84" s="12"/>
      <c r="BM84" s="12"/>
      <c r="BN84" s="12"/>
      <c r="BO84" s="12"/>
      <c r="BP84" s="12"/>
      <c r="BQ84" s="15"/>
      <c r="BR84" s="15"/>
      <c r="BS84" s="12"/>
      <c r="BT84" s="396"/>
      <c r="BU84" s="396"/>
      <c r="BV84" s="396"/>
      <c r="BW84" s="12"/>
      <c r="BX84" s="12"/>
      <c r="BY84" s="396"/>
      <c r="BZ84" s="396"/>
      <c r="CA84" s="396"/>
      <c r="CB84" s="396"/>
      <c r="CC84" s="396"/>
      <c r="CD84" s="396"/>
      <c r="CE84" s="396"/>
      <c r="CF84" s="396"/>
      <c r="CG84" s="396"/>
      <c r="CH84" s="396"/>
      <c r="CI84" s="396"/>
      <c r="CJ84" s="396"/>
      <c r="CK84" s="396"/>
      <c r="CL84" s="396"/>
      <c r="CM84" s="396"/>
      <c r="CN84" s="396"/>
      <c r="CO84" s="396"/>
      <c r="CP84" s="396"/>
      <c r="CQ84" s="396"/>
      <c r="CR84" s="396"/>
      <c r="CS84" s="396"/>
      <c r="CT84" s="396"/>
      <c r="CU84" s="396"/>
      <c r="CV84" s="396"/>
      <c r="CW84" s="396"/>
      <c r="CX84" s="934"/>
      <c r="CY84" s="934"/>
      <c r="CZ84" s="934"/>
      <c r="DA84" s="934"/>
      <c r="DB84" s="767"/>
      <c r="DC84" s="767"/>
      <c r="DD84" s="934"/>
      <c r="DE84" s="934"/>
      <c r="DF84" s="934"/>
      <c r="DG84" s="934"/>
      <c r="DH84" s="396"/>
      <c r="DI84" s="934"/>
      <c r="DJ84" s="934"/>
      <c r="DK84" s="934"/>
      <c r="DL84" s="934"/>
      <c r="DM84" s="934"/>
      <c r="DN84" s="934"/>
      <c r="DO84" s="934"/>
      <c r="DP84" s="934"/>
      <c r="DQ84" s="934"/>
      <c r="DR84" s="934"/>
      <c r="DS84" s="934"/>
      <c r="DT84" s="934"/>
      <c r="DU84" s="396"/>
    </row>
    <row r="85" spans="1:125" ht="12.75" customHeight="1" outlineLevel="1">
      <c r="A85" s="14" t="s">
        <v>107</v>
      </c>
      <c r="B85" s="12">
        <v>0</v>
      </c>
      <c r="C85" s="4">
        <v>0</v>
      </c>
      <c r="D85" s="4">
        <v>9289.01</v>
      </c>
      <c r="E85" s="4">
        <v>3250</v>
      </c>
      <c r="F85" s="12">
        <v>14762.01</v>
      </c>
      <c r="G85" s="4">
        <v>14820</v>
      </c>
      <c r="H85" s="4">
        <v>6840</v>
      </c>
      <c r="I85" s="4">
        <v>0</v>
      </c>
      <c r="J85" s="4">
        <v>5174.6499999999996</v>
      </c>
      <c r="K85" s="4">
        <v>24508.65</v>
      </c>
      <c r="L85" s="4">
        <v>29643.08</v>
      </c>
      <c r="M85" s="4">
        <v>11708.65</v>
      </c>
      <c r="N85" s="4">
        <v>29330.49</v>
      </c>
      <c r="O85" s="4">
        <v>46218.32</v>
      </c>
      <c r="P85" s="4">
        <v>29590.01</v>
      </c>
      <c r="Q85" s="4">
        <v>28008.65</v>
      </c>
      <c r="R85" s="4">
        <v>50136.22</v>
      </c>
      <c r="S85" s="12">
        <v>275978.71999999997</v>
      </c>
      <c r="T85" s="4">
        <v>47211.05</v>
      </c>
      <c r="U85" s="4">
        <v>43596</v>
      </c>
      <c r="V85" s="4">
        <v>37995.9</v>
      </c>
      <c r="W85" s="4">
        <v>10115.14</v>
      </c>
      <c r="X85" s="4">
        <v>87334.41</v>
      </c>
      <c r="Y85" s="4">
        <v>76656.89</v>
      </c>
      <c r="Z85" s="4">
        <v>209945.48</v>
      </c>
      <c r="AA85" s="4">
        <v>305844.44</v>
      </c>
      <c r="AB85" s="4">
        <v>371394.53</v>
      </c>
      <c r="AC85" s="4">
        <v>232350.56</v>
      </c>
      <c r="AD85" s="4">
        <v>206838.8</v>
      </c>
      <c r="AE85" s="4">
        <v>393128.78</v>
      </c>
      <c r="AF85" s="396">
        <v>2022411.9800000002</v>
      </c>
      <c r="AG85" s="4">
        <v>201364.33</v>
      </c>
      <c r="AH85" s="4">
        <v>301684.84000000003</v>
      </c>
      <c r="AI85" s="4">
        <v>167659.29999999999</v>
      </c>
      <c r="AJ85" s="4">
        <v>49380</v>
      </c>
      <c r="AK85" s="4">
        <v>106500.06</v>
      </c>
      <c r="AL85" s="4">
        <v>277966.75</v>
      </c>
      <c r="AM85" s="4">
        <v>137225.63</v>
      </c>
      <c r="AN85" s="4">
        <v>515519.68</v>
      </c>
      <c r="AO85" s="4">
        <v>699800.3</v>
      </c>
      <c r="AP85" s="4">
        <v>1440309.17</v>
      </c>
      <c r="AQ85" s="4">
        <v>674122.18</v>
      </c>
      <c r="AR85" s="4">
        <v>1209877.75</v>
      </c>
      <c r="AS85" s="12">
        <v>5781409.9900000002</v>
      </c>
      <c r="AT85" s="12"/>
      <c r="AU85" s="396">
        <v>5781409.9900000002</v>
      </c>
      <c r="AV85" s="4">
        <v>834545.48</v>
      </c>
      <c r="AW85" s="12">
        <v>248231.3</v>
      </c>
      <c r="AX85" s="12">
        <v>220347.85</v>
      </c>
      <c r="AY85" s="12">
        <v>285877.52</v>
      </c>
      <c r="AZ85" s="12">
        <v>259058.68</v>
      </c>
      <c r="BA85" s="12">
        <v>257146.31</v>
      </c>
      <c r="BB85" s="12">
        <v>218346.61</v>
      </c>
      <c r="BC85" s="12">
        <v>221739</v>
      </c>
      <c r="BD85" s="12">
        <v>773968.6</v>
      </c>
      <c r="BE85" s="12">
        <v>284813.09000000003</v>
      </c>
      <c r="BF85" s="12">
        <v>229656.02</v>
      </c>
      <c r="BG85" s="12">
        <v>592008.26</v>
      </c>
      <c r="BH85" s="396">
        <v>4425738.72</v>
      </c>
      <c r="BI85" s="12">
        <v>519456.7</v>
      </c>
      <c r="BJ85" s="12">
        <v>590990.86</v>
      </c>
      <c r="BK85" s="12">
        <v>521891.06</v>
      </c>
      <c r="BL85" s="12">
        <v>641144.81999999995</v>
      </c>
      <c r="BM85" s="12">
        <v>792977.47</v>
      </c>
      <c r="BN85" s="12">
        <v>638978.59</v>
      </c>
      <c r="BO85" s="12">
        <v>987653.35</v>
      </c>
      <c r="BP85" s="12">
        <v>866261</v>
      </c>
      <c r="BQ85" s="15">
        <v>948714</v>
      </c>
      <c r="BR85" s="15">
        <v>574013.39</v>
      </c>
      <c r="BS85" s="12">
        <v>227878.67</v>
      </c>
      <c r="BT85" s="396">
        <v>990875.22</v>
      </c>
      <c r="BU85" s="396">
        <f>SUM(BI85:BT85)</f>
        <v>8300835.129999999</v>
      </c>
      <c r="BV85" s="396">
        <v>821741.28</v>
      </c>
      <c r="BW85" s="12">
        <v>901077.04</v>
      </c>
      <c r="BX85" s="12">
        <v>1527646.69</v>
      </c>
      <c r="BY85" s="396">
        <v>1526314</v>
      </c>
      <c r="BZ85" s="396">
        <v>1167152.97</v>
      </c>
      <c r="CA85" s="396">
        <v>1016056.58</v>
      </c>
      <c r="CB85" s="396">
        <v>1825906.78</v>
      </c>
      <c r="CC85" s="396">
        <v>2483989.65</v>
      </c>
      <c r="CD85" s="396">
        <v>1887427.99</v>
      </c>
      <c r="CE85" s="396">
        <v>1931051.56</v>
      </c>
      <c r="CF85" s="396">
        <v>2085744.56</v>
      </c>
      <c r="CG85" s="396">
        <v>1977358.88</v>
      </c>
      <c r="CH85" s="396">
        <f>SUM(BV85:CG85)</f>
        <v>19151467.98</v>
      </c>
      <c r="CI85" s="396">
        <v>1710231.54</v>
      </c>
      <c r="CJ85" s="396">
        <v>1488649.83</v>
      </c>
      <c r="CK85" s="396">
        <v>1777438.97</v>
      </c>
      <c r="CL85" s="396">
        <v>2028763.06</v>
      </c>
      <c r="CM85" s="396">
        <v>2056371.1</v>
      </c>
      <c r="CN85" s="396">
        <v>2655832.48</v>
      </c>
      <c r="CO85" s="396">
        <v>2703875.31</v>
      </c>
      <c r="CP85" s="396">
        <v>2526114.5099999998</v>
      </c>
      <c r="CQ85" s="396">
        <v>1613464.08</v>
      </c>
      <c r="CR85" s="396">
        <v>544910.9</v>
      </c>
      <c r="CS85" s="396">
        <v>91457.82</v>
      </c>
      <c r="CT85" s="396">
        <v>559727.07999999996</v>
      </c>
      <c r="CU85" s="396">
        <f>SUM(CI85:CT85)</f>
        <v>19756836.68</v>
      </c>
      <c r="CV85" s="396">
        <v>413767.09000000008</v>
      </c>
      <c r="CW85" s="396">
        <v>507807.79000000004</v>
      </c>
      <c r="CX85" s="934">
        <v>477745.65</v>
      </c>
      <c r="CY85" s="934">
        <v>476903.67</v>
      </c>
      <c r="CZ85" s="934">
        <v>481221.72</v>
      </c>
      <c r="DA85" s="934">
        <v>484054.66</v>
      </c>
      <c r="DB85" s="767">
        <v>863057.61</v>
      </c>
      <c r="DC85" s="767">
        <v>197764.85</v>
      </c>
      <c r="DD85" s="934">
        <v>564402.06000000006</v>
      </c>
      <c r="DE85" s="934">
        <v>562167.38</v>
      </c>
      <c r="DF85" s="934">
        <v>334736.15999999997</v>
      </c>
      <c r="DG85" s="934">
        <v>732542.91</v>
      </c>
      <c r="DH85" s="396">
        <f t="shared" ref="DH85:DH87" si="71">SUM(CV85:DG85)</f>
        <v>6096171.5499999998</v>
      </c>
      <c r="DI85" s="934">
        <v>487028.03</v>
      </c>
      <c r="DJ85" s="934">
        <v>506107.59</v>
      </c>
      <c r="DK85" s="934">
        <v>596051.06999999995</v>
      </c>
      <c r="DL85" s="934">
        <v>765736.72</v>
      </c>
      <c r="DM85" s="934">
        <v>627330.91</v>
      </c>
      <c r="DN85" s="934">
        <v>477196.63</v>
      </c>
      <c r="DO85" s="934">
        <v>339421.63</v>
      </c>
      <c r="DP85" s="934">
        <v>554219.06999999995</v>
      </c>
      <c r="DQ85" s="934">
        <v>328240.73</v>
      </c>
      <c r="DR85" s="934">
        <v>792485.43</v>
      </c>
      <c r="DS85" s="934"/>
      <c r="DT85" s="934"/>
      <c r="DU85" s="396">
        <f t="shared" ref="DU85:DU87" si="72">SUM(DI85:DT85)</f>
        <v>5473817.8100000005</v>
      </c>
    </row>
    <row r="86" spans="1:125" ht="12.75" customHeight="1" outlineLevel="1">
      <c r="A86" s="14" t="s">
        <v>109</v>
      </c>
      <c r="B86" s="12">
        <v>100529.35</v>
      </c>
      <c r="C86" s="4">
        <v>24766.68</v>
      </c>
      <c r="D86" s="4">
        <v>25700</v>
      </c>
      <c r="E86" s="4">
        <v>40299</v>
      </c>
      <c r="F86" s="12">
        <v>282065.68</v>
      </c>
      <c r="G86" s="4">
        <v>41400.769999999997</v>
      </c>
      <c r="H86" s="4">
        <v>35000</v>
      </c>
      <c r="I86" s="4">
        <v>39352.65</v>
      </c>
      <c r="J86" s="4">
        <v>34793.879999999997</v>
      </c>
      <c r="K86" s="4">
        <v>36601.01</v>
      </c>
      <c r="L86" s="4">
        <v>37787.86</v>
      </c>
      <c r="M86" s="4">
        <v>34126.67</v>
      </c>
      <c r="N86" s="4">
        <v>34268.239999999998</v>
      </c>
      <c r="O86" s="4">
        <v>39363.919999999998</v>
      </c>
      <c r="P86" s="4">
        <v>34109.43</v>
      </c>
      <c r="Q86" s="4">
        <v>33868.879999999997</v>
      </c>
      <c r="R86" s="4">
        <v>33621.32</v>
      </c>
      <c r="S86" s="12">
        <v>434294.69</v>
      </c>
      <c r="T86" s="4">
        <v>33708.300000000003</v>
      </c>
      <c r="U86" s="4">
        <v>23645</v>
      </c>
      <c r="V86" s="4">
        <f>95165.73-37806.4</f>
        <v>57359.329999999994</v>
      </c>
      <c r="W86" s="4">
        <v>108669.19</v>
      </c>
      <c r="X86" s="4">
        <v>55000</v>
      </c>
      <c r="Y86" s="4">
        <v>94558.76</v>
      </c>
      <c r="Z86" s="4">
        <v>90000</v>
      </c>
      <c r="AA86" s="4">
        <v>110000</v>
      </c>
      <c r="AB86" s="4">
        <v>100000</v>
      </c>
      <c r="AC86" s="4">
        <v>65000</v>
      </c>
      <c r="AD86" s="4">
        <v>155000</v>
      </c>
      <c r="AE86" s="4">
        <v>135000</v>
      </c>
      <c r="AF86" s="396">
        <f>SUM(T86:AE86)</f>
        <v>1027940.5800000001</v>
      </c>
      <c r="AG86" s="4">
        <v>240000</v>
      </c>
      <c r="AH86" s="4">
        <v>265750.46999999997</v>
      </c>
      <c r="AI86" s="4">
        <v>325000</v>
      </c>
      <c r="AJ86" s="4">
        <v>270000</v>
      </c>
      <c r="AK86" s="4">
        <v>543586.03</v>
      </c>
      <c r="AL86" s="4">
        <v>479417.56</v>
      </c>
      <c r="AM86" s="4">
        <v>395943.91</v>
      </c>
      <c r="AN86" s="4">
        <v>503988.49</v>
      </c>
      <c r="AO86" s="4">
        <v>958005.32</v>
      </c>
      <c r="AP86" s="4">
        <v>296367.17</v>
      </c>
      <c r="AQ86" s="4">
        <v>686639.96</v>
      </c>
      <c r="AR86" s="4">
        <v>1002550.59</v>
      </c>
      <c r="AS86" s="12">
        <v>5967249.5</v>
      </c>
      <c r="AT86" s="12"/>
      <c r="AU86" s="396">
        <v>5967249.5</v>
      </c>
      <c r="AV86" s="4">
        <v>513097.49</v>
      </c>
      <c r="AW86" s="12">
        <v>48801.1</v>
      </c>
      <c r="AX86" s="12">
        <v>242227.38</v>
      </c>
      <c r="AY86" s="12">
        <v>69353.03</v>
      </c>
      <c r="AZ86" s="12">
        <v>224771.84</v>
      </c>
      <c r="BA86" s="12">
        <v>210470.52</v>
      </c>
      <c r="BB86" s="12">
        <v>439343.7</v>
      </c>
      <c r="BC86" s="12">
        <v>354920.58</v>
      </c>
      <c r="BD86" s="12">
        <v>275825.28000000003</v>
      </c>
      <c r="BE86" s="12">
        <v>176702.68</v>
      </c>
      <c r="BF86" s="12">
        <v>408166.86</v>
      </c>
      <c r="BG86" s="12">
        <v>555049.07999999996</v>
      </c>
      <c r="BH86" s="396">
        <v>3518729.54</v>
      </c>
      <c r="BI86" s="12">
        <v>846107.81</v>
      </c>
      <c r="BJ86" s="12">
        <v>711445.74</v>
      </c>
      <c r="BK86" s="12">
        <v>907071.82</v>
      </c>
      <c r="BL86" s="12">
        <v>923006.85</v>
      </c>
      <c r="BM86" s="12">
        <v>1134172.18</v>
      </c>
      <c r="BN86" s="12">
        <v>1566551.8</v>
      </c>
      <c r="BO86" s="12">
        <v>1616105.38</v>
      </c>
      <c r="BP86" s="12">
        <v>1658245.92</v>
      </c>
      <c r="BQ86" s="15">
        <v>1947156</v>
      </c>
      <c r="BR86" s="15">
        <v>1701759.91</v>
      </c>
      <c r="BS86" s="12">
        <v>1229078.44</v>
      </c>
      <c r="BT86" s="396">
        <v>1900274</v>
      </c>
      <c r="BU86" s="396">
        <f>SUM(BI86:BT86)</f>
        <v>16140975.85</v>
      </c>
      <c r="BV86" s="396">
        <v>2233186.04</v>
      </c>
      <c r="BW86" s="12">
        <v>1775788.19</v>
      </c>
      <c r="BX86" s="12">
        <v>2787302.28</v>
      </c>
      <c r="BY86" s="396">
        <v>2620231.5699999998</v>
      </c>
      <c r="BZ86" s="396">
        <v>2455258.16</v>
      </c>
      <c r="CA86" s="396">
        <v>2132792.64</v>
      </c>
      <c r="CB86" s="396">
        <v>1788522.66</v>
      </c>
      <c r="CC86" s="396">
        <v>2679025.33</v>
      </c>
      <c r="CD86" s="396">
        <v>3048218.2</v>
      </c>
      <c r="CE86" s="396">
        <v>925374.71</v>
      </c>
      <c r="CF86" s="396">
        <v>1973220.81</v>
      </c>
      <c r="CG86" s="396">
        <v>1911305.9</v>
      </c>
      <c r="CH86" s="396">
        <f>SUM(BV86:CG86)</f>
        <v>26330226.489999998</v>
      </c>
      <c r="CI86" s="396">
        <v>1765427.23</v>
      </c>
      <c r="CJ86" s="396">
        <v>1560540.08</v>
      </c>
      <c r="CK86" s="396">
        <v>2150737.62</v>
      </c>
      <c r="CL86" s="396">
        <v>2766300.3</v>
      </c>
      <c r="CM86" s="396">
        <v>2502762.61</v>
      </c>
      <c r="CN86" s="396">
        <v>2940579.32</v>
      </c>
      <c r="CO86" s="396">
        <v>1700234.19</v>
      </c>
      <c r="CP86" s="396">
        <v>1751008.41</v>
      </c>
      <c r="CQ86" s="396">
        <v>3031751.1</v>
      </c>
      <c r="CR86" s="396">
        <v>1948361.34</v>
      </c>
      <c r="CS86" s="396">
        <v>2817454.64</v>
      </c>
      <c r="CT86" s="396">
        <v>3141203.98</v>
      </c>
      <c r="CU86" s="396">
        <f>SUM(CI86:CT86)</f>
        <v>28076360.82</v>
      </c>
      <c r="CV86" s="396">
        <v>2386793.46</v>
      </c>
      <c r="CW86" s="396">
        <v>3343845.45</v>
      </c>
      <c r="CX86" s="934">
        <v>3203530.8</v>
      </c>
      <c r="CY86" s="934">
        <v>1271440.6299999999</v>
      </c>
      <c r="CZ86" s="934">
        <v>2323810.9300000002</v>
      </c>
      <c r="DA86" s="934">
        <v>2483751.4300000002</v>
      </c>
      <c r="DB86" s="767">
        <v>3706857.86</v>
      </c>
      <c r="DC86" s="767">
        <v>4487886.5599999996</v>
      </c>
      <c r="DD86" s="934">
        <v>3129166.45</v>
      </c>
      <c r="DE86" s="934">
        <v>3919710.78</v>
      </c>
      <c r="DF86" s="934">
        <v>3306299.41</v>
      </c>
      <c r="DG86" s="934">
        <v>2963591.77</v>
      </c>
      <c r="DH86" s="396">
        <f t="shared" si="71"/>
        <v>36526685.530000001</v>
      </c>
      <c r="DI86" s="934">
        <v>3993757.4</v>
      </c>
      <c r="DJ86" s="934">
        <v>2533641.2400000002</v>
      </c>
      <c r="DK86" s="934">
        <v>2763206.77</v>
      </c>
      <c r="DL86" s="934">
        <v>2786945.26</v>
      </c>
      <c r="DM86" s="934">
        <v>4632902.34</v>
      </c>
      <c r="DN86" s="934">
        <v>2893781.07</v>
      </c>
      <c r="DO86" s="934">
        <v>3355447.2</v>
      </c>
      <c r="DP86" s="934">
        <v>3531863.69</v>
      </c>
      <c r="DQ86" s="934">
        <v>3531864.03</v>
      </c>
      <c r="DR86" s="934">
        <v>3108499.29</v>
      </c>
      <c r="DS86" s="934"/>
      <c r="DT86" s="934"/>
      <c r="DU86" s="396">
        <f t="shared" si="72"/>
        <v>33131908.289999999</v>
      </c>
    </row>
    <row r="87" spans="1:125" ht="12.75" customHeight="1" outlineLevel="1">
      <c r="A87" s="14" t="s">
        <v>110</v>
      </c>
      <c r="B87" s="12">
        <v>0</v>
      </c>
      <c r="C87" s="4">
        <v>0</v>
      </c>
      <c r="D87" s="4">
        <v>5399.39</v>
      </c>
      <c r="E87" s="4">
        <v>9746.7000000000007</v>
      </c>
      <c r="F87" s="12">
        <v>15146.09</v>
      </c>
      <c r="G87" s="4">
        <v>13952.84</v>
      </c>
      <c r="H87" s="4">
        <v>7624.12</v>
      </c>
      <c r="I87" s="4">
        <v>1851.34</v>
      </c>
      <c r="J87" s="4">
        <v>24810.55</v>
      </c>
      <c r="K87" s="4">
        <v>22438.05</v>
      </c>
      <c r="L87" s="4">
        <v>17067.900000000001</v>
      </c>
      <c r="M87" s="4">
        <v>6216.25</v>
      </c>
      <c r="N87" s="4">
        <v>10930.94</v>
      </c>
      <c r="O87" s="4">
        <v>0</v>
      </c>
      <c r="P87" s="4">
        <v>0</v>
      </c>
      <c r="Q87" s="4"/>
      <c r="R87" s="4">
        <v>0</v>
      </c>
      <c r="S87" s="12">
        <v>104891.99</v>
      </c>
      <c r="T87" s="4">
        <v>51.54</v>
      </c>
      <c r="U87" s="4">
        <v>6653</v>
      </c>
      <c r="V87" s="4">
        <v>11617.44</v>
      </c>
      <c r="W87" s="4">
        <v>13551.63</v>
      </c>
      <c r="X87" s="4">
        <v>4436.5200000000004</v>
      </c>
      <c r="Y87" s="4">
        <v>6518.62</v>
      </c>
      <c r="Z87" s="4">
        <v>6208.52</v>
      </c>
      <c r="AA87" s="4">
        <v>5315.76</v>
      </c>
      <c r="AB87" s="4">
        <v>5076.05</v>
      </c>
      <c r="AC87" s="4">
        <v>1035.8</v>
      </c>
      <c r="AD87" s="4">
        <v>698.64</v>
      </c>
      <c r="AE87" s="4">
        <v>301.36</v>
      </c>
      <c r="AF87" s="396">
        <v>61464.880000000012</v>
      </c>
      <c r="AG87" s="4">
        <v>1000</v>
      </c>
      <c r="AH87" s="4">
        <v>1637.62</v>
      </c>
      <c r="AI87" s="4">
        <v>41252.769999999997</v>
      </c>
      <c r="AJ87" s="4">
        <v>109264.09</v>
      </c>
      <c r="AK87" s="4">
        <v>170533.34</v>
      </c>
      <c r="AL87" s="4">
        <v>128332.29</v>
      </c>
      <c r="AM87" s="4">
        <v>285243.95</v>
      </c>
      <c r="AN87" s="4">
        <v>372624.12</v>
      </c>
      <c r="AO87" s="4">
        <v>314013.43</v>
      </c>
      <c r="AP87" s="4">
        <v>150111.26999999999</v>
      </c>
      <c r="AQ87" s="4">
        <v>344487.25</v>
      </c>
      <c r="AR87" s="4">
        <v>274412.07</v>
      </c>
      <c r="AS87" s="12">
        <v>2192912.1999999997</v>
      </c>
      <c r="AT87" s="12"/>
      <c r="AU87" s="396">
        <v>2192912.1999999997</v>
      </c>
      <c r="AV87" s="4">
        <v>212355.45</v>
      </c>
      <c r="AW87" s="12">
        <v>0</v>
      </c>
      <c r="AX87" s="12">
        <v>-908.05</v>
      </c>
      <c r="AY87" s="12">
        <v>0</v>
      </c>
      <c r="AZ87" s="12">
        <v>36837.5</v>
      </c>
      <c r="BA87" s="12">
        <v>82623.77</v>
      </c>
      <c r="BB87" s="12">
        <v>171514.86</v>
      </c>
      <c r="BC87" s="12">
        <v>318641.23</v>
      </c>
      <c r="BD87" s="12">
        <v>157745.34</v>
      </c>
      <c r="BE87" s="12">
        <v>137943.66</v>
      </c>
      <c r="BF87" s="12">
        <v>330625</v>
      </c>
      <c r="BG87" s="12">
        <v>235095.32</v>
      </c>
      <c r="BH87" s="396">
        <v>1682474.08</v>
      </c>
      <c r="BI87" s="12">
        <v>411216.82</v>
      </c>
      <c r="BJ87" s="12">
        <v>408353.64</v>
      </c>
      <c r="BK87" s="12">
        <v>484698.04</v>
      </c>
      <c r="BL87" s="12">
        <v>458563.86</v>
      </c>
      <c r="BM87" s="12">
        <v>306706.49</v>
      </c>
      <c r="BN87" s="12">
        <v>391251.67</v>
      </c>
      <c r="BO87" s="12">
        <v>388858.63</v>
      </c>
      <c r="BP87" s="12">
        <v>402435.15</v>
      </c>
      <c r="BQ87" s="15">
        <v>504375</v>
      </c>
      <c r="BR87" s="15">
        <v>477074.27</v>
      </c>
      <c r="BS87" s="12">
        <v>389686.09</v>
      </c>
      <c r="BT87" s="396">
        <v>955927.5</v>
      </c>
      <c r="BU87" s="396">
        <f>SUM(BI87:BT87)</f>
        <v>5579147.1600000001</v>
      </c>
      <c r="BV87" s="396">
        <v>964116.31</v>
      </c>
      <c r="BW87" s="12">
        <v>587908.36</v>
      </c>
      <c r="BX87" s="12">
        <v>996990.96</v>
      </c>
      <c r="BY87" s="396">
        <v>1112625.8400000001</v>
      </c>
      <c r="BZ87" s="396">
        <v>913276.49</v>
      </c>
      <c r="CA87" s="396">
        <v>859236.88</v>
      </c>
      <c r="CB87" s="396">
        <v>1322500</v>
      </c>
      <c r="CC87" s="396">
        <v>1236240.83</v>
      </c>
      <c r="CD87" s="396">
        <v>1480728.11</v>
      </c>
      <c r="CE87" s="396">
        <v>251002.07</v>
      </c>
      <c r="CF87" s="396">
        <v>380222.7</v>
      </c>
      <c r="CG87" s="396">
        <v>422148.6</v>
      </c>
      <c r="CH87" s="396">
        <f>SUM(BV87:CG87)</f>
        <v>10526997.149999999</v>
      </c>
      <c r="CI87" s="396">
        <v>507884.49</v>
      </c>
      <c r="CJ87" s="396">
        <v>403049.2</v>
      </c>
      <c r="CK87" s="396">
        <v>294035.86</v>
      </c>
      <c r="CL87" s="396">
        <v>620696.78</v>
      </c>
      <c r="CM87" s="396">
        <v>637168.5</v>
      </c>
      <c r="CN87" s="396">
        <v>310654.92</v>
      </c>
      <c r="CO87" s="396">
        <v>211230.04</v>
      </c>
      <c r="CP87" s="396">
        <v>518662.66</v>
      </c>
      <c r="CQ87" s="396">
        <v>699107</v>
      </c>
      <c r="CR87" s="396">
        <v>314376.90000000002</v>
      </c>
      <c r="CS87" s="396">
        <v>256815</v>
      </c>
      <c r="CT87" s="396">
        <v>374184</v>
      </c>
      <c r="CU87" s="396">
        <f>SUM(CI87:CT87)</f>
        <v>5147865.3500000006</v>
      </c>
      <c r="CV87" s="396">
        <v>423074.68</v>
      </c>
      <c r="CW87" s="396">
        <v>374975.35</v>
      </c>
      <c r="CX87" s="934">
        <v>539244.44999999995</v>
      </c>
      <c r="CY87" s="934">
        <v>522064.36</v>
      </c>
      <c r="CZ87" s="934">
        <v>1013557.33</v>
      </c>
      <c r="DA87" s="934">
        <v>1213158.6499999999</v>
      </c>
      <c r="DB87" s="767">
        <v>945543.82</v>
      </c>
      <c r="DC87" s="767">
        <v>1474193.07</v>
      </c>
      <c r="DD87" s="934">
        <v>1464878.89</v>
      </c>
      <c r="DE87" s="934">
        <v>3574.8</v>
      </c>
      <c r="DF87" s="934">
        <v>0</v>
      </c>
      <c r="DG87" s="934">
        <v>338168.27</v>
      </c>
      <c r="DH87" s="396">
        <f t="shared" si="71"/>
        <v>8312433.6699999999</v>
      </c>
      <c r="DI87" s="934">
        <v>11061.99</v>
      </c>
      <c r="DJ87" s="934">
        <v>1150</v>
      </c>
      <c r="DK87" s="934">
        <v>63964.58</v>
      </c>
      <c r="DL87" s="934">
        <v>364535.97</v>
      </c>
      <c r="DM87" s="934">
        <v>468290.3</v>
      </c>
      <c r="DN87" s="934">
        <v>512282.13</v>
      </c>
      <c r="DO87" s="934">
        <v>560848.31999999995</v>
      </c>
      <c r="DP87" s="934">
        <v>671257.63</v>
      </c>
      <c r="DQ87" s="934">
        <v>64057.94</v>
      </c>
      <c r="DR87" s="934">
        <v>354.95</v>
      </c>
      <c r="DS87" s="934">
        <v>0</v>
      </c>
      <c r="DT87" s="934">
        <v>0</v>
      </c>
      <c r="DU87" s="396">
        <f t="shared" si="72"/>
        <v>2717803.81</v>
      </c>
    </row>
    <row r="88" spans="1:125" ht="12.75" customHeight="1">
      <c r="A88" s="915" t="s">
        <v>723</v>
      </c>
      <c r="B88" s="18"/>
      <c r="C88" s="19"/>
      <c r="D88" s="19"/>
      <c r="E88" s="19"/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8"/>
      <c r="T88" s="27">
        <f t="shared" ref="T88:CE88" si="73">SUM(T85:T87)</f>
        <v>80970.89</v>
      </c>
      <c r="U88" s="19">
        <f t="shared" si="73"/>
        <v>73894</v>
      </c>
      <c r="V88" s="19">
        <f t="shared" si="73"/>
        <v>106972.67</v>
      </c>
      <c r="W88" s="19">
        <f t="shared" si="73"/>
        <v>132335.96</v>
      </c>
      <c r="X88" s="19">
        <f t="shared" si="73"/>
        <v>146770.93</v>
      </c>
      <c r="Y88" s="19">
        <f t="shared" si="73"/>
        <v>177734.27</v>
      </c>
      <c r="Z88" s="19">
        <f t="shared" si="73"/>
        <v>306154</v>
      </c>
      <c r="AA88" s="19">
        <f t="shared" si="73"/>
        <v>421160.2</v>
      </c>
      <c r="AB88" s="19">
        <f t="shared" si="73"/>
        <v>476470.58</v>
      </c>
      <c r="AC88" s="19">
        <f t="shared" si="73"/>
        <v>298386.36</v>
      </c>
      <c r="AD88" s="19">
        <f t="shared" si="73"/>
        <v>362537.44</v>
      </c>
      <c r="AE88" s="19">
        <f t="shared" si="73"/>
        <v>528430.14</v>
      </c>
      <c r="AF88" s="397">
        <f>SUM(AF85:AF87)</f>
        <v>3111817.4400000004</v>
      </c>
      <c r="AG88" s="19">
        <f t="shared" si="73"/>
        <v>442364.32999999996</v>
      </c>
      <c r="AH88" s="19">
        <f t="shared" si="73"/>
        <v>569072.93000000005</v>
      </c>
      <c r="AI88" s="19">
        <f t="shared" si="73"/>
        <v>533912.06999999995</v>
      </c>
      <c r="AJ88" s="19">
        <f t="shared" si="73"/>
        <v>428644.08999999997</v>
      </c>
      <c r="AK88" s="19">
        <f t="shared" si="73"/>
        <v>820619.43</v>
      </c>
      <c r="AL88" s="19">
        <f t="shared" si="73"/>
        <v>885716.60000000009</v>
      </c>
      <c r="AM88" s="19">
        <f t="shared" si="73"/>
        <v>818413.49</v>
      </c>
      <c r="AN88" s="19">
        <f t="shared" si="73"/>
        <v>1392132.29</v>
      </c>
      <c r="AO88" s="19">
        <f t="shared" si="73"/>
        <v>1971819.05</v>
      </c>
      <c r="AP88" s="19">
        <f t="shared" si="73"/>
        <v>1886787.6099999999</v>
      </c>
      <c r="AQ88" s="19">
        <f t="shared" si="73"/>
        <v>1705249.3900000001</v>
      </c>
      <c r="AR88" s="19">
        <f t="shared" si="73"/>
        <v>2486840.4099999997</v>
      </c>
      <c r="AS88" s="18">
        <f t="shared" si="73"/>
        <v>13941571.689999999</v>
      </c>
      <c r="AT88" s="19">
        <f t="shared" si="73"/>
        <v>0</v>
      </c>
      <c r="AU88" s="397">
        <f t="shared" si="73"/>
        <v>13941571.689999999</v>
      </c>
      <c r="AV88" s="19">
        <f t="shared" si="73"/>
        <v>1559998.42</v>
      </c>
      <c r="AW88" s="18">
        <f t="shared" si="73"/>
        <v>297032.39999999997</v>
      </c>
      <c r="AX88" s="18">
        <f t="shared" si="73"/>
        <v>461667.18</v>
      </c>
      <c r="AY88" s="18">
        <f t="shared" si="73"/>
        <v>355230.55000000005</v>
      </c>
      <c r="AZ88" s="18">
        <f t="shared" si="73"/>
        <v>520668.02</v>
      </c>
      <c r="BA88" s="18">
        <f t="shared" si="73"/>
        <v>550240.6</v>
      </c>
      <c r="BB88" s="18">
        <f t="shared" si="73"/>
        <v>829205.17</v>
      </c>
      <c r="BC88" s="18">
        <f t="shared" si="73"/>
        <v>895300.81</v>
      </c>
      <c r="BD88" s="18">
        <f t="shared" si="73"/>
        <v>1207539.22</v>
      </c>
      <c r="BE88" s="18">
        <f t="shared" si="73"/>
        <v>599459.43000000005</v>
      </c>
      <c r="BF88" s="18">
        <f t="shared" si="73"/>
        <v>968447.88</v>
      </c>
      <c r="BG88" s="18">
        <f t="shared" si="73"/>
        <v>1382152.66</v>
      </c>
      <c r="BH88" s="397">
        <f t="shared" si="73"/>
        <v>9626942.3399999999</v>
      </c>
      <c r="BI88" s="18">
        <f t="shared" si="73"/>
        <v>1776781.33</v>
      </c>
      <c r="BJ88" s="18">
        <f t="shared" si="73"/>
        <v>1710790.2400000002</v>
      </c>
      <c r="BK88" s="18">
        <f t="shared" si="73"/>
        <v>1913660.92</v>
      </c>
      <c r="BL88" s="18">
        <f t="shared" si="73"/>
        <v>2022715.5299999998</v>
      </c>
      <c r="BM88" s="18">
        <f t="shared" si="73"/>
        <v>2233856.1399999997</v>
      </c>
      <c r="BN88" s="18">
        <f t="shared" si="73"/>
        <v>2596782.06</v>
      </c>
      <c r="BO88" s="18">
        <f t="shared" si="73"/>
        <v>2992617.36</v>
      </c>
      <c r="BP88" s="18">
        <f t="shared" si="73"/>
        <v>2926942.07</v>
      </c>
      <c r="BQ88" s="22">
        <f t="shared" si="73"/>
        <v>3400245</v>
      </c>
      <c r="BR88" s="22">
        <f t="shared" si="73"/>
        <v>2752847.57</v>
      </c>
      <c r="BS88" s="18">
        <f t="shared" si="73"/>
        <v>1846643.2</v>
      </c>
      <c r="BT88" s="18">
        <f t="shared" si="73"/>
        <v>3847076.7199999997</v>
      </c>
      <c r="BU88" s="397">
        <f t="shared" si="73"/>
        <v>30020958.139999997</v>
      </c>
      <c r="BV88" s="18">
        <f t="shared" si="73"/>
        <v>4019043.6300000004</v>
      </c>
      <c r="BW88" s="18">
        <f t="shared" si="73"/>
        <v>3264773.59</v>
      </c>
      <c r="BX88" s="18">
        <f t="shared" si="73"/>
        <v>5311939.93</v>
      </c>
      <c r="BY88" s="18">
        <f t="shared" si="73"/>
        <v>5259171.41</v>
      </c>
      <c r="BZ88" s="18">
        <f t="shared" si="73"/>
        <v>4535687.62</v>
      </c>
      <c r="CA88" s="18">
        <f t="shared" si="73"/>
        <v>4008086.1</v>
      </c>
      <c r="CB88" s="18">
        <f t="shared" si="73"/>
        <v>4936929.4399999995</v>
      </c>
      <c r="CC88" s="18">
        <f t="shared" si="73"/>
        <v>6399255.8100000005</v>
      </c>
      <c r="CD88" s="18">
        <f t="shared" si="73"/>
        <v>6416374.3000000007</v>
      </c>
      <c r="CE88" s="18">
        <f t="shared" si="73"/>
        <v>3107428.34</v>
      </c>
      <c r="CF88" s="18">
        <f t="shared" ref="CF88:CS88" si="74">SUM(CF85:CF87)</f>
        <v>4439188.07</v>
      </c>
      <c r="CG88" s="18">
        <f t="shared" si="74"/>
        <v>4310813.38</v>
      </c>
      <c r="CH88" s="397">
        <f t="shared" si="74"/>
        <v>56008691.619999997</v>
      </c>
      <c r="CI88" s="18">
        <f t="shared" si="74"/>
        <v>3983543.26</v>
      </c>
      <c r="CJ88" s="18">
        <f t="shared" si="74"/>
        <v>3452239.1100000003</v>
      </c>
      <c r="CK88" s="18">
        <f t="shared" si="74"/>
        <v>4222212.45</v>
      </c>
      <c r="CL88" s="18">
        <f t="shared" si="74"/>
        <v>5415760.1399999997</v>
      </c>
      <c r="CM88" s="18">
        <f t="shared" si="74"/>
        <v>5196302.21</v>
      </c>
      <c r="CN88" s="18">
        <f t="shared" si="74"/>
        <v>5907066.7199999997</v>
      </c>
      <c r="CO88" s="18">
        <f t="shared" si="74"/>
        <v>4615339.54</v>
      </c>
      <c r="CP88" s="18">
        <f t="shared" si="74"/>
        <v>4795785.58</v>
      </c>
      <c r="CQ88" s="18">
        <f t="shared" si="74"/>
        <v>5344322.18</v>
      </c>
      <c r="CR88" s="18">
        <f t="shared" si="74"/>
        <v>2807649.14</v>
      </c>
      <c r="CS88" s="18">
        <f t="shared" si="74"/>
        <v>3165727.46</v>
      </c>
      <c r="CT88" s="18">
        <f t="shared" ref="CT88:DA88" si="75">SUM(CT85:CT87)</f>
        <v>4075115.06</v>
      </c>
      <c r="CU88" s="397">
        <f t="shared" si="75"/>
        <v>52981062.850000001</v>
      </c>
      <c r="CV88" s="397">
        <f t="shared" si="75"/>
        <v>3223635.23</v>
      </c>
      <c r="CW88" s="397">
        <f t="shared" si="75"/>
        <v>4226628.59</v>
      </c>
      <c r="CX88" s="397">
        <f t="shared" si="75"/>
        <v>4220520.8999999994</v>
      </c>
      <c r="CY88" s="397">
        <f t="shared" si="75"/>
        <v>2270408.6599999997</v>
      </c>
      <c r="CZ88" s="397">
        <f t="shared" si="75"/>
        <v>3818589.9800000004</v>
      </c>
      <c r="DA88" s="397">
        <f t="shared" si="75"/>
        <v>4180964.74</v>
      </c>
      <c r="DB88" s="22">
        <f t="shared" ref="DB88:DH88" si="76">SUM(DB85:DB87)</f>
        <v>5515459.29</v>
      </c>
      <c r="DC88" s="22">
        <f t="shared" si="76"/>
        <v>6159844.4799999995</v>
      </c>
      <c r="DD88" s="22">
        <f t="shared" si="76"/>
        <v>5158447.4000000004</v>
      </c>
      <c r="DE88" s="22">
        <f t="shared" si="76"/>
        <v>4485452.96</v>
      </c>
      <c r="DF88" s="22">
        <f t="shared" si="76"/>
        <v>3641035.5700000003</v>
      </c>
      <c r="DG88" s="22">
        <f t="shared" si="76"/>
        <v>4034302.95</v>
      </c>
      <c r="DH88" s="397">
        <f t="shared" si="76"/>
        <v>50935290.75</v>
      </c>
      <c r="DI88" s="22">
        <f t="shared" ref="DI88:DJ88" si="77">SUM(DI85:DI87)</f>
        <v>4491847.42</v>
      </c>
      <c r="DJ88" s="22">
        <f t="shared" si="77"/>
        <v>3040898.83</v>
      </c>
      <c r="DK88" s="22">
        <f t="shared" ref="DK88:DU88" si="78">SUM(DK85:DK87)</f>
        <v>3423222.42</v>
      </c>
      <c r="DL88" s="22">
        <f t="shared" si="78"/>
        <v>3917217.9499999993</v>
      </c>
      <c r="DM88" s="22">
        <f t="shared" si="78"/>
        <v>5728523.5499999998</v>
      </c>
      <c r="DN88" s="22">
        <f t="shared" si="78"/>
        <v>3883259.8299999996</v>
      </c>
      <c r="DO88" s="22">
        <f t="shared" si="78"/>
        <v>4255717.1500000004</v>
      </c>
      <c r="DP88" s="22">
        <f t="shared" si="78"/>
        <v>4757340.3899999997</v>
      </c>
      <c r="DQ88" s="22">
        <f t="shared" si="78"/>
        <v>3924162.6999999997</v>
      </c>
      <c r="DR88" s="22">
        <f t="shared" si="78"/>
        <v>3901339.6700000004</v>
      </c>
      <c r="DS88" s="22">
        <f t="shared" si="78"/>
        <v>0</v>
      </c>
      <c r="DT88" s="22">
        <f t="shared" si="78"/>
        <v>0</v>
      </c>
      <c r="DU88" s="397">
        <f t="shared" si="78"/>
        <v>41323529.910000004</v>
      </c>
    </row>
    <row r="89" spans="1:125" ht="12.75" customHeight="1">
      <c r="A89" s="537"/>
      <c r="B89" s="396"/>
      <c r="C89" s="456"/>
      <c r="D89" s="456"/>
      <c r="E89" s="456"/>
      <c r="F89" s="396"/>
      <c r="G89" s="456"/>
      <c r="H89" s="456"/>
      <c r="I89" s="456"/>
      <c r="J89" s="456"/>
      <c r="K89" s="456"/>
      <c r="L89" s="456"/>
      <c r="M89" s="456"/>
      <c r="N89" s="456"/>
      <c r="O89" s="456"/>
      <c r="P89" s="456"/>
      <c r="Q89" s="456"/>
      <c r="R89" s="456"/>
      <c r="S89" s="396"/>
      <c r="T89" s="456"/>
      <c r="U89" s="456"/>
      <c r="V89" s="456"/>
      <c r="W89" s="456"/>
      <c r="X89" s="456"/>
      <c r="Y89" s="456"/>
      <c r="Z89" s="456"/>
      <c r="AA89" s="456"/>
      <c r="AB89" s="456"/>
      <c r="AC89" s="456"/>
      <c r="AD89" s="456"/>
      <c r="AE89" s="456"/>
      <c r="AF89" s="396"/>
      <c r="AG89" s="456"/>
      <c r="AH89" s="456"/>
      <c r="AI89" s="456"/>
      <c r="AJ89" s="456"/>
      <c r="AK89" s="456"/>
      <c r="AL89" s="456"/>
      <c r="AM89" s="456"/>
      <c r="AN89" s="456"/>
      <c r="AO89" s="456"/>
      <c r="AP89" s="456"/>
      <c r="AQ89" s="456"/>
      <c r="AR89" s="456"/>
      <c r="AS89" s="396"/>
      <c r="AT89" s="396"/>
      <c r="AU89" s="396"/>
      <c r="AV89" s="456"/>
      <c r="AW89" s="396"/>
      <c r="AX89" s="396"/>
      <c r="AY89" s="396"/>
      <c r="AZ89" s="396"/>
      <c r="BA89" s="396"/>
      <c r="BB89" s="396"/>
      <c r="BC89" s="396"/>
      <c r="BD89" s="396"/>
      <c r="BE89" s="396"/>
      <c r="BF89" s="396"/>
      <c r="BG89" s="396"/>
      <c r="BH89" s="396"/>
      <c r="BI89" s="396"/>
      <c r="BJ89" s="396"/>
      <c r="BK89" s="396"/>
      <c r="BL89" s="396"/>
      <c r="BM89" s="396"/>
      <c r="BN89" s="396"/>
      <c r="BO89" s="396"/>
      <c r="BP89" s="396"/>
      <c r="BQ89" s="430"/>
      <c r="BR89" s="430"/>
      <c r="BS89" s="396"/>
      <c r="BT89" s="396"/>
      <c r="BU89" s="396"/>
      <c r="BV89" s="396"/>
      <c r="BW89" s="396"/>
      <c r="BX89" s="396"/>
      <c r="BY89" s="396"/>
      <c r="BZ89" s="396"/>
      <c r="CA89" s="396"/>
      <c r="CB89" s="396"/>
      <c r="CC89" s="396"/>
      <c r="CD89" s="396"/>
      <c r="CE89" s="396"/>
      <c r="CF89" s="396"/>
      <c r="CG89" s="396"/>
      <c r="CH89" s="396"/>
      <c r="CI89" s="396"/>
      <c r="CJ89" s="396"/>
      <c r="CK89" s="396"/>
      <c r="CL89" s="396"/>
      <c r="CM89" s="396"/>
      <c r="CN89" s="396"/>
      <c r="CO89" s="396"/>
      <c r="CP89" s="396"/>
      <c r="CQ89" s="396"/>
      <c r="CR89" s="396"/>
      <c r="CS89" s="396"/>
      <c r="CT89" s="396"/>
      <c r="CU89" s="396"/>
      <c r="CV89" s="396"/>
      <c r="CW89" s="396"/>
      <c r="CX89" s="934"/>
      <c r="CY89" s="934"/>
      <c r="CZ89" s="934"/>
      <c r="DA89" s="934"/>
      <c r="DB89" s="767"/>
      <c r="DC89" s="767"/>
      <c r="DD89" s="934"/>
      <c r="DE89" s="934"/>
      <c r="DF89" s="934"/>
      <c r="DG89" s="934"/>
      <c r="DH89" s="396"/>
      <c r="DI89" s="934"/>
      <c r="DJ89" s="934"/>
      <c r="DK89" s="934"/>
      <c r="DL89" s="934"/>
      <c r="DM89" s="934"/>
      <c r="DN89" s="934"/>
      <c r="DO89" s="934"/>
      <c r="DP89" s="934"/>
      <c r="DQ89" s="934"/>
      <c r="DR89" s="934"/>
      <c r="DS89" s="934"/>
      <c r="DT89" s="934"/>
      <c r="DU89" s="396"/>
    </row>
    <row r="90" spans="1:125" s="613" customFormat="1" ht="12.75" customHeight="1">
      <c r="A90" s="13" t="s">
        <v>108</v>
      </c>
      <c r="B90" s="12">
        <v>46379</v>
      </c>
      <c r="C90" s="4">
        <v>3635.5</v>
      </c>
      <c r="D90" s="4">
        <v>9855.75</v>
      </c>
      <c r="E90" s="4">
        <v>5349.75</v>
      </c>
      <c r="F90" s="12">
        <v>63494.5</v>
      </c>
      <c r="G90" s="4">
        <v>9959.25</v>
      </c>
      <c r="H90" s="4">
        <v>5977.5</v>
      </c>
      <c r="I90" s="4">
        <v>14943.5</v>
      </c>
      <c r="J90" s="4">
        <v>13478.5</v>
      </c>
      <c r="K90" s="4">
        <v>21506.25</v>
      </c>
      <c r="L90" s="4">
        <v>21193.25</v>
      </c>
      <c r="M90" s="4">
        <v>10112.75</v>
      </c>
      <c r="N90" s="4">
        <v>22143.5</v>
      </c>
      <c r="O90" s="4">
        <v>23446</v>
      </c>
      <c r="P90" s="4">
        <v>12220</v>
      </c>
      <c r="Q90" s="4">
        <v>32688</v>
      </c>
      <c r="R90" s="4">
        <v>40119.5</v>
      </c>
      <c r="S90" s="12">
        <v>227788</v>
      </c>
      <c r="T90" s="4">
        <v>59012.5</v>
      </c>
      <c r="U90" s="4">
        <v>11942</v>
      </c>
      <c r="V90" s="4">
        <v>11718.96</v>
      </c>
      <c r="W90" s="4">
        <v>74031.13</v>
      </c>
      <c r="X90" s="4">
        <v>55021.01</v>
      </c>
      <c r="Y90" s="4">
        <v>58594.33</v>
      </c>
      <c r="Z90" s="4">
        <v>42214.33</v>
      </c>
      <c r="AA90" s="4">
        <v>52332.41</v>
      </c>
      <c r="AB90" s="4">
        <v>37273.379999999997</v>
      </c>
      <c r="AC90" s="4">
        <v>104984.84</v>
      </c>
      <c r="AD90" s="4">
        <v>61967.17</v>
      </c>
      <c r="AE90" s="4">
        <v>99984.45</v>
      </c>
      <c r="AF90" s="396">
        <v>669076.51</v>
      </c>
      <c r="AG90" s="4">
        <v>147117.17000000001</v>
      </c>
      <c r="AH90" s="4">
        <v>46167.08</v>
      </c>
      <c r="AI90" s="4">
        <v>66806.429999999993</v>
      </c>
      <c r="AJ90" s="4">
        <v>88811.04</v>
      </c>
      <c r="AK90" s="4">
        <v>102299.1</v>
      </c>
      <c r="AL90" s="4">
        <v>125930.35</v>
      </c>
      <c r="AM90" s="4">
        <v>126696.27</v>
      </c>
      <c r="AN90" s="4">
        <v>144490.85</v>
      </c>
      <c r="AO90" s="4">
        <v>298975.90000000002</v>
      </c>
      <c r="AP90" s="4">
        <v>143258.48000000001</v>
      </c>
      <c r="AQ90" s="4">
        <v>240052.69</v>
      </c>
      <c r="AR90" s="4">
        <v>180272.78</v>
      </c>
      <c r="AS90" s="12">
        <v>1710878.14</v>
      </c>
      <c r="AT90" s="12"/>
      <c r="AU90" s="396">
        <v>1710878.14</v>
      </c>
      <c r="AV90" s="4">
        <v>423275.2</v>
      </c>
      <c r="AW90" s="12">
        <v>196274.92</v>
      </c>
      <c r="AX90" s="12">
        <v>96984.83</v>
      </c>
      <c r="AY90" s="12">
        <v>104600.47</v>
      </c>
      <c r="AZ90" s="12">
        <v>282687.7</v>
      </c>
      <c r="BA90" s="12">
        <v>467368.02</v>
      </c>
      <c r="BB90" s="12">
        <v>492865.35</v>
      </c>
      <c r="BC90" s="12">
        <v>550693.57999999996</v>
      </c>
      <c r="BD90" s="12">
        <v>610623.02</v>
      </c>
      <c r="BE90" s="12">
        <v>672843.6</v>
      </c>
      <c r="BF90" s="12">
        <v>586927.9</v>
      </c>
      <c r="BG90" s="12">
        <v>907695.88</v>
      </c>
      <c r="BH90" s="396">
        <v>5392840.4699999997</v>
      </c>
      <c r="BI90" s="12">
        <v>1547013.14</v>
      </c>
      <c r="BJ90" s="12">
        <v>915719.98</v>
      </c>
      <c r="BK90" s="12">
        <v>1382203.28</v>
      </c>
      <c r="BL90" s="12">
        <v>904168.59</v>
      </c>
      <c r="BM90" s="12">
        <v>1250726.8400000001</v>
      </c>
      <c r="BN90" s="12">
        <v>1302070.8500000001</v>
      </c>
      <c r="BO90" s="12">
        <v>1418350.16</v>
      </c>
      <c r="BP90" s="12">
        <v>1860872.18</v>
      </c>
      <c r="BQ90" s="15">
        <v>1967357</v>
      </c>
      <c r="BR90" s="15">
        <v>1272665.98</v>
      </c>
      <c r="BS90" s="12">
        <v>2002263.02</v>
      </c>
      <c r="BT90" s="396">
        <v>1731163.21</v>
      </c>
      <c r="BU90" s="396">
        <f>SUM(BI90:BT90)</f>
        <v>17554574.23</v>
      </c>
      <c r="BV90" s="396">
        <v>1332610.6499999999</v>
      </c>
      <c r="BW90" s="12">
        <v>1680494.44</v>
      </c>
      <c r="BX90" s="12">
        <v>1761788.94</v>
      </c>
      <c r="BY90" s="396">
        <v>1945691.68</v>
      </c>
      <c r="BZ90" s="396">
        <v>1793003.51</v>
      </c>
      <c r="CA90" s="396">
        <v>2608325.6800000002</v>
      </c>
      <c r="CB90" s="396">
        <v>2384917.4</v>
      </c>
      <c r="CC90" s="396">
        <v>3056739.22</v>
      </c>
      <c r="CD90" s="396">
        <v>2775920.83</v>
      </c>
      <c r="CE90" s="396">
        <v>3951339.3</v>
      </c>
      <c r="CF90" s="396">
        <v>3596242.63</v>
      </c>
      <c r="CG90" s="396">
        <v>2480514.7200000002</v>
      </c>
      <c r="CH90" s="396">
        <f>SUM(BV90:CG90)</f>
        <v>29367589</v>
      </c>
      <c r="CI90" s="396">
        <v>4487844.53</v>
      </c>
      <c r="CJ90" s="396">
        <v>3519595.44</v>
      </c>
      <c r="CK90" s="396">
        <v>2936928.71</v>
      </c>
      <c r="CL90" s="396">
        <v>3885031.02</v>
      </c>
      <c r="CM90" s="396">
        <v>5472351.8799999999</v>
      </c>
      <c r="CN90" s="396">
        <v>4462748</v>
      </c>
      <c r="CO90" s="396">
        <v>5486594.7800000003</v>
      </c>
      <c r="CP90" s="396">
        <v>6693743.5999999996</v>
      </c>
      <c r="CQ90" s="396">
        <v>6938457.3099999996</v>
      </c>
      <c r="CR90" s="396">
        <v>6891498.6600000001</v>
      </c>
      <c r="CS90" s="396">
        <v>6821311.7199999997</v>
      </c>
      <c r="CT90" s="396">
        <v>8749768.2899999991</v>
      </c>
      <c r="CU90" s="396">
        <f>SUM(CI90:CT90)</f>
        <v>66345873.940000005</v>
      </c>
      <c r="CV90" s="396">
        <v>6762336.9199999999</v>
      </c>
      <c r="CW90" s="396">
        <v>7670864.6200000001</v>
      </c>
      <c r="CX90" s="934">
        <v>6993374.1900000004</v>
      </c>
      <c r="CY90" s="934">
        <v>7353911.1799999997</v>
      </c>
      <c r="CZ90" s="934">
        <v>6821834.1299999999</v>
      </c>
      <c r="DA90" s="934">
        <v>6890244.5599999996</v>
      </c>
      <c r="DB90" s="767">
        <v>6270796.75</v>
      </c>
      <c r="DC90" s="767">
        <v>8512203.8599999994</v>
      </c>
      <c r="DD90" s="934">
        <v>9578811.7200000007</v>
      </c>
      <c r="DE90" s="934">
        <v>6269175.4400000004</v>
      </c>
      <c r="DF90" s="934">
        <v>4614032.0199999996</v>
      </c>
      <c r="DG90" s="934">
        <v>6976224.3200000003</v>
      </c>
      <c r="DH90" s="396">
        <f t="shared" ref="DH90" si="79">SUM(CV90:DG90)</f>
        <v>84713809.710000008</v>
      </c>
      <c r="DI90" s="934">
        <v>4987575.34</v>
      </c>
      <c r="DJ90" s="934">
        <v>5624259.3899999997</v>
      </c>
      <c r="DK90" s="934">
        <v>7201288.3499999996</v>
      </c>
      <c r="DL90" s="934">
        <v>5807827.5999999996</v>
      </c>
      <c r="DM90" s="934">
        <v>5722604.2199999997</v>
      </c>
      <c r="DN90" s="934">
        <v>8069093.0099999998</v>
      </c>
      <c r="DO90" s="934">
        <v>4810982.3</v>
      </c>
      <c r="DP90" s="934">
        <v>6089002.4400000004</v>
      </c>
      <c r="DQ90" s="934">
        <v>6958869.3300000001</v>
      </c>
      <c r="DR90" s="934">
        <v>10274786.66</v>
      </c>
      <c r="DS90" s="934"/>
      <c r="DT90" s="934"/>
      <c r="DU90" s="396">
        <f t="shared" ref="DU90" si="80">SUM(DI90:DT90)</f>
        <v>65546288.639999986</v>
      </c>
    </row>
    <row r="91" spans="1:125" ht="12.75" customHeight="1">
      <c r="A91" s="14"/>
      <c r="B91" s="12"/>
      <c r="C91" s="4"/>
      <c r="D91" s="4"/>
      <c r="E91" s="4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2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396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12"/>
      <c r="AT91" s="12"/>
      <c r="AU91" s="396"/>
      <c r="AV91" s="4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396"/>
      <c r="BI91" s="12"/>
      <c r="BJ91" s="12"/>
      <c r="BK91" s="12"/>
      <c r="BL91" s="12"/>
      <c r="BM91" s="12"/>
      <c r="BN91" s="12"/>
      <c r="BO91" s="12"/>
      <c r="BP91" s="12"/>
      <c r="BQ91" s="15"/>
      <c r="BR91" s="15"/>
      <c r="BS91" s="12"/>
      <c r="BT91" s="396"/>
      <c r="BU91" s="396"/>
      <c r="BV91" s="396"/>
      <c r="BW91" s="12"/>
      <c r="BX91" s="12"/>
      <c r="BY91" s="396"/>
      <c r="BZ91" s="396"/>
      <c r="CA91" s="396"/>
      <c r="CB91" s="396"/>
      <c r="CC91" s="396"/>
      <c r="CD91" s="396"/>
      <c r="CE91" s="396"/>
      <c r="CF91" s="396"/>
      <c r="CG91" s="396"/>
      <c r="CH91" s="396"/>
      <c r="CI91" s="396"/>
      <c r="CJ91" s="396"/>
      <c r="CK91" s="396"/>
      <c r="CL91" s="396"/>
      <c r="CM91" s="396"/>
      <c r="CN91" s="396"/>
      <c r="CO91" s="396"/>
      <c r="CP91" s="396"/>
      <c r="CQ91" s="396"/>
      <c r="CR91" s="396"/>
      <c r="CS91" s="396"/>
      <c r="CT91" s="396"/>
      <c r="CU91" s="396"/>
      <c r="CV91" s="396"/>
      <c r="CW91" s="396"/>
      <c r="CX91" s="934"/>
      <c r="CY91" s="934"/>
      <c r="CZ91" s="934"/>
      <c r="DA91" s="934"/>
      <c r="DB91" s="767"/>
      <c r="DC91" s="767"/>
      <c r="DD91" s="934"/>
      <c r="DE91" s="934"/>
      <c r="DF91" s="934"/>
      <c r="DG91" s="934"/>
      <c r="DH91" s="396"/>
      <c r="DI91" s="934"/>
      <c r="DJ91" s="934"/>
      <c r="DK91" s="934"/>
      <c r="DL91" s="934"/>
      <c r="DM91" s="934"/>
      <c r="DN91" s="934"/>
      <c r="DO91" s="934"/>
      <c r="DP91" s="934"/>
      <c r="DQ91" s="934"/>
      <c r="DR91" s="934"/>
      <c r="DS91" s="934"/>
      <c r="DT91" s="934"/>
      <c r="DU91" s="396"/>
    </row>
    <row r="92" spans="1:125" ht="12.75" customHeight="1">
      <c r="A92" s="17" t="s">
        <v>111</v>
      </c>
      <c r="B92" s="18">
        <f t="shared" ref="B92:S92" si="81">SUM(B85:B91)</f>
        <v>146908.35</v>
      </c>
      <c r="C92" s="19">
        <f t="shared" si="81"/>
        <v>28402.18</v>
      </c>
      <c r="D92" s="19">
        <f t="shared" si="81"/>
        <v>50244.15</v>
      </c>
      <c r="E92" s="19">
        <f t="shared" si="81"/>
        <v>58645.45</v>
      </c>
      <c r="F92" s="18">
        <f t="shared" si="81"/>
        <v>375468.28</v>
      </c>
      <c r="G92" s="19">
        <f t="shared" si="81"/>
        <v>80132.86</v>
      </c>
      <c r="H92" s="19">
        <f t="shared" si="81"/>
        <v>55441.62</v>
      </c>
      <c r="I92" s="19">
        <f t="shared" si="81"/>
        <v>56147.49</v>
      </c>
      <c r="J92" s="19">
        <f t="shared" si="81"/>
        <v>78257.58</v>
      </c>
      <c r="K92" s="19">
        <f t="shared" si="81"/>
        <v>105053.96</v>
      </c>
      <c r="L92" s="19">
        <f t="shared" si="81"/>
        <v>105692.09</v>
      </c>
      <c r="M92" s="19">
        <f t="shared" si="81"/>
        <v>62164.32</v>
      </c>
      <c r="N92" s="19">
        <f t="shared" si="81"/>
        <v>96673.17</v>
      </c>
      <c r="O92" s="19">
        <f t="shared" si="81"/>
        <v>109028.23999999999</v>
      </c>
      <c r="P92" s="19">
        <f t="shared" si="81"/>
        <v>75919.44</v>
      </c>
      <c r="Q92" s="19">
        <f t="shared" si="81"/>
        <v>94565.53</v>
      </c>
      <c r="R92" s="19">
        <f t="shared" si="81"/>
        <v>123877.04000000001</v>
      </c>
      <c r="S92" s="18">
        <f t="shared" si="81"/>
        <v>1042953.3999999999</v>
      </c>
      <c r="T92" s="20">
        <f t="shared" ref="T92:CE92" si="82">T82+T88+T90</f>
        <v>139983.39000000001</v>
      </c>
      <c r="U92" s="19">
        <f t="shared" si="82"/>
        <v>85836</v>
      </c>
      <c r="V92" s="19">
        <f t="shared" si="82"/>
        <v>118691.63</v>
      </c>
      <c r="W92" s="19">
        <f t="shared" si="82"/>
        <v>206367.09</v>
      </c>
      <c r="X92" s="19">
        <f t="shared" si="82"/>
        <v>201791.94</v>
      </c>
      <c r="Y92" s="19">
        <f t="shared" si="82"/>
        <v>236328.59999999998</v>
      </c>
      <c r="Z92" s="19">
        <f t="shared" si="82"/>
        <v>348368.33</v>
      </c>
      <c r="AA92" s="19">
        <f t="shared" si="82"/>
        <v>473492.61</v>
      </c>
      <c r="AB92" s="19">
        <f t="shared" si="82"/>
        <v>513743.96</v>
      </c>
      <c r="AC92" s="19">
        <f t="shared" si="82"/>
        <v>403371.19999999995</v>
      </c>
      <c r="AD92" s="19">
        <f t="shared" si="82"/>
        <v>424504.61</v>
      </c>
      <c r="AE92" s="19">
        <f t="shared" si="82"/>
        <v>628414.59</v>
      </c>
      <c r="AF92" s="397">
        <f t="shared" si="82"/>
        <v>3780893.95</v>
      </c>
      <c r="AG92" s="19">
        <f t="shared" si="82"/>
        <v>589481.5</v>
      </c>
      <c r="AH92" s="19">
        <f t="shared" si="82"/>
        <v>615240.01</v>
      </c>
      <c r="AI92" s="19">
        <f t="shared" si="82"/>
        <v>600718.5</v>
      </c>
      <c r="AJ92" s="19">
        <f t="shared" si="82"/>
        <v>517455.12999999995</v>
      </c>
      <c r="AK92" s="19">
        <f t="shared" si="82"/>
        <v>922918.53</v>
      </c>
      <c r="AL92" s="19">
        <f t="shared" si="82"/>
        <v>1011646.9500000001</v>
      </c>
      <c r="AM92" s="19">
        <f t="shared" si="82"/>
        <v>945109.76</v>
      </c>
      <c r="AN92" s="19">
        <f t="shared" si="82"/>
        <v>1536623.1400000001</v>
      </c>
      <c r="AO92" s="19">
        <f t="shared" si="82"/>
        <v>2270794.9500000002</v>
      </c>
      <c r="AP92" s="19">
        <f t="shared" si="82"/>
        <v>2030046.0899999999</v>
      </c>
      <c r="AQ92" s="19">
        <f t="shared" si="82"/>
        <v>1945302.08</v>
      </c>
      <c r="AR92" s="19">
        <f t="shared" si="82"/>
        <v>2667113.1899999995</v>
      </c>
      <c r="AS92" s="18">
        <f t="shared" si="82"/>
        <v>15652449.83</v>
      </c>
      <c r="AT92" s="19">
        <f t="shared" si="82"/>
        <v>0</v>
      </c>
      <c r="AU92" s="397">
        <f t="shared" si="82"/>
        <v>15652449.83</v>
      </c>
      <c r="AV92" s="19">
        <f t="shared" si="82"/>
        <v>1983273.6199999999</v>
      </c>
      <c r="AW92" s="18">
        <f t="shared" si="82"/>
        <v>493307.31999999995</v>
      </c>
      <c r="AX92" s="18">
        <f t="shared" si="82"/>
        <v>558652.01</v>
      </c>
      <c r="AY92" s="18">
        <f t="shared" si="82"/>
        <v>459831.02</v>
      </c>
      <c r="AZ92" s="18">
        <f t="shared" si="82"/>
        <v>803355.72</v>
      </c>
      <c r="BA92" s="18">
        <f t="shared" si="82"/>
        <v>1017608.62</v>
      </c>
      <c r="BB92" s="18">
        <f t="shared" si="82"/>
        <v>1322070.52</v>
      </c>
      <c r="BC92" s="18">
        <f t="shared" si="82"/>
        <v>1445994.3900000001</v>
      </c>
      <c r="BD92" s="18">
        <f t="shared" si="82"/>
        <v>1818162.24</v>
      </c>
      <c r="BE92" s="18">
        <f t="shared" si="82"/>
        <v>1272303.03</v>
      </c>
      <c r="BF92" s="18">
        <f t="shared" si="82"/>
        <v>1555375.78</v>
      </c>
      <c r="BG92" s="18">
        <f t="shared" si="82"/>
        <v>2289848.54</v>
      </c>
      <c r="BH92" s="397">
        <f t="shared" si="82"/>
        <v>15019782.809999999</v>
      </c>
      <c r="BI92" s="18">
        <f t="shared" si="82"/>
        <v>3323794.4699999997</v>
      </c>
      <c r="BJ92" s="18">
        <f t="shared" si="82"/>
        <v>2626510.2200000002</v>
      </c>
      <c r="BK92" s="18">
        <f t="shared" si="82"/>
        <v>3295864.2</v>
      </c>
      <c r="BL92" s="18">
        <f t="shared" si="82"/>
        <v>2926884.1199999996</v>
      </c>
      <c r="BM92" s="18">
        <f t="shared" si="82"/>
        <v>3484582.9799999995</v>
      </c>
      <c r="BN92" s="18">
        <f t="shared" si="82"/>
        <v>3898852.91</v>
      </c>
      <c r="BO92" s="18">
        <f t="shared" si="82"/>
        <v>4410967.5199999996</v>
      </c>
      <c r="BP92" s="18">
        <f t="shared" si="82"/>
        <v>4787814.25</v>
      </c>
      <c r="BQ92" s="22">
        <f t="shared" si="82"/>
        <v>5367602</v>
      </c>
      <c r="BR92" s="22">
        <f t="shared" si="82"/>
        <v>4025513.55</v>
      </c>
      <c r="BS92" s="18">
        <f t="shared" si="82"/>
        <v>3848906.2199999997</v>
      </c>
      <c r="BT92" s="18">
        <f t="shared" si="82"/>
        <v>5578239.9299999997</v>
      </c>
      <c r="BU92" s="397">
        <f t="shared" si="82"/>
        <v>47575532.369999997</v>
      </c>
      <c r="BV92" s="18">
        <f t="shared" si="82"/>
        <v>5351654.28</v>
      </c>
      <c r="BW92" s="18">
        <f t="shared" si="82"/>
        <v>4945268.0299999993</v>
      </c>
      <c r="BX92" s="18">
        <f t="shared" si="82"/>
        <v>7073728.8699999992</v>
      </c>
      <c r="BY92" s="18">
        <f t="shared" si="82"/>
        <v>7204863.0899999999</v>
      </c>
      <c r="BZ92" s="18">
        <f t="shared" si="82"/>
        <v>6328691.1299999999</v>
      </c>
      <c r="CA92" s="18">
        <f t="shared" si="82"/>
        <v>6616411.7800000003</v>
      </c>
      <c r="CB92" s="18">
        <f t="shared" si="82"/>
        <v>7321846.8399999999</v>
      </c>
      <c r="CC92" s="18">
        <f t="shared" si="82"/>
        <v>9455995.0300000012</v>
      </c>
      <c r="CD92" s="18">
        <f t="shared" si="82"/>
        <v>9192295.1300000008</v>
      </c>
      <c r="CE92" s="18">
        <f t="shared" si="82"/>
        <v>7058767.6399999997</v>
      </c>
      <c r="CF92" s="18">
        <f t="shared" ref="CF92:CS92" si="83">CF82+CF88+CF90</f>
        <v>8035430.7000000002</v>
      </c>
      <c r="CG92" s="18">
        <f t="shared" si="83"/>
        <v>6791328.0999999996</v>
      </c>
      <c r="CH92" s="397">
        <f t="shared" si="83"/>
        <v>85376280.620000005</v>
      </c>
      <c r="CI92" s="18">
        <f t="shared" si="83"/>
        <v>8971387.7899999991</v>
      </c>
      <c r="CJ92" s="18">
        <f t="shared" si="83"/>
        <v>7462963.5500000007</v>
      </c>
      <c r="CK92" s="18">
        <f t="shared" si="83"/>
        <v>7559141.1600000001</v>
      </c>
      <c r="CL92" s="18">
        <f t="shared" si="83"/>
        <v>9300791.1600000001</v>
      </c>
      <c r="CM92" s="18">
        <f t="shared" si="83"/>
        <v>10668654.09</v>
      </c>
      <c r="CN92" s="18">
        <f t="shared" si="83"/>
        <v>10369814.719999999</v>
      </c>
      <c r="CO92" s="18">
        <f t="shared" si="83"/>
        <v>10101934.32</v>
      </c>
      <c r="CP92" s="18">
        <f t="shared" si="83"/>
        <v>11489529.18</v>
      </c>
      <c r="CQ92" s="18">
        <f t="shared" si="83"/>
        <v>12282779.489999998</v>
      </c>
      <c r="CR92" s="18">
        <f t="shared" si="83"/>
        <v>9699147.8000000007</v>
      </c>
      <c r="CS92" s="18">
        <f t="shared" si="83"/>
        <v>9987039.1799999997</v>
      </c>
      <c r="CT92" s="18">
        <f t="shared" ref="CT92:DA92" si="84">CT82+CT88+CT90</f>
        <v>12824883.35</v>
      </c>
      <c r="CU92" s="397">
        <f t="shared" si="84"/>
        <v>120718065.79000001</v>
      </c>
      <c r="CV92" s="397">
        <f t="shared" si="84"/>
        <v>10049466.16</v>
      </c>
      <c r="CW92" s="397">
        <f t="shared" si="84"/>
        <v>11977338.08</v>
      </c>
      <c r="CX92" s="397">
        <f t="shared" si="84"/>
        <v>11276214.18</v>
      </c>
      <c r="CY92" s="397">
        <f t="shared" si="84"/>
        <v>9765364.1699999999</v>
      </c>
      <c r="CZ92" s="397">
        <f t="shared" si="84"/>
        <v>10906022.68</v>
      </c>
      <c r="DA92" s="397">
        <f t="shared" si="84"/>
        <v>11455427.550000001</v>
      </c>
      <c r="DB92" s="22">
        <f t="shared" ref="DB92:DG92" si="85">DB82+DB88+DB90</f>
        <v>12100522.57</v>
      </c>
      <c r="DC92" s="22">
        <f t="shared" si="85"/>
        <v>14896585.439999998</v>
      </c>
      <c r="DD92" s="22">
        <f t="shared" si="85"/>
        <v>14954436.040000001</v>
      </c>
      <c r="DE92" s="22">
        <f t="shared" si="85"/>
        <v>10920002.120000001</v>
      </c>
      <c r="DF92" s="22">
        <f t="shared" si="85"/>
        <v>8420441.3100000005</v>
      </c>
      <c r="DG92" s="22">
        <f t="shared" si="85"/>
        <v>11168075.390000001</v>
      </c>
      <c r="DH92" s="397">
        <f>SUM(CV92:DG92)</f>
        <v>137889895.69000003</v>
      </c>
      <c r="DI92" s="22">
        <f t="shared" ref="DI92:DJ92" si="86">DI82+DI88+DI90</f>
        <v>9538260.6999999993</v>
      </c>
      <c r="DJ92" s="22">
        <f t="shared" si="86"/>
        <v>8953996.1600000001</v>
      </c>
      <c r="DK92" s="22">
        <f t="shared" ref="DK92:DT92" si="87">DK82+DK88+DK90</f>
        <v>10701533.77</v>
      </c>
      <c r="DL92" s="22">
        <f t="shared" si="87"/>
        <v>10004905.09</v>
      </c>
      <c r="DM92" s="22">
        <f t="shared" si="87"/>
        <v>11572480.899999999</v>
      </c>
      <c r="DN92" s="22">
        <f t="shared" si="87"/>
        <v>12129959.98</v>
      </c>
      <c r="DO92" s="22">
        <f t="shared" si="87"/>
        <v>9391316.3500000015</v>
      </c>
      <c r="DP92" s="22">
        <f t="shared" si="87"/>
        <v>11113822.289999999</v>
      </c>
      <c r="DQ92" s="22">
        <f t="shared" si="87"/>
        <v>11270183.189999999</v>
      </c>
      <c r="DR92" s="22">
        <f t="shared" si="87"/>
        <v>14386544.010000002</v>
      </c>
      <c r="DS92" s="22">
        <f t="shared" si="87"/>
        <v>0</v>
      </c>
      <c r="DT92" s="22">
        <f t="shared" si="87"/>
        <v>0</v>
      </c>
      <c r="DU92" s="397">
        <f>SUM(DI92:DT92)</f>
        <v>109063002.43999998</v>
      </c>
    </row>
    <row r="93" spans="1:125" ht="9" customHeight="1">
      <c r="A93" s="2"/>
      <c r="B93" s="12"/>
      <c r="C93" s="4"/>
      <c r="D93" s="4"/>
      <c r="E93" s="4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12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396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12"/>
      <c r="AT93" s="12"/>
      <c r="AU93" s="396"/>
      <c r="AV93" s="4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396"/>
      <c r="BI93" s="12"/>
      <c r="BJ93" s="12"/>
      <c r="BK93" s="12"/>
      <c r="BL93" s="12"/>
      <c r="BM93" s="12"/>
      <c r="BN93" s="12"/>
      <c r="BO93" s="12"/>
      <c r="BP93" s="12"/>
      <c r="BQ93" s="15"/>
      <c r="BR93" s="15"/>
      <c r="BS93" s="12"/>
      <c r="BT93" s="396"/>
      <c r="BU93" s="396"/>
      <c r="BV93" s="396"/>
      <c r="BW93" s="12"/>
      <c r="BX93" s="12"/>
      <c r="BY93" s="396"/>
      <c r="BZ93" s="396"/>
      <c r="CA93" s="396"/>
      <c r="CB93" s="396"/>
      <c r="CC93" s="396"/>
      <c r="CD93" s="396"/>
      <c r="CE93" s="396"/>
      <c r="CF93" s="396"/>
      <c r="CG93" s="396"/>
      <c r="CH93" s="396"/>
      <c r="CI93" s="396"/>
      <c r="CJ93" s="396"/>
      <c r="CK93" s="396"/>
      <c r="CL93" s="396"/>
      <c r="CM93" s="396"/>
      <c r="CN93" s="396"/>
      <c r="CO93" s="396"/>
      <c r="CP93" s="396"/>
      <c r="CQ93" s="396"/>
      <c r="CR93" s="396"/>
      <c r="CS93" s="396"/>
      <c r="CT93" s="396"/>
      <c r="CU93" s="396"/>
      <c r="CV93" s="396"/>
      <c r="CW93" s="396"/>
      <c r="CX93" s="934"/>
      <c r="CY93" s="934"/>
      <c r="CZ93" s="934"/>
      <c r="DA93" s="934"/>
      <c r="DB93" s="767"/>
      <c r="DC93" s="767"/>
      <c r="DD93" s="934"/>
      <c r="DE93" s="934"/>
      <c r="DF93" s="934"/>
      <c r="DG93" s="934"/>
      <c r="DH93" s="396"/>
      <c r="DI93" s="934"/>
      <c r="DJ93" s="934"/>
      <c r="DK93" s="934"/>
      <c r="DL93" s="934"/>
      <c r="DM93" s="934"/>
      <c r="DN93" s="934"/>
      <c r="DO93" s="934"/>
      <c r="DP93" s="934"/>
      <c r="DQ93" s="934"/>
      <c r="DR93" s="934"/>
      <c r="DS93" s="934"/>
      <c r="DT93" s="934"/>
      <c r="DU93" s="396"/>
    </row>
    <row r="94" spans="1:125" ht="12.75" customHeight="1" outlineLevel="1">
      <c r="A94" s="914" t="s">
        <v>724</v>
      </c>
      <c r="B94" s="12"/>
      <c r="C94" s="4"/>
      <c r="D94" s="4"/>
      <c r="E94" s="4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12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396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12"/>
      <c r="AT94" s="12"/>
      <c r="AU94" s="396"/>
      <c r="AV94" s="4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396"/>
      <c r="BI94" s="12"/>
      <c r="BJ94" s="12"/>
      <c r="BK94" s="12"/>
      <c r="BL94" s="12"/>
      <c r="BM94" s="12"/>
      <c r="BN94" s="12"/>
      <c r="BO94" s="12"/>
      <c r="BP94" s="12"/>
      <c r="BQ94" s="15"/>
      <c r="BR94" s="15"/>
      <c r="BS94" s="12"/>
      <c r="BT94" s="396"/>
      <c r="BU94" s="396"/>
      <c r="BV94" s="396"/>
      <c r="BW94" s="12"/>
      <c r="BX94" s="12"/>
      <c r="BY94" s="396"/>
      <c r="BZ94" s="396"/>
      <c r="CA94" s="396"/>
      <c r="CB94" s="396"/>
      <c r="CC94" s="396"/>
      <c r="CD94" s="396"/>
      <c r="CE94" s="396"/>
      <c r="CF94" s="396"/>
      <c r="CG94" s="396"/>
      <c r="CH94" s="396"/>
      <c r="CI94" s="396"/>
      <c r="CJ94" s="396"/>
      <c r="CK94" s="396"/>
      <c r="CL94" s="396"/>
      <c r="CM94" s="396"/>
      <c r="CN94" s="396"/>
      <c r="CO94" s="396"/>
      <c r="CP94" s="396"/>
      <c r="CQ94" s="396"/>
      <c r="CR94" s="396"/>
      <c r="CS94" s="396"/>
      <c r="CT94" s="396"/>
      <c r="CU94" s="396"/>
      <c r="CV94" s="396"/>
      <c r="CW94" s="396"/>
      <c r="CX94" s="934"/>
      <c r="CY94" s="934"/>
      <c r="CZ94" s="934"/>
      <c r="DA94" s="934"/>
      <c r="DB94" s="767"/>
      <c r="DC94" s="767"/>
      <c r="DD94" s="934"/>
      <c r="DE94" s="934"/>
      <c r="DF94" s="934"/>
      <c r="DG94" s="934"/>
      <c r="DH94" s="396"/>
      <c r="DI94" s="934"/>
      <c r="DJ94" s="934"/>
      <c r="DK94" s="934"/>
      <c r="DL94" s="934"/>
      <c r="DM94" s="934"/>
      <c r="DN94" s="934"/>
      <c r="DO94" s="934"/>
      <c r="DP94" s="934"/>
      <c r="DQ94" s="934"/>
      <c r="DR94" s="934"/>
      <c r="DS94" s="934"/>
      <c r="DT94" s="934"/>
      <c r="DU94" s="396"/>
    </row>
    <row r="95" spans="1:125" ht="12.75" customHeight="1" outlineLevel="1">
      <c r="A95" s="2" t="s">
        <v>112</v>
      </c>
      <c r="B95" s="12">
        <v>0</v>
      </c>
      <c r="C95" s="4"/>
      <c r="D95" s="4"/>
      <c r="E95" s="4"/>
      <c r="F95" s="12"/>
      <c r="G95" s="4">
        <v>9731</v>
      </c>
      <c r="H95" s="4">
        <v>7332.58</v>
      </c>
      <c r="I95" s="4">
        <v>1507.52</v>
      </c>
      <c r="J95" s="4">
        <v>7045.07</v>
      </c>
      <c r="K95" s="4">
        <v>6620.74</v>
      </c>
      <c r="L95" s="4">
        <v>8712.5</v>
      </c>
      <c r="M95" s="4">
        <v>6232.89</v>
      </c>
      <c r="N95" s="4">
        <v>7184.04</v>
      </c>
      <c r="O95" s="4">
        <v>12753.79</v>
      </c>
      <c r="P95" s="4">
        <v>1471.41</v>
      </c>
      <c r="Q95" s="4">
        <v>7385.62</v>
      </c>
      <c r="R95" s="4">
        <v>7769.5</v>
      </c>
      <c r="S95" s="12">
        <v>83746.66</v>
      </c>
      <c r="T95" s="4">
        <v>7358.96</v>
      </c>
      <c r="U95" s="4">
        <v>8243</v>
      </c>
      <c r="V95" s="4">
        <v>7421.86</v>
      </c>
      <c r="W95" s="4">
        <v>7598.58</v>
      </c>
      <c r="X95" s="4">
        <v>7501.51</v>
      </c>
      <c r="Y95" s="4">
        <v>12346.12</v>
      </c>
      <c r="Z95" s="4">
        <v>22610.03</v>
      </c>
      <c r="AA95" s="4">
        <v>22662.03</v>
      </c>
      <c r="AB95" s="4">
        <v>8064.41</v>
      </c>
      <c r="AC95" s="4">
        <v>8567.5499999999993</v>
      </c>
      <c r="AD95" s="4">
        <v>8149.82</v>
      </c>
      <c r="AE95" s="4">
        <v>8174.99</v>
      </c>
      <c r="AF95" s="396">
        <v>128698.86</v>
      </c>
      <c r="AG95" s="4">
        <v>8241.33</v>
      </c>
      <c r="AH95" s="4">
        <v>8244.0400000000009</v>
      </c>
      <c r="AI95" s="4">
        <v>8242.58</v>
      </c>
      <c r="AJ95" s="4">
        <v>13720.61</v>
      </c>
      <c r="AK95" s="4">
        <v>8227.19</v>
      </c>
      <c r="AL95" s="4">
        <v>1740.47</v>
      </c>
      <c r="AM95" s="4">
        <v>15463.11</v>
      </c>
      <c r="AN95" s="4">
        <v>1665.23</v>
      </c>
      <c r="AO95" s="4">
        <v>1680.96</v>
      </c>
      <c r="AP95" s="4">
        <v>1609.58</v>
      </c>
      <c r="AQ95" s="4">
        <v>1663.67</v>
      </c>
      <c r="AR95" s="4">
        <v>1746.3</v>
      </c>
      <c r="AS95" s="12">
        <v>72245.070000000022</v>
      </c>
      <c r="AT95" s="12"/>
      <c r="AU95" s="396">
        <v>72245.070000000022</v>
      </c>
      <c r="AV95" s="4">
        <v>1972.34</v>
      </c>
      <c r="AW95" s="12">
        <v>2165.89</v>
      </c>
      <c r="AX95" s="12">
        <v>2008.65</v>
      </c>
      <c r="AY95" s="12">
        <v>1950.74</v>
      </c>
      <c r="AZ95" s="12">
        <v>1896.96</v>
      </c>
      <c r="BA95" s="12">
        <v>1918.16</v>
      </c>
      <c r="BB95" s="12">
        <v>1949.98</v>
      </c>
      <c r="BC95" s="12">
        <v>1843.26</v>
      </c>
      <c r="BD95" s="12">
        <v>1728.25</v>
      </c>
      <c r="BE95" s="12">
        <v>1662.02</v>
      </c>
      <c r="BF95" s="12">
        <v>1736.25</v>
      </c>
      <c r="BG95" s="12">
        <v>1712.05</v>
      </c>
      <c r="BH95" s="396">
        <v>22544.549999999996</v>
      </c>
      <c r="BI95" s="12">
        <v>1709.11</v>
      </c>
      <c r="BJ95" s="12">
        <v>1624.65</v>
      </c>
      <c r="BK95" s="12">
        <v>1585.07</v>
      </c>
      <c r="BL95" s="12">
        <v>1617.87</v>
      </c>
      <c r="BM95" s="12">
        <v>1690.98</v>
      </c>
      <c r="BN95" s="12">
        <v>1707.39</v>
      </c>
      <c r="BO95" s="12">
        <v>1702.49</v>
      </c>
      <c r="BP95" s="12">
        <v>1686.58</v>
      </c>
      <c r="BQ95" s="15">
        <v>1809</v>
      </c>
      <c r="BR95" s="15">
        <v>2561.17</v>
      </c>
      <c r="BS95" s="12">
        <v>1737.4</v>
      </c>
      <c r="BT95" s="396">
        <v>1747.31</v>
      </c>
      <c r="BU95" s="396">
        <f>SUM(BI95:BT95)</f>
        <v>21179.02</v>
      </c>
      <c r="BV95" s="396">
        <v>1653.2</v>
      </c>
      <c r="BW95" s="12">
        <v>1776.22</v>
      </c>
      <c r="BX95" s="12">
        <v>1783.14</v>
      </c>
      <c r="BY95" s="396">
        <v>-1783.14</v>
      </c>
      <c r="BZ95" s="396">
        <v>0</v>
      </c>
      <c r="CA95" s="396">
        <v>2500</v>
      </c>
      <c r="CB95" s="396">
        <v>0</v>
      </c>
      <c r="CC95" s="396">
        <v>0</v>
      </c>
      <c r="CD95" s="396">
        <v>1419.9</v>
      </c>
      <c r="CE95" s="396">
        <v>0</v>
      </c>
      <c r="CF95" s="396">
        <v>0</v>
      </c>
      <c r="CG95" s="396">
        <v>0</v>
      </c>
      <c r="CH95" s="396">
        <f>SUM(BV95:CG95)</f>
        <v>7349.32</v>
      </c>
      <c r="CI95" s="396">
        <v>0</v>
      </c>
      <c r="CJ95" s="396">
        <v>0</v>
      </c>
      <c r="CK95" s="396">
        <v>0</v>
      </c>
      <c r="CL95" s="396">
        <v>0</v>
      </c>
      <c r="CM95" s="396">
        <v>0</v>
      </c>
      <c r="CN95" s="396">
        <v>339.01</v>
      </c>
      <c r="CO95" s="396">
        <v>0</v>
      </c>
      <c r="CP95" s="396">
        <v>0</v>
      </c>
      <c r="CQ95" s="396">
        <v>0</v>
      </c>
      <c r="CR95" s="396">
        <v>1107.83</v>
      </c>
      <c r="CS95" s="396">
        <v>1107.83</v>
      </c>
      <c r="CT95" s="396">
        <v>2337.5</v>
      </c>
      <c r="CU95" s="396">
        <f>SUM(CI95:CT95)</f>
        <v>4892.17</v>
      </c>
      <c r="CV95" s="396">
        <v>1327.83</v>
      </c>
      <c r="CW95" s="396">
        <v>1327.83</v>
      </c>
      <c r="CX95" s="934">
        <v>3052.43</v>
      </c>
      <c r="CY95" s="934">
        <v>1645.17</v>
      </c>
      <c r="CZ95" s="934">
        <v>3454.64</v>
      </c>
      <c r="DA95" s="934">
        <v>4075.81</v>
      </c>
      <c r="DB95" s="767">
        <v>1645.17</v>
      </c>
      <c r="DC95" s="767">
        <v>1645.17</v>
      </c>
      <c r="DD95" s="934">
        <v>2323.91</v>
      </c>
      <c r="DE95" s="934">
        <v>1808.88</v>
      </c>
      <c r="DF95" s="934">
        <v>1491.54</v>
      </c>
      <c r="DG95" s="934">
        <v>1491.54</v>
      </c>
      <c r="DH95" s="396">
        <f t="shared" ref="DH95:DH98" si="88">SUM(CV95:DG95)</f>
        <v>25289.919999999998</v>
      </c>
      <c r="DI95" s="934">
        <v>1491.54</v>
      </c>
      <c r="DJ95" s="934">
        <v>1491.54</v>
      </c>
      <c r="DK95" s="934">
        <v>1491.54</v>
      </c>
      <c r="DL95" s="934">
        <v>1491.54</v>
      </c>
      <c r="DM95" s="934">
        <v>1491.54</v>
      </c>
      <c r="DN95" s="934">
        <v>1491.54</v>
      </c>
      <c r="DO95" s="934">
        <v>1491.54</v>
      </c>
      <c r="DP95" s="934">
        <v>1491.54</v>
      </c>
      <c r="DQ95" s="934">
        <v>1491.54</v>
      </c>
      <c r="DR95" s="934">
        <v>1549.58</v>
      </c>
      <c r="DS95" s="934"/>
      <c r="DT95" s="934"/>
      <c r="DU95" s="396">
        <f t="shared" ref="DU95:DU98" si="89">SUM(DI95:DT95)</f>
        <v>14973.44</v>
      </c>
    </row>
    <row r="96" spans="1:125" ht="12.75" customHeight="1" outlineLevel="1">
      <c r="A96" s="14" t="s">
        <v>113</v>
      </c>
      <c r="B96" s="12">
        <v>11235.94</v>
      </c>
      <c r="C96" s="4">
        <v>3918.9</v>
      </c>
      <c r="D96" s="4">
        <v>131.99</v>
      </c>
      <c r="E96" s="4">
        <v>4005.54</v>
      </c>
      <c r="F96" s="12">
        <v>14924.23</v>
      </c>
      <c r="G96" s="4">
        <v>153.99</v>
      </c>
      <c r="H96" s="4">
        <v>74598</v>
      </c>
      <c r="I96" s="4">
        <v>6175.99</v>
      </c>
      <c r="J96" s="4">
        <v>6942.48</v>
      </c>
      <c r="K96" s="4">
        <v>6242</v>
      </c>
      <c r="L96" s="4">
        <v>7137</v>
      </c>
      <c r="M96" s="4">
        <v>14342.5</v>
      </c>
      <c r="N96" s="4">
        <v>14342.5</v>
      </c>
      <c r="O96" s="4">
        <v>14510.79</v>
      </c>
      <c r="P96" s="4">
        <v>18325.29</v>
      </c>
      <c r="Q96" s="4">
        <v>25914.17</v>
      </c>
      <c r="R96" s="4">
        <v>68525.11</v>
      </c>
      <c r="S96" s="12">
        <v>257209.82</v>
      </c>
      <c r="T96" s="4">
        <v>62413.73</v>
      </c>
      <c r="U96" s="4">
        <v>63484</v>
      </c>
      <c r="V96" s="4">
        <v>42574.54</v>
      </c>
      <c r="W96" s="4">
        <v>8698.84</v>
      </c>
      <c r="X96" s="4">
        <v>18528.86</v>
      </c>
      <c r="Y96" s="4">
        <v>16385.740000000002</v>
      </c>
      <c r="Z96" s="4">
        <v>4621.74</v>
      </c>
      <c r="AA96" s="4">
        <v>2606.1</v>
      </c>
      <c r="AB96" s="4">
        <v>2459.7399999999998</v>
      </c>
      <c r="AC96" s="4">
        <v>102160.74</v>
      </c>
      <c r="AD96" s="4">
        <v>81289.55</v>
      </c>
      <c r="AE96" s="4">
        <v>86934.27</v>
      </c>
      <c r="AF96" s="430">
        <v>492157.85000000003</v>
      </c>
      <c r="AG96" s="4">
        <v>74124.070000000007</v>
      </c>
      <c r="AH96" s="4">
        <v>93012.7</v>
      </c>
      <c r="AI96" s="4">
        <v>111787.97</v>
      </c>
      <c r="AJ96" s="4">
        <v>148716.1</v>
      </c>
      <c r="AK96" s="4">
        <v>156525.88</v>
      </c>
      <c r="AL96" s="4">
        <v>134634.1</v>
      </c>
      <c r="AM96" s="4">
        <v>79298.600000000006</v>
      </c>
      <c r="AN96" s="4">
        <v>80729.77</v>
      </c>
      <c r="AO96" s="4">
        <v>79699.77</v>
      </c>
      <c r="AP96" s="4">
        <v>123583.93</v>
      </c>
      <c r="AQ96" s="4">
        <v>158492.97</v>
      </c>
      <c r="AR96" s="4">
        <v>197210.75</v>
      </c>
      <c r="AS96" s="12">
        <v>1437816.6099999999</v>
      </c>
      <c r="AT96" s="12"/>
      <c r="AU96" s="430">
        <v>1437816.6099999999</v>
      </c>
      <c r="AV96" s="4">
        <v>115199.65</v>
      </c>
      <c r="AW96" s="12">
        <v>90928.45</v>
      </c>
      <c r="AX96" s="12">
        <v>41035.5</v>
      </c>
      <c r="AY96" s="12">
        <v>41485.839999999997</v>
      </c>
      <c r="AZ96" s="12">
        <v>69622.34</v>
      </c>
      <c r="BA96" s="12">
        <v>84952.73</v>
      </c>
      <c r="BB96" s="12">
        <v>41817.78</v>
      </c>
      <c r="BC96" s="12">
        <v>43177.71</v>
      </c>
      <c r="BD96" s="12">
        <v>72566.27</v>
      </c>
      <c r="BE96" s="12">
        <v>57641.06</v>
      </c>
      <c r="BF96" s="12">
        <v>59748.14</v>
      </c>
      <c r="BG96" s="12">
        <v>13178.51</v>
      </c>
      <c r="BH96" s="430">
        <v>731353.97999999986</v>
      </c>
      <c r="BI96" s="12">
        <v>32896.6</v>
      </c>
      <c r="BJ96" s="12">
        <v>59280.77</v>
      </c>
      <c r="BK96" s="12">
        <v>37101.449999999997</v>
      </c>
      <c r="BL96" s="12">
        <v>190877.7</v>
      </c>
      <c r="BM96" s="12">
        <v>613540.28</v>
      </c>
      <c r="BN96" s="12">
        <v>501010.02</v>
      </c>
      <c r="BO96" s="12">
        <v>460333.12</v>
      </c>
      <c r="BP96" s="12">
        <v>584116.01</v>
      </c>
      <c r="BQ96" s="15">
        <v>331669</v>
      </c>
      <c r="BR96" s="15">
        <v>450059.93</v>
      </c>
      <c r="BS96" s="12">
        <v>284150.53999999998</v>
      </c>
      <c r="BT96" s="396">
        <v>559090.22</v>
      </c>
      <c r="BU96" s="430">
        <f>SUM(BI96:BT96)</f>
        <v>4104125.6400000006</v>
      </c>
      <c r="BV96" s="396">
        <v>450662.96</v>
      </c>
      <c r="BW96" s="12">
        <v>435166.35</v>
      </c>
      <c r="BX96" s="490">
        <v>498870.68</v>
      </c>
      <c r="BY96" s="430">
        <v>566103.52</v>
      </c>
      <c r="BZ96" s="430">
        <v>623942.06000000006</v>
      </c>
      <c r="CA96" s="430">
        <f>334915.33+290779.63</f>
        <v>625694.96</v>
      </c>
      <c r="CB96" s="430">
        <v>788770.01</v>
      </c>
      <c r="CC96" s="430">
        <v>861041.61</v>
      </c>
      <c r="CD96" s="430">
        <v>904470.69</v>
      </c>
      <c r="CE96" s="430">
        <v>777237.8</v>
      </c>
      <c r="CF96" s="430">
        <v>966539.71</v>
      </c>
      <c r="CG96" s="430">
        <v>1158666.69</v>
      </c>
      <c r="CH96" s="430">
        <f>SUM(BV96:CG96)</f>
        <v>8657167.0399999991</v>
      </c>
      <c r="CI96" s="430">
        <v>815703</v>
      </c>
      <c r="CJ96" s="430">
        <v>866751</v>
      </c>
      <c r="CK96" s="430">
        <v>841056.57</v>
      </c>
      <c r="CL96" s="430">
        <v>839656.23</v>
      </c>
      <c r="CM96" s="430">
        <v>877374.37</v>
      </c>
      <c r="CN96" s="430">
        <v>848552.73</v>
      </c>
      <c r="CO96" s="430">
        <v>1050709.6399999999</v>
      </c>
      <c r="CP96" s="430">
        <f>324128.69+796811.17</f>
        <v>1120939.8600000001</v>
      </c>
      <c r="CQ96" s="430">
        <v>1022363.81</v>
      </c>
      <c r="CR96" s="430">
        <v>972713.57</v>
      </c>
      <c r="CS96" s="430">
        <v>1143525.98</v>
      </c>
      <c r="CT96" s="913">
        <v>985587.8</v>
      </c>
      <c r="CU96" s="430">
        <f>SUM(CI96:CT96)</f>
        <v>11384934.560000002</v>
      </c>
      <c r="CV96" s="430">
        <v>541783.12</v>
      </c>
      <c r="CW96" s="430">
        <v>773381.39</v>
      </c>
      <c r="CX96" s="767">
        <f>1716395.36-207000</f>
        <v>1509395.36</v>
      </c>
      <c r="CY96" s="767">
        <v>1532055.83</v>
      </c>
      <c r="CZ96" s="767">
        <v>1866139.3</v>
      </c>
      <c r="DA96" s="767">
        <v>1853026.84</v>
      </c>
      <c r="DB96" s="767">
        <v>2028837</v>
      </c>
      <c r="DC96" s="767">
        <v>-553280.42000000004</v>
      </c>
      <c r="DD96" s="767">
        <v>-12671.930000000168</v>
      </c>
      <c r="DE96" s="767">
        <v>383565</v>
      </c>
      <c r="DF96" s="767">
        <v>2260275.91</v>
      </c>
      <c r="DG96" s="767">
        <v>2366030.23</v>
      </c>
      <c r="DH96" s="396">
        <f t="shared" si="88"/>
        <v>14548537.630000001</v>
      </c>
      <c r="DI96" s="767">
        <v>2363103.7999999998</v>
      </c>
      <c r="DJ96" s="767">
        <v>2388505.4</v>
      </c>
      <c r="DK96" s="767">
        <v>1787312.35</v>
      </c>
      <c r="DL96" s="767">
        <v>1294230.22</v>
      </c>
      <c r="DM96" s="767">
        <v>1483539.3</v>
      </c>
      <c r="DN96" s="767">
        <v>1379277.4</v>
      </c>
      <c r="DO96" s="767">
        <v>1186775.29</v>
      </c>
      <c r="DP96" s="767">
        <v>1447470.55</v>
      </c>
      <c r="DQ96" s="767">
        <v>1600064.54</v>
      </c>
      <c r="DR96" s="767">
        <v>1488183.31</v>
      </c>
      <c r="DS96" s="767"/>
      <c r="DT96" s="767"/>
      <c r="DU96" s="396">
        <f>SUM(DI96:DT96)</f>
        <v>16418462.159999998</v>
      </c>
    </row>
    <row r="97" spans="1:125" ht="12.75" customHeight="1" outlineLevel="1">
      <c r="A97" s="14" t="s">
        <v>114</v>
      </c>
      <c r="B97" s="12">
        <v>185278.83</v>
      </c>
      <c r="C97" s="4">
        <v>56784.06</v>
      </c>
      <c r="D97" s="4">
        <v>39321.370000000003</v>
      </c>
      <c r="E97" s="4">
        <v>59614.07</v>
      </c>
      <c r="F97" s="12">
        <v>362312.59</v>
      </c>
      <c r="G97" s="4">
        <v>114500.13</v>
      </c>
      <c r="H97" s="4">
        <v>112823.79</v>
      </c>
      <c r="I97" s="4">
        <v>6144.46</v>
      </c>
      <c r="J97" s="4">
        <v>6192.03</v>
      </c>
      <c r="K97" s="4">
        <v>6012.38</v>
      </c>
      <c r="L97" s="4">
        <v>6018.68</v>
      </c>
      <c r="M97" s="4">
        <v>6341.01</v>
      </c>
      <c r="N97" s="4">
        <v>6374.64</v>
      </c>
      <c r="O97" s="4">
        <v>6343.2</v>
      </c>
      <c r="P97" s="4">
        <v>6429</v>
      </c>
      <c r="Q97" s="4">
        <v>6460.2</v>
      </c>
      <c r="R97" s="4">
        <v>6698.24</v>
      </c>
      <c r="S97" s="12">
        <v>290337.76</v>
      </c>
      <c r="T97" s="4">
        <v>7380.94</v>
      </c>
      <c r="U97" s="4">
        <v>8240</v>
      </c>
      <c r="V97" s="4">
        <v>8809.33</v>
      </c>
      <c r="W97" s="4">
        <v>8889.6299999999992</v>
      </c>
      <c r="X97" s="4">
        <v>8809.93</v>
      </c>
      <c r="Y97" s="4">
        <v>9457.2900000000009</v>
      </c>
      <c r="Z97" s="4">
        <v>8479.5400000000009</v>
      </c>
      <c r="AA97" s="4">
        <v>9478.59</v>
      </c>
      <c r="AB97" s="4">
        <v>10156.58</v>
      </c>
      <c r="AC97" s="4">
        <v>8952.25</v>
      </c>
      <c r="AD97" s="4">
        <v>8887.59</v>
      </c>
      <c r="AE97" s="4">
        <v>9203.3799999999992</v>
      </c>
      <c r="AF97" s="396">
        <v>106745.05</v>
      </c>
      <c r="AG97" s="4">
        <v>10549.61</v>
      </c>
      <c r="AH97" s="4">
        <v>11722.05</v>
      </c>
      <c r="AI97" s="4">
        <v>12234.41</v>
      </c>
      <c r="AJ97" s="4">
        <v>13350.51</v>
      </c>
      <c r="AK97" s="4">
        <v>16606</v>
      </c>
      <c r="AL97" s="4">
        <v>18188.259999999998</v>
      </c>
      <c r="AM97" s="4">
        <v>20041.689999999999</v>
      </c>
      <c r="AN97" s="4">
        <v>21682.79</v>
      </c>
      <c r="AO97" s="4">
        <v>21818.06</v>
      </c>
      <c r="AP97" s="4">
        <v>23023.83</v>
      </c>
      <c r="AQ97" s="4">
        <v>24643.32</v>
      </c>
      <c r="AR97" s="4">
        <v>26690.7</v>
      </c>
      <c r="AS97" s="12">
        <v>220551.23000000004</v>
      </c>
      <c r="AT97" s="12"/>
      <c r="AU97" s="396">
        <v>220551.23000000004</v>
      </c>
      <c r="AV97" s="4">
        <v>29240.3</v>
      </c>
      <c r="AW97" s="12">
        <v>28977.78</v>
      </c>
      <c r="AX97" s="12">
        <v>7539.24</v>
      </c>
      <c r="AY97" s="12">
        <v>7508.77</v>
      </c>
      <c r="AZ97" s="12">
        <v>7235.58</v>
      </c>
      <c r="BA97" s="12">
        <v>7690.46</v>
      </c>
      <c r="BB97" s="12">
        <v>31625.39</v>
      </c>
      <c r="BC97" s="12">
        <v>30403.93</v>
      </c>
      <c r="BD97" s="12">
        <v>32727.91</v>
      </c>
      <c r="BE97" s="12">
        <v>34141.019999999997</v>
      </c>
      <c r="BF97" s="12">
        <v>33073.21</v>
      </c>
      <c r="BG97" s="12">
        <v>33509.230000000003</v>
      </c>
      <c r="BH97" s="396">
        <v>283672.82</v>
      </c>
      <c r="BI97" s="12">
        <v>35973.14</v>
      </c>
      <c r="BJ97" s="12">
        <v>37044.339999999997</v>
      </c>
      <c r="BK97" s="12">
        <v>33970.25</v>
      </c>
      <c r="BL97" s="12">
        <v>36322.160000000003</v>
      </c>
      <c r="BM97" s="12">
        <v>38119.78</v>
      </c>
      <c r="BN97" s="12">
        <v>41382.22</v>
      </c>
      <c r="BO97" s="12">
        <v>43678.77</v>
      </c>
      <c r="BP97" s="12">
        <v>45065.53</v>
      </c>
      <c r="BQ97" s="15">
        <v>47064</v>
      </c>
      <c r="BR97" s="15">
        <v>46371.839999999997</v>
      </c>
      <c r="BS97" s="12">
        <v>49647.28</v>
      </c>
      <c r="BT97" s="396">
        <v>51566.03</v>
      </c>
      <c r="BU97" s="396">
        <f>SUM(BI97:BT97)</f>
        <v>506205.34000000008</v>
      </c>
      <c r="BV97" s="396">
        <v>74936.460000000006</v>
      </c>
      <c r="BW97" s="12">
        <v>54582.97</v>
      </c>
      <c r="BX97" s="12">
        <v>55907.79</v>
      </c>
      <c r="BY97" s="396">
        <v>54251.75</v>
      </c>
      <c r="BZ97" s="396">
        <v>55979.96</v>
      </c>
      <c r="CA97" s="396">
        <v>59294.36</v>
      </c>
      <c r="CB97" s="396">
        <v>61985</v>
      </c>
      <c r="CC97" s="396">
        <v>68649.7</v>
      </c>
      <c r="CD97" s="396">
        <v>71703</v>
      </c>
      <c r="CE97" s="396">
        <v>74782.98</v>
      </c>
      <c r="CF97" s="396">
        <v>112992.92</v>
      </c>
      <c r="CG97" s="396">
        <v>76526.259999999995</v>
      </c>
      <c r="CH97" s="396">
        <f>SUM(BV97:CG97)</f>
        <v>821593.15</v>
      </c>
      <c r="CI97" s="396">
        <v>100466.57</v>
      </c>
      <c r="CJ97" s="396">
        <v>66604.429999999993</v>
      </c>
      <c r="CK97" s="396">
        <v>67115.839999999997</v>
      </c>
      <c r="CL97" s="396">
        <v>68054.509999999995</v>
      </c>
      <c r="CM97" s="396">
        <v>69818.45</v>
      </c>
      <c r="CN97" s="396">
        <v>71984.600000000006</v>
      </c>
      <c r="CO97" s="396">
        <v>82011.59</v>
      </c>
      <c r="CP97" s="396">
        <v>87148.42</v>
      </c>
      <c r="CQ97" s="396">
        <v>90469.17</v>
      </c>
      <c r="CR97" s="396">
        <v>91249</v>
      </c>
      <c r="CS97" s="396">
        <v>95110.86</v>
      </c>
      <c r="CT97" s="396">
        <v>92927.73</v>
      </c>
      <c r="CU97" s="396">
        <f>SUM(CI97:CT97)</f>
        <v>982961.17</v>
      </c>
      <c r="CV97" s="396">
        <v>85522.03</v>
      </c>
      <c r="CW97" s="396">
        <v>91297.27</v>
      </c>
      <c r="CX97" s="934">
        <v>98229.86</v>
      </c>
      <c r="CY97" s="934">
        <v>100646.63</v>
      </c>
      <c r="CZ97" s="934">
        <v>106068.67</v>
      </c>
      <c r="DA97" s="934">
        <v>162054.45000000001</v>
      </c>
      <c r="DB97" s="767">
        <v>106367.3</v>
      </c>
      <c r="DC97" s="767">
        <v>109997.37</v>
      </c>
      <c r="DD97" s="934">
        <v>112666.94</v>
      </c>
      <c r="DE97" s="934">
        <v>114160.9</v>
      </c>
      <c r="DF97" s="934">
        <v>119821.24</v>
      </c>
      <c r="DG97" s="934">
        <v>122050.33</v>
      </c>
      <c r="DH97" s="396">
        <f t="shared" si="88"/>
        <v>1328882.99</v>
      </c>
      <c r="DI97" s="934">
        <v>140785.56</v>
      </c>
      <c r="DJ97" s="934">
        <v>139139.1</v>
      </c>
      <c r="DK97" s="934">
        <v>141496.94</v>
      </c>
      <c r="DL97" s="934">
        <v>138946.12</v>
      </c>
      <c r="DM97" s="934">
        <v>139397.24</v>
      </c>
      <c r="DN97" s="934">
        <v>140156.57</v>
      </c>
      <c r="DO97" s="934">
        <v>139311.98000000001</v>
      </c>
      <c r="DP97" s="934">
        <v>145381.44</v>
      </c>
      <c r="DQ97" s="934">
        <v>152799.89000000001</v>
      </c>
      <c r="DR97" s="934">
        <v>145528.5</v>
      </c>
      <c r="DS97" s="934"/>
      <c r="DT97" s="934"/>
      <c r="DU97" s="396">
        <f t="shared" si="89"/>
        <v>1422943.3399999999</v>
      </c>
    </row>
    <row r="98" spans="1:125" ht="12.75" customHeight="1" outlineLevel="1">
      <c r="A98" s="14" t="s">
        <v>115</v>
      </c>
      <c r="B98" s="12">
        <v>222135.57</v>
      </c>
      <c r="C98" s="4">
        <v>174238.11</v>
      </c>
      <c r="D98" s="4">
        <v>159686.85</v>
      </c>
      <c r="E98" s="4">
        <v>177227.7</v>
      </c>
      <c r="F98" s="12">
        <v>1290798.68</v>
      </c>
      <c r="G98" s="4">
        <v>168700.24</v>
      </c>
      <c r="H98" s="4">
        <v>302558.21000000002</v>
      </c>
      <c r="I98" s="4">
        <v>355783.01</v>
      </c>
      <c r="J98" s="4">
        <v>327573.92</v>
      </c>
      <c r="K98" s="4">
        <v>339631.94</v>
      </c>
      <c r="L98" s="4">
        <v>320859.48</v>
      </c>
      <c r="M98" s="4">
        <v>291830.77</v>
      </c>
      <c r="N98" s="4">
        <v>307349.23</v>
      </c>
      <c r="O98" s="4">
        <v>305990.38</v>
      </c>
      <c r="P98" s="4">
        <v>289430</v>
      </c>
      <c r="Q98" s="4">
        <v>286850</v>
      </c>
      <c r="R98" s="4">
        <v>325455</v>
      </c>
      <c r="S98" s="12">
        <v>3622012.18</v>
      </c>
      <c r="T98" s="4">
        <v>375509.69</v>
      </c>
      <c r="U98" s="4">
        <v>444537</v>
      </c>
      <c r="V98" s="4">
        <v>443795.16</v>
      </c>
      <c r="W98" s="4">
        <v>430353.5</v>
      </c>
      <c r="X98" s="4">
        <v>422702.51</v>
      </c>
      <c r="Y98" s="4">
        <v>468465.37</v>
      </c>
      <c r="Z98" s="4">
        <v>420264.42</v>
      </c>
      <c r="AA98" s="4">
        <v>436801.38</v>
      </c>
      <c r="AB98" s="4">
        <v>537819.05000000005</v>
      </c>
      <c r="AC98" s="4">
        <v>398936.01</v>
      </c>
      <c r="AD98" s="4">
        <v>466324.1</v>
      </c>
      <c r="AE98" s="4">
        <v>496985.95</v>
      </c>
      <c r="AF98" s="396">
        <v>5342494.1399999997</v>
      </c>
      <c r="AG98" s="4">
        <v>568050.14</v>
      </c>
      <c r="AH98" s="4">
        <v>681687.74</v>
      </c>
      <c r="AI98" s="4">
        <v>715485.63</v>
      </c>
      <c r="AJ98" s="4">
        <v>745782.9</v>
      </c>
      <c r="AK98" s="4">
        <v>895416.51</v>
      </c>
      <c r="AL98" s="4">
        <v>1017760.13</v>
      </c>
      <c r="AM98" s="4">
        <v>1171966.44</v>
      </c>
      <c r="AN98" s="4">
        <v>1249601.8799999999</v>
      </c>
      <c r="AO98" s="4">
        <v>1280255.3600000001</v>
      </c>
      <c r="AP98" s="4">
        <v>1318830.47</v>
      </c>
      <c r="AQ98" s="4">
        <v>1403430.29</v>
      </c>
      <c r="AR98" s="4">
        <v>1553596.68</v>
      </c>
      <c r="AS98" s="12">
        <v>12601864.170000002</v>
      </c>
      <c r="AT98" s="12"/>
      <c r="AU98" s="396">
        <v>12601864.170000002</v>
      </c>
      <c r="AV98" s="4">
        <v>1637369.05</v>
      </c>
      <c r="AW98" s="12">
        <v>1615338.55</v>
      </c>
      <c r="AX98" s="12">
        <v>1553821.31</v>
      </c>
      <c r="AY98" s="12">
        <v>1469262.78</v>
      </c>
      <c r="AZ98" s="12">
        <v>1550633.89</v>
      </c>
      <c r="BA98" s="12">
        <v>1584907.83</v>
      </c>
      <c r="BB98" s="12">
        <v>1618914.34</v>
      </c>
      <c r="BC98" s="12">
        <v>1610224.19</v>
      </c>
      <c r="BD98" s="12">
        <v>1655501</v>
      </c>
      <c r="BE98" s="12">
        <v>1763775.86</v>
      </c>
      <c r="BF98" s="12">
        <v>1574897.27</v>
      </c>
      <c r="BG98" s="12">
        <v>1650029</v>
      </c>
      <c r="BH98" s="396">
        <v>19284675.07</v>
      </c>
      <c r="BI98" s="12">
        <f>1912599.63+55581.39</f>
        <v>1968181.0199999998</v>
      </c>
      <c r="BJ98" s="12">
        <f>2004152.19+75127.9</f>
        <v>2079280.0899999999</v>
      </c>
      <c r="BK98" s="12">
        <f>1864957.67+33627.84</f>
        <v>1898585.51</v>
      </c>
      <c r="BL98" s="12">
        <f>1873732.98+75997.01</f>
        <v>1949729.99</v>
      </c>
      <c r="BM98" s="12">
        <f>1878894.32+49098.93</f>
        <v>1927993.25</v>
      </c>
      <c r="BN98" s="12">
        <f>2048408.09+54116.55</f>
        <v>2102524.64</v>
      </c>
      <c r="BO98" s="12">
        <f>2070420.67+108022.34</f>
        <v>2178443.0099999998</v>
      </c>
      <c r="BP98" s="12">
        <f>2083655.9+37385.59</f>
        <v>2121041.4899999998</v>
      </c>
      <c r="BQ98" s="15">
        <v>1961532</v>
      </c>
      <c r="BR98" s="15">
        <v>1994584.44</v>
      </c>
      <c r="BS98" s="12">
        <v>2664522.6100000003</v>
      </c>
      <c r="BT98" s="396">
        <f>2440357.75+120743.27</f>
        <v>2561101.02</v>
      </c>
      <c r="BU98" s="396">
        <f>SUM(BI98:BT98)</f>
        <v>25407519.07</v>
      </c>
      <c r="BV98" s="396">
        <f>2711200.91+120849.21</f>
        <v>2832050.12</v>
      </c>
      <c r="BW98" s="12">
        <f>2452254.2+115661.53</f>
        <v>2567915.73</v>
      </c>
      <c r="BX98" s="12">
        <v>2658623.79</v>
      </c>
      <c r="BY98" s="396">
        <v>2623420.5699999998</v>
      </c>
      <c r="BZ98" s="396">
        <v>2807791.99</v>
      </c>
      <c r="CA98" s="396">
        <v>2898398.46</v>
      </c>
      <c r="CB98" s="396">
        <v>3094575.91</v>
      </c>
      <c r="CC98" s="396">
        <v>3425299.3</v>
      </c>
      <c r="CD98" s="396">
        <v>3654623.91</v>
      </c>
      <c r="CE98" s="396">
        <v>4244519.43</v>
      </c>
      <c r="CF98" s="396">
        <v>3934277.21</v>
      </c>
      <c r="CG98" s="396">
        <v>3925060.4</v>
      </c>
      <c r="CH98" s="396">
        <f>SUM(BV98:CG98)</f>
        <v>38666556.82</v>
      </c>
      <c r="CI98" s="396">
        <v>3178941</v>
      </c>
      <c r="CJ98" s="396">
        <v>3454257</v>
      </c>
      <c r="CK98" s="396">
        <v>3318541.91</v>
      </c>
      <c r="CL98" s="396">
        <v>3606993.22</v>
      </c>
      <c r="CM98" s="396">
        <v>3850806.1</v>
      </c>
      <c r="CN98" s="396">
        <v>3830580.95</v>
      </c>
      <c r="CO98" s="396">
        <v>4861159.9000000004</v>
      </c>
      <c r="CP98" s="396">
        <v>4772689.08</v>
      </c>
      <c r="CQ98" s="396">
        <v>5004181.9400000004</v>
      </c>
      <c r="CR98" s="396">
        <v>5155552.09</v>
      </c>
      <c r="CS98" s="396">
        <v>5560733.0499999998</v>
      </c>
      <c r="CT98" s="396">
        <v>5145129.01</v>
      </c>
      <c r="CU98" s="396">
        <f>SUM(CI98:CT98)</f>
        <v>51739565.249999993</v>
      </c>
      <c r="CV98" s="396">
        <v>5369017.3899999997</v>
      </c>
      <c r="CW98" s="396">
        <v>5386190.7000000002</v>
      </c>
      <c r="CX98" s="934">
        <f>5903467.69+207000</f>
        <v>6110467.6900000004</v>
      </c>
      <c r="CY98" s="934">
        <v>5806135.2000000002</v>
      </c>
      <c r="CZ98" s="934">
        <v>6293925.5899999999</v>
      </c>
      <c r="DA98" s="934">
        <v>6348822.9800000004</v>
      </c>
      <c r="DB98" s="767">
        <v>6526687</v>
      </c>
      <c r="DC98" s="767">
        <v>6437062.3200000003</v>
      </c>
      <c r="DD98" s="934">
        <v>5917920.4699999997</v>
      </c>
      <c r="DE98" s="934">
        <v>7283459</v>
      </c>
      <c r="DF98" s="934">
        <v>7023306.7000000002</v>
      </c>
      <c r="DG98" s="934">
        <v>6841596</v>
      </c>
      <c r="DH98" s="396">
        <f t="shared" si="88"/>
        <v>75344591.039999992</v>
      </c>
      <c r="DI98" s="934">
        <v>7000130.46</v>
      </c>
      <c r="DJ98" s="934">
        <v>7120795.5899999999</v>
      </c>
      <c r="DK98" s="934">
        <v>7273710.6699999999</v>
      </c>
      <c r="DL98" s="934">
        <v>7607931.71</v>
      </c>
      <c r="DM98" s="934">
        <v>7535924.2199999997</v>
      </c>
      <c r="DN98" s="934">
        <v>7596285.5700000003</v>
      </c>
      <c r="DO98" s="934">
        <v>7499217.6200000001</v>
      </c>
      <c r="DP98" s="934">
        <v>7871213.4699999997</v>
      </c>
      <c r="DQ98" s="934">
        <v>8698688.5800000001</v>
      </c>
      <c r="DR98" s="934">
        <v>7938456.5999999996</v>
      </c>
      <c r="DS98" s="934"/>
      <c r="DT98" s="934"/>
      <c r="DU98" s="396">
        <f t="shared" si="89"/>
        <v>76142354.489999995</v>
      </c>
    </row>
    <row r="99" spans="1:125" ht="12.75" customHeight="1">
      <c r="A99" s="17" t="s">
        <v>725</v>
      </c>
      <c r="B99" s="18">
        <f>SUM(B95:B98)</f>
        <v>418650.33999999997</v>
      </c>
      <c r="C99" s="19">
        <f>SUM(C96:C98)</f>
        <v>234941.06999999998</v>
      </c>
      <c r="D99" s="19">
        <f>SUM(D96:D98)</f>
        <v>199140.21000000002</v>
      </c>
      <c r="E99" s="19">
        <f>SUM(E96:E98)</f>
        <v>240847.31</v>
      </c>
      <c r="F99" s="18">
        <f>SUM(F96:F98)</f>
        <v>1668035.5</v>
      </c>
      <c r="G99" s="19">
        <f t="shared" ref="G99:T99" si="90">SUM(G95:G98)</f>
        <v>293085.36</v>
      </c>
      <c r="H99" s="19">
        <f t="shared" si="90"/>
        <v>497312.58</v>
      </c>
      <c r="I99" s="19">
        <f t="shared" si="90"/>
        <v>369610.98</v>
      </c>
      <c r="J99" s="19">
        <f t="shared" si="90"/>
        <v>347753.5</v>
      </c>
      <c r="K99" s="19">
        <f t="shared" si="90"/>
        <v>358507.06</v>
      </c>
      <c r="L99" s="19">
        <f t="shared" si="90"/>
        <v>342727.66</v>
      </c>
      <c r="M99" s="19">
        <f t="shared" si="90"/>
        <v>318747.17000000004</v>
      </c>
      <c r="N99" s="19">
        <f t="shared" si="90"/>
        <v>335250.40999999997</v>
      </c>
      <c r="O99" s="19">
        <f t="shared" si="90"/>
        <v>339598.16000000003</v>
      </c>
      <c r="P99" s="19">
        <f t="shared" si="90"/>
        <v>315655.7</v>
      </c>
      <c r="Q99" s="19">
        <f t="shared" si="90"/>
        <v>326609.99</v>
      </c>
      <c r="R99" s="19">
        <f t="shared" si="90"/>
        <v>408447.85</v>
      </c>
      <c r="S99" s="18">
        <f t="shared" si="90"/>
        <v>4253306.42</v>
      </c>
      <c r="T99" s="20">
        <f t="shared" si="90"/>
        <v>452663.32</v>
      </c>
      <c r="U99" s="19">
        <v>524504</v>
      </c>
      <c r="V99" s="19">
        <f t="shared" ref="V99:AE99" si="91">SUM(V95:V98)</f>
        <v>502600.88999999996</v>
      </c>
      <c r="W99" s="19">
        <f t="shared" si="91"/>
        <v>455540.55</v>
      </c>
      <c r="X99" s="19">
        <f t="shared" si="91"/>
        <v>457542.81</v>
      </c>
      <c r="Y99" s="19">
        <f t="shared" si="91"/>
        <v>506654.52</v>
      </c>
      <c r="Z99" s="19">
        <f t="shared" si="91"/>
        <v>455975.73</v>
      </c>
      <c r="AA99" s="19">
        <f t="shared" si="91"/>
        <v>471548.1</v>
      </c>
      <c r="AB99" s="19">
        <f t="shared" si="91"/>
        <v>558499.78</v>
      </c>
      <c r="AC99" s="19">
        <f t="shared" si="91"/>
        <v>518616.55000000005</v>
      </c>
      <c r="AD99" s="19">
        <f t="shared" si="91"/>
        <v>564651.05999999994</v>
      </c>
      <c r="AE99" s="19">
        <f t="shared" si="91"/>
        <v>601298.59000000008</v>
      </c>
      <c r="AF99" s="397">
        <v>6070095.8999999994</v>
      </c>
      <c r="AG99" s="19">
        <v>660965.15</v>
      </c>
      <c r="AH99" s="19">
        <v>794666.53</v>
      </c>
      <c r="AI99" s="19">
        <v>847750.59</v>
      </c>
      <c r="AJ99" s="19">
        <v>921570.12000000011</v>
      </c>
      <c r="AK99" s="19">
        <v>1076775.58</v>
      </c>
      <c r="AL99" s="19">
        <v>1172322.96</v>
      </c>
      <c r="AM99" s="19">
        <v>1286769.8399999999</v>
      </c>
      <c r="AN99" s="19">
        <v>1353679.67</v>
      </c>
      <c r="AO99" s="19">
        <v>1383454.1500000001</v>
      </c>
      <c r="AP99" s="19">
        <v>1467047.81</v>
      </c>
      <c r="AQ99" s="19">
        <v>1588230.25</v>
      </c>
      <c r="AR99" s="19">
        <v>1779244.43</v>
      </c>
      <c r="AS99" s="18">
        <v>14332477.08</v>
      </c>
      <c r="AT99" s="19">
        <v>0</v>
      </c>
      <c r="AU99" s="397">
        <v>14332477.08</v>
      </c>
      <c r="AV99" s="19">
        <v>1783781.34</v>
      </c>
      <c r="AW99" s="18">
        <v>1737410.67</v>
      </c>
      <c r="AX99" s="18">
        <v>1604404.7</v>
      </c>
      <c r="AY99" s="18">
        <v>1520208.1300000001</v>
      </c>
      <c r="AZ99" s="18">
        <v>1629388.77</v>
      </c>
      <c r="BA99" s="18">
        <v>1679469.1800000002</v>
      </c>
      <c r="BB99" s="18">
        <v>1694307.49</v>
      </c>
      <c r="BC99" s="18">
        <v>1685649.0899999999</v>
      </c>
      <c r="BD99" s="18">
        <v>1762523.43</v>
      </c>
      <c r="BE99" s="18">
        <v>1857219.9600000002</v>
      </c>
      <c r="BF99" s="18">
        <v>1669454.87</v>
      </c>
      <c r="BG99" s="18">
        <v>1698428.79</v>
      </c>
      <c r="BH99" s="397">
        <v>20322246.419999998</v>
      </c>
      <c r="BI99" s="18">
        <f t="shared" ref="BI99:BV99" si="92">SUM(BI95:BI98)</f>
        <v>2038759.8699999999</v>
      </c>
      <c r="BJ99" s="18">
        <f t="shared" si="92"/>
        <v>2177229.8499999996</v>
      </c>
      <c r="BK99" s="18">
        <f t="shared" si="92"/>
        <v>1971242.28</v>
      </c>
      <c r="BL99" s="18">
        <f t="shared" si="92"/>
        <v>2178547.7200000002</v>
      </c>
      <c r="BM99" s="18">
        <f t="shared" si="92"/>
        <v>2581344.29</v>
      </c>
      <c r="BN99" s="18">
        <f t="shared" si="92"/>
        <v>2646624.27</v>
      </c>
      <c r="BO99" s="18">
        <f t="shared" si="92"/>
        <v>2684157.3899999997</v>
      </c>
      <c r="BP99" s="18">
        <f t="shared" si="92"/>
        <v>2751909.61</v>
      </c>
      <c r="BQ99" s="22">
        <f t="shared" si="92"/>
        <v>2342074</v>
      </c>
      <c r="BR99" s="22">
        <f t="shared" si="92"/>
        <v>2493577.38</v>
      </c>
      <c r="BS99" s="18">
        <f t="shared" si="92"/>
        <v>3000057.83</v>
      </c>
      <c r="BT99" s="18">
        <f t="shared" si="92"/>
        <v>3173504.58</v>
      </c>
      <c r="BU99" s="397">
        <f>SUM(BI99:BT99)</f>
        <v>30039029.07</v>
      </c>
      <c r="BV99" s="18">
        <f t="shared" si="92"/>
        <v>3359302.74</v>
      </c>
      <c r="BW99" s="18">
        <f t="shared" ref="BW99:CI99" si="93">SUM(BW95:BW98)</f>
        <v>3059441.27</v>
      </c>
      <c r="BX99" s="18">
        <f t="shared" si="93"/>
        <v>3215185.4</v>
      </c>
      <c r="BY99" s="18">
        <f t="shared" si="93"/>
        <v>3241992.6999999997</v>
      </c>
      <c r="BZ99" s="18">
        <f t="shared" si="93"/>
        <v>3487714.0100000002</v>
      </c>
      <c r="CA99" s="18">
        <f t="shared" si="93"/>
        <v>3585887.78</v>
      </c>
      <c r="CB99" s="18">
        <f t="shared" si="93"/>
        <v>3945330.92</v>
      </c>
      <c r="CC99" s="18">
        <f t="shared" si="93"/>
        <v>4354990.6099999994</v>
      </c>
      <c r="CD99" s="18">
        <f t="shared" si="93"/>
        <v>4632217.5</v>
      </c>
      <c r="CE99" s="18">
        <f t="shared" si="93"/>
        <v>5096540.21</v>
      </c>
      <c r="CF99" s="18">
        <f t="shared" si="93"/>
        <v>5013809.84</v>
      </c>
      <c r="CG99" s="18">
        <f t="shared" si="93"/>
        <v>5160253.3499999996</v>
      </c>
      <c r="CH99" s="397">
        <f>SUM(BV99:CG99)</f>
        <v>48152666.330000006</v>
      </c>
      <c r="CI99" s="18">
        <f t="shared" si="93"/>
        <v>4095110.5700000003</v>
      </c>
      <c r="CJ99" s="18">
        <f t="shared" ref="CJ99:CS99" si="94">SUM(CJ95:CJ98)</f>
        <v>4387612.43</v>
      </c>
      <c r="CK99" s="18">
        <f t="shared" si="94"/>
        <v>4226714.32</v>
      </c>
      <c r="CL99" s="18">
        <f t="shared" si="94"/>
        <v>4514703.96</v>
      </c>
      <c r="CM99" s="18">
        <f t="shared" si="94"/>
        <v>4797998.92</v>
      </c>
      <c r="CN99" s="18">
        <f t="shared" si="94"/>
        <v>4751457.29</v>
      </c>
      <c r="CO99" s="18">
        <f t="shared" si="94"/>
        <v>5993881.1300000008</v>
      </c>
      <c r="CP99" s="18">
        <f t="shared" si="94"/>
        <v>5980777.3600000003</v>
      </c>
      <c r="CQ99" s="18">
        <f t="shared" si="94"/>
        <v>6117014.9199999999</v>
      </c>
      <c r="CR99" s="18">
        <f t="shared" si="94"/>
        <v>6220622.4900000002</v>
      </c>
      <c r="CS99" s="18">
        <f t="shared" si="94"/>
        <v>6800477.7199999997</v>
      </c>
      <c r="CT99" s="18">
        <f>SUM(CT95:CT98)</f>
        <v>6225982.04</v>
      </c>
      <c r="CU99" s="397">
        <f>SUM(CI99:CT99)</f>
        <v>64112353.150000006</v>
      </c>
      <c r="CV99" s="397">
        <f t="shared" ref="CV99:DA99" si="95">SUM(CV95:CV98)</f>
        <v>5997650.3699999992</v>
      </c>
      <c r="CW99" s="397">
        <f t="shared" si="95"/>
        <v>6252197.1900000004</v>
      </c>
      <c r="CX99" s="397">
        <f t="shared" si="95"/>
        <v>7721145.3400000008</v>
      </c>
      <c r="CY99" s="397">
        <f t="shared" si="95"/>
        <v>7440482.8300000001</v>
      </c>
      <c r="CZ99" s="397">
        <f t="shared" si="95"/>
        <v>8269588.1999999993</v>
      </c>
      <c r="DA99" s="397">
        <f t="shared" si="95"/>
        <v>8367980.0800000001</v>
      </c>
      <c r="DB99" s="22">
        <f t="shared" ref="DB99:DG99" si="96">SUM(DB95:DB98)</f>
        <v>8663536.4699999988</v>
      </c>
      <c r="DC99" s="22">
        <f t="shared" si="96"/>
        <v>5995424.4400000004</v>
      </c>
      <c r="DD99" s="22">
        <f t="shared" si="96"/>
        <v>6020239.3899999997</v>
      </c>
      <c r="DE99" s="22">
        <f t="shared" si="96"/>
        <v>7782993.7800000003</v>
      </c>
      <c r="DF99" s="22">
        <f t="shared" si="96"/>
        <v>9404895.3900000006</v>
      </c>
      <c r="DG99" s="22">
        <f t="shared" si="96"/>
        <v>9331168.0999999996</v>
      </c>
      <c r="DH99" s="397">
        <f>SUM(CV99:DG99)</f>
        <v>91247301.579999983</v>
      </c>
      <c r="DI99" s="22">
        <f t="shared" ref="DI99:DJ99" si="97">SUM(DI95:DI98)</f>
        <v>9505511.3599999994</v>
      </c>
      <c r="DJ99" s="22">
        <f t="shared" si="97"/>
        <v>9649931.629999999</v>
      </c>
      <c r="DK99" s="22">
        <f t="shared" ref="DK99:DT99" si="98">SUM(DK95:DK98)</f>
        <v>9204011.5</v>
      </c>
      <c r="DL99" s="22">
        <f t="shared" si="98"/>
        <v>9042599.5899999999</v>
      </c>
      <c r="DM99" s="22">
        <f t="shared" si="98"/>
        <v>9160352.3000000007</v>
      </c>
      <c r="DN99" s="22">
        <f t="shared" si="98"/>
        <v>9117211.0800000001</v>
      </c>
      <c r="DO99" s="22">
        <f t="shared" si="98"/>
        <v>8826796.4299999997</v>
      </c>
      <c r="DP99" s="22">
        <f t="shared" si="98"/>
        <v>9465557</v>
      </c>
      <c r="DQ99" s="22">
        <f t="shared" si="98"/>
        <v>10453044.550000001</v>
      </c>
      <c r="DR99" s="22">
        <f t="shared" si="98"/>
        <v>9573717.9900000002</v>
      </c>
      <c r="DS99" s="22">
        <f t="shared" si="98"/>
        <v>0</v>
      </c>
      <c r="DT99" s="22">
        <f t="shared" si="98"/>
        <v>0</v>
      </c>
      <c r="DU99" s="397">
        <f>SUM(DI99:DT99)</f>
        <v>93998733.429999977</v>
      </c>
    </row>
    <row r="100" spans="1:125" ht="12.75" customHeight="1">
      <c r="A100" s="2"/>
      <c r="B100" s="12"/>
      <c r="C100" s="4"/>
      <c r="D100" s="4"/>
      <c r="E100" s="4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12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396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12"/>
      <c r="AT100" s="12"/>
      <c r="AU100" s="396"/>
      <c r="AV100" s="4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396"/>
      <c r="BI100" s="12"/>
      <c r="BJ100" s="12"/>
      <c r="BK100" s="12"/>
      <c r="BL100" s="12"/>
      <c r="BM100" s="12"/>
      <c r="BN100" s="12"/>
      <c r="BO100" s="12"/>
      <c r="BP100" s="12"/>
      <c r="BQ100" s="15"/>
      <c r="BR100" s="15"/>
      <c r="BS100" s="12"/>
      <c r="BT100" s="396"/>
      <c r="BU100" s="396"/>
      <c r="BV100" s="396"/>
      <c r="BW100" s="12"/>
      <c r="BX100" s="12"/>
      <c r="BY100" s="396"/>
      <c r="BZ100" s="396"/>
      <c r="CA100" s="396"/>
      <c r="CB100" s="396"/>
      <c r="CC100" s="396"/>
      <c r="CD100" s="396"/>
      <c r="CE100" s="396"/>
      <c r="CF100" s="396"/>
      <c r="CG100" s="396"/>
      <c r="CH100" s="396"/>
      <c r="CI100" s="396"/>
      <c r="CJ100" s="396"/>
      <c r="CK100" s="396"/>
      <c r="CL100" s="396"/>
      <c r="CM100" s="396"/>
      <c r="CN100" s="396"/>
      <c r="CO100" s="396"/>
      <c r="CP100" s="396"/>
      <c r="CQ100" s="396"/>
      <c r="CR100" s="396"/>
      <c r="CS100" s="396"/>
      <c r="CT100" s="396"/>
      <c r="CU100" s="396"/>
      <c r="CV100" s="396"/>
      <c r="CW100" s="396"/>
      <c r="CX100" s="934"/>
      <c r="CY100" s="934"/>
      <c r="CZ100" s="934"/>
      <c r="DA100" s="934"/>
      <c r="DB100" s="767"/>
      <c r="DC100" s="767"/>
      <c r="DD100" s="934"/>
      <c r="DE100" s="934"/>
      <c r="DF100" s="934"/>
      <c r="DG100" s="934"/>
      <c r="DH100" s="396"/>
      <c r="DI100" s="934"/>
      <c r="DJ100" s="934"/>
      <c r="DK100" s="934"/>
      <c r="DL100" s="934"/>
      <c r="DM100" s="934"/>
      <c r="DN100" s="934"/>
      <c r="DO100" s="934"/>
      <c r="DP100" s="934"/>
      <c r="DQ100" s="934"/>
      <c r="DR100" s="934"/>
      <c r="DS100" s="934"/>
      <c r="DT100" s="934"/>
      <c r="DU100" s="396"/>
    </row>
    <row r="101" spans="1:125" ht="12.75" customHeight="1" outlineLevel="1">
      <c r="A101" s="13" t="s">
        <v>116</v>
      </c>
      <c r="B101" s="12"/>
      <c r="C101" s="4"/>
      <c r="D101" s="4"/>
      <c r="E101" s="4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12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396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12"/>
      <c r="AT101" s="12"/>
      <c r="AU101" s="396"/>
      <c r="AV101" s="4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396"/>
      <c r="BI101" s="12"/>
      <c r="BJ101" s="12"/>
      <c r="BK101" s="12"/>
      <c r="BL101" s="12"/>
      <c r="BM101" s="12"/>
      <c r="BN101" s="12"/>
      <c r="BO101" s="12"/>
      <c r="BP101" s="12"/>
      <c r="BQ101" s="15"/>
      <c r="BR101" s="15"/>
      <c r="BS101" s="12"/>
      <c r="BT101" s="396"/>
      <c r="BU101" s="396"/>
      <c r="BV101" s="396"/>
      <c r="BW101" s="12"/>
      <c r="BX101" s="12"/>
      <c r="BY101" s="396"/>
      <c r="BZ101" s="396"/>
      <c r="CA101" s="396"/>
      <c r="CB101" s="396"/>
      <c r="CC101" s="396"/>
      <c r="CD101" s="396"/>
      <c r="CE101" s="396"/>
      <c r="CF101" s="396"/>
      <c r="CG101" s="396"/>
      <c r="CH101" s="396"/>
      <c r="CI101" s="396"/>
      <c r="CJ101" s="396"/>
      <c r="CK101" s="396"/>
      <c r="CL101" s="396"/>
      <c r="CM101" s="396"/>
      <c r="CN101" s="396"/>
      <c r="CO101" s="396"/>
      <c r="CP101" s="396"/>
      <c r="CQ101" s="396"/>
      <c r="CR101" s="396"/>
      <c r="CS101" s="396"/>
      <c r="CT101" s="396"/>
      <c r="CU101" s="396"/>
      <c r="CV101" s="396"/>
      <c r="CW101" s="396"/>
      <c r="CX101" s="934"/>
      <c r="CY101" s="934"/>
      <c r="CZ101" s="934"/>
      <c r="DA101" s="934"/>
      <c r="DB101" s="767"/>
      <c r="DC101" s="767"/>
      <c r="DD101" s="934"/>
      <c r="DE101" s="934"/>
      <c r="DF101" s="934"/>
      <c r="DG101" s="934"/>
      <c r="DH101" s="396"/>
      <c r="DI101" s="934"/>
      <c r="DJ101" s="934"/>
      <c r="DK101" s="934"/>
      <c r="DL101" s="934"/>
      <c r="DM101" s="934"/>
      <c r="DN101" s="934"/>
      <c r="DO101" s="934"/>
      <c r="DP101" s="934"/>
      <c r="DQ101" s="934"/>
      <c r="DR101" s="934"/>
      <c r="DS101" s="934"/>
      <c r="DT101" s="934"/>
      <c r="DU101" s="396"/>
    </row>
    <row r="102" spans="1:125" ht="12.75" customHeight="1" outlineLevel="1">
      <c r="A102" s="14" t="s">
        <v>117</v>
      </c>
      <c r="B102" s="12">
        <v>114626</v>
      </c>
      <c r="C102" s="4">
        <v>24359.49</v>
      </c>
      <c r="D102" s="4">
        <v>23452.799999999999</v>
      </c>
      <c r="E102" s="4">
        <v>27331.8</v>
      </c>
      <c r="F102" s="12">
        <v>193678.51</v>
      </c>
      <c r="G102" s="4">
        <v>28151.82</v>
      </c>
      <c r="H102" s="4">
        <v>28343.82</v>
      </c>
      <c r="I102" s="4">
        <v>30748.400000000001</v>
      </c>
      <c r="J102" s="4">
        <v>32125.98</v>
      </c>
      <c r="K102" s="4">
        <v>31982.34</v>
      </c>
      <c r="L102" s="4">
        <v>32054.16</v>
      </c>
      <c r="M102" s="4">
        <v>32047.8</v>
      </c>
      <c r="N102" s="4">
        <v>35701.550000000003</v>
      </c>
      <c r="O102" s="4">
        <v>34374.480000000003</v>
      </c>
      <c r="P102" s="4">
        <v>34270.67</v>
      </c>
      <c r="Q102" s="4">
        <v>11969.98</v>
      </c>
      <c r="R102" s="4">
        <v>35574.370000000003</v>
      </c>
      <c r="S102" s="12">
        <v>367345.37</v>
      </c>
      <c r="T102" s="4">
        <v>34551.35</v>
      </c>
      <c r="U102" s="4">
        <v>40531</v>
      </c>
      <c r="V102" s="4">
        <v>40626.050000000003</v>
      </c>
      <c r="W102" s="4">
        <v>41238.71</v>
      </c>
      <c r="X102" s="4">
        <v>41167.51</v>
      </c>
      <c r="Y102" s="4">
        <v>42227.27</v>
      </c>
      <c r="Z102" s="4">
        <v>42577.66</v>
      </c>
      <c r="AA102" s="4">
        <v>41376.47</v>
      </c>
      <c r="AB102" s="4">
        <v>42390.29</v>
      </c>
      <c r="AC102" s="4">
        <v>41607.22</v>
      </c>
      <c r="AD102" s="4">
        <v>43026.68</v>
      </c>
      <c r="AE102" s="4">
        <v>47157.43</v>
      </c>
      <c r="AF102" s="396">
        <v>498477.64</v>
      </c>
      <c r="AG102" s="4">
        <v>41888.18</v>
      </c>
      <c r="AH102" s="4">
        <v>45940.07</v>
      </c>
      <c r="AI102" s="4">
        <v>44804.03</v>
      </c>
      <c r="AJ102" s="4">
        <v>45200.5</v>
      </c>
      <c r="AK102" s="4">
        <v>15153.71</v>
      </c>
      <c r="AL102" s="4">
        <v>22644.9</v>
      </c>
      <c r="AM102" s="4">
        <v>25599.119999999999</v>
      </c>
      <c r="AN102" s="4">
        <v>22188.45</v>
      </c>
      <c r="AO102" s="4">
        <v>25739.11</v>
      </c>
      <c r="AP102" s="4">
        <v>36110.75</v>
      </c>
      <c r="AQ102" s="4">
        <v>29935.4</v>
      </c>
      <c r="AR102" s="4">
        <v>34469.019999999997</v>
      </c>
      <c r="AS102" s="12">
        <v>389673.24</v>
      </c>
      <c r="AT102" s="12"/>
      <c r="AU102" s="396">
        <v>389673.24</v>
      </c>
      <c r="AV102" s="4">
        <v>35596.589999999997</v>
      </c>
      <c r="AW102" s="12">
        <v>30570.44</v>
      </c>
      <c r="AX102" s="12">
        <v>30458.95</v>
      </c>
      <c r="AY102" s="12">
        <v>24341.08</v>
      </c>
      <c r="AZ102" s="12">
        <v>25159.1</v>
      </c>
      <c r="BA102" s="12">
        <v>21972.84</v>
      </c>
      <c r="BB102" s="12">
        <v>26792.36</v>
      </c>
      <c r="BC102" s="12">
        <v>40882.800000000003</v>
      </c>
      <c r="BD102" s="12">
        <v>40751.78</v>
      </c>
      <c r="BE102" s="12">
        <v>42565.23</v>
      </c>
      <c r="BF102" s="12">
        <v>42535.13</v>
      </c>
      <c r="BG102" s="12">
        <v>37545.120000000003</v>
      </c>
      <c r="BH102" s="396">
        <v>399171.41999999993</v>
      </c>
      <c r="BI102" s="12">
        <v>27406.85</v>
      </c>
      <c r="BJ102" s="12">
        <v>25454.03</v>
      </c>
      <c r="BK102" s="12">
        <v>49550.42</v>
      </c>
      <c r="BL102" s="12">
        <v>32643.5</v>
      </c>
      <c r="BM102" s="12">
        <v>28702.48</v>
      </c>
      <c r="BN102" s="12">
        <v>32448.52</v>
      </c>
      <c r="BO102" s="12">
        <v>25638.22</v>
      </c>
      <c r="BP102" s="12">
        <v>37651.53</v>
      </c>
      <c r="BQ102" s="15">
        <v>11507</v>
      </c>
      <c r="BR102" s="15">
        <v>36493.96</v>
      </c>
      <c r="BS102" s="12">
        <v>34366.01</v>
      </c>
      <c r="BT102" s="396">
        <v>68224.490000000005</v>
      </c>
      <c r="BU102" s="396">
        <f t="shared" ref="BU102:BU107" si="99">SUM(BI102:BT102)</f>
        <v>410087.01</v>
      </c>
      <c r="BV102" s="396">
        <v>51314.04</v>
      </c>
      <c r="BW102" s="12">
        <v>72783.740000000005</v>
      </c>
      <c r="BX102" s="12">
        <v>67027.820000000007</v>
      </c>
      <c r="BY102" s="396">
        <v>62525.919999999998</v>
      </c>
      <c r="BZ102" s="396">
        <v>64045.61</v>
      </c>
      <c r="CA102" s="396">
        <v>84919.31</v>
      </c>
      <c r="CB102" s="396">
        <v>86684.47</v>
      </c>
      <c r="CC102" s="396">
        <v>82521.31</v>
      </c>
      <c r="CD102" s="396">
        <v>76109.710000000006</v>
      </c>
      <c r="CE102" s="396">
        <v>76823.53</v>
      </c>
      <c r="CF102" s="396">
        <v>102350.1</v>
      </c>
      <c r="CG102" s="396">
        <v>80301.13</v>
      </c>
      <c r="CH102" s="396">
        <f t="shared" ref="CH102:CH107" si="100">SUM(BV102:CG102)</f>
        <v>907406.69</v>
      </c>
      <c r="CI102" s="396">
        <v>69891.88</v>
      </c>
      <c r="CJ102" s="396">
        <v>81813.679999999993</v>
      </c>
      <c r="CK102" s="396">
        <v>55654.67</v>
      </c>
      <c r="CL102" s="396">
        <v>60117.06</v>
      </c>
      <c r="CM102" s="396">
        <v>224742.23</v>
      </c>
      <c r="CN102" s="396">
        <v>262302.17</v>
      </c>
      <c r="CO102" s="396">
        <v>262146.89</v>
      </c>
      <c r="CP102" s="396">
        <v>97682.31</v>
      </c>
      <c r="CQ102" s="396">
        <v>63180.06</v>
      </c>
      <c r="CR102" s="396">
        <v>76505.7</v>
      </c>
      <c r="CS102" s="396">
        <v>78496.759999999995</v>
      </c>
      <c r="CT102" s="396">
        <v>85888.43</v>
      </c>
      <c r="CU102" s="396">
        <f t="shared" ref="CU102:CU107" si="101">SUM(CI102:CT102)</f>
        <v>1418421.8399999999</v>
      </c>
      <c r="CV102" s="396">
        <v>96895.32</v>
      </c>
      <c r="CW102" s="396">
        <v>89441.78</v>
      </c>
      <c r="CX102" s="934">
        <v>76053.539999999994</v>
      </c>
      <c r="CY102" s="934">
        <v>84821.01</v>
      </c>
      <c r="CZ102" s="934">
        <v>77097.02</v>
      </c>
      <c r="DA102" s="934">
        <v>94621</v>
      </c>
      <c r="DB102" s="767">
        <v>97163.24</v>
      </c>
      <c r="DC102" s="767">
        <v>99351.11</v>
      </c>
      <c r="DD102" s="934">
        <v>101615.61</v>
      </c>
      <c r="DE102" s="934">
        <v>86408.93</v>
      </c>
      <c r="DF102" s="934">
        <v>93011.27</v>
      </c>
      <c r="DG102" s="934">
        <v>88265.77</v>
      </c>
      <c r="DH102" s="396">
        <f t="shared" ref="DH102:DH106" si="102">SUM(CV102:DG102)</f>
        <v>1084745.6000000001</v>
      </c>
      <c r="DI102" s="934">
        <v>123448.79</v>
      </c>
      <c r="DJ102" s="934">
        <v>154259.59</v>
      </c>
      <c r="DK102" s="934">
        <v>169500.43</v>
      </c>
      <c r="DL102" s="934">
        <v>148203.41</v>
      </c>
      <c r="DM102" s="934">
        <v>137452.43</v>
      </c>
      <c r="DN102" s="934">
        <v>137844.69</v>
      </c>
      <c r="DO102" s="934">
        <v>161571.46</v>
      </c>
      <c r="DP102" s="934">
        <v>166037.98000000001</v>
      </c>
      <c r="DQ102" s="934">
        <v>52826.68</v>
      </c>
      <c r="DR102" s="934">
        <v>188294.88</v>
      </c>
      <c r="DS102" s="934"/>
      <c r="DT102" s="934"/>
      <c r="DU102" s="396">
        <f t="shared" ref="DU102:DU105" si="103">SUM(DI102:DT102)</f>
        <v>1439440.3399999999</v>
      </c>
    </row>
    <row r="103" spans="1:125" ht="12.75" customHeight="1" outlineLevel="1">
      <c r="A103" s="14" t="s">
        <v>118</v>
      </c>
      <c r="B103" s="12"/>
      <c r="C103" s="4"/>
      <c r="D103" s="4"/>
      <c r="E103" s="4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12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396"/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97151.73</v>
      </c>
      <c r="AM103" s="4">
        <v>97151.73</v>
      </c>
      <c r="AN103" s="4">
        <v>97151.73</v>
      </c>
      <c r="AO103" s="4">
        <v>97151.73</v>
      </c>
      <c r="AP103" s="4">
        <v>97151.73</v>
      </c>
      <c r="AQ103" s="4">
        <v>97151.73</v>
      </c>
      <c r="AR103" s="4">
        <v>97151.73</v>
      </c>
      <c r="AS103" s="12">
        <v>680062.11</v>
      </c>
      <c r="AT103" s="12"/>
      <c r="AU103" s="396">
        <v>680062.11</v>
      </c>
      <c r="AV103" s="4">
        <v>97151.73</v>
      </c>
      <c r="AW103" s="12">
        <v>97151.73</v>
      </c>
      <c r="AX103" s="12">
        <v>97151.73</v>
      </c>
      <c r="AY103" s="12">
        <v>97151.73</v>
      </c>
      <c r="AZ103" s="12">
        <v>97151.73</v>
      </c>
      <c r="BA103" s="12">
        <v>97151.73</v>
      </c>
      <c r="BB103" s="12">
        <v>97151.73</v>
      </c>
      <c r="BC103" s="12">
        <v>97151.74</v>
      </c>
      <c r="BD103" s="12">
        <v>97151.73</v>
      </c>
      <c r="BE103" s="12">
        <v>97151.73</v>
      </c>
      <c r="BF103" s="12">
        <v>97151.73</v>
      </c>
      <c r="BG103" s="12">
        <v>97151.73</v>
      </c>
      <c r="BH103" s="396">
        <v>1165820.77</v>
      </c>
      <c r="BI103" s="12">
        <v>97151.73</v>
      </c>
      <c r="BJ103" s="12">
        <v>97151.73</v>
      </c>
      <c r="BK103" s="12">
        <v>97151.73</v>
      </c>
      <c r="BL103" s="12">
        <v>97151.73</v>
      </c>
      <c r="BM103" s="12">
        <v>97151.73</v>
      </c>
      <c r="BN103" s="12">
        <v>97151.73</v>
      </c>
      <c r="BO103" s="12">
        <v>97151.73</v>
      </c>
      <c r="BP103" s="12">
        <v>97151.73</v>
      </c>
      <c r="BQ103" s="15">
        <v>89869</v>
      </c>
      <c r="BR103" s="15">
        <v>89868.51</v>
      </c>
      <c r="BS103" s="12">
        <v>92737.47</v>
      </c>
      <c r="BT103" s="396">
        <v>148100.26</v>
      </c>
      <c r="BU103" s="396">
        <f t="shared" si="99"/>
        <v>1197789.08</v>
      </c>
      <c r="BV103" s="396">
        <v>148100.26</v>
      </c>
      <c r="BW103" s="12">
        <v>148100.26</v>
      </c>
      <c r="BX103" s="12">
        <v>148100.26</v>
      </c>
      <c r="BY103" s="396">
        <v>148100.26</v>
      </c>
      <c r="BZ103" s="396">
        <v>148100.26</v>
      </c>
      <c r="CA103" s="396">
        <v>148100.26</v>
      </c>
      <c r="CB103" s="396">
        <v>148100.26</v>
      </c>
      <c r="CC103" s="396">
        <v>148100.26</v>
      </c>
      <c r="CD103" s="396">
        <v>148100.25</v>
      </c>
      <c r="CE103" s="396">
        <v>148100.26</v>
      </c>
      <c r="CF103" s="396">
        <v>148100.26</v>
      </c>
      <c r="CG103" s="396">
        <v>148100.26</v>
      </c>
      <c r="CH103" s="396">
        <f t="shared" si="100"/>
        <v>1777203.11</v>
      </c>
      <c r="CI103" s="396">
        <v>118608.47</v>
      </c>
      <c r="CJ103" s="396">
        <v>148100.26</v>
      </c>
      <c r="CK103" s="396">
        <v>121115.28</v>
      </c>
      <c r="CL103" s="396">
        <v>121115.3</v>
      </c>
      <c r="CM103" s="396">
        <v>121115.29</v>
      </c>
      <c r="CN103" s="396">
        <v>121115.31</v>
      </c>
      <c r="CO103" s="396">
        <v>121115.29</v>
      </c>
      <c r="CP103" s="396">
        <v>121115.31</v>
      </c>
      <c r="CQ103" s="396">
        <v>280744.65999999997</v>
      </c>
      <c r="CR103" s="396">
        <v>254954.01</v>
      </c>
      <c r="CS103" s="396">
        <v>254953.99</v>
      </c>
      <c r="CT103" s="396">
        <v>254953.98</v>
      </c>
      <c r="CU103" s="396">
        <f t="shared" si="101"/>
        <v>2039007.15</v>
      </c>
      <c r="CV103" s="430">
        <v>240673.61</v>
      </c>
      <c r="CW103" s="430">
        <v>233144.79</v>
      </c>
      <c r="CX103" s="767">
        <v>233144.77</v>
      </c>
      <c r="CY103" s="767">
        <v>233144.8</v>
      </c>
      <c r="CZ103" s="767">
        <v>233144.77</v>
      </c>
      <c r="DA103" s="767">
        <v>233144.79</v>
      </c>
      <c r="DB103" s="767">
        <v>233144.77</v>
      </c>
      <c r="DC103" s="767">
        <v>269608.74</v>
      </c>
      <c r="DD103" s="934">
        <v>260492.66</v>
      </c>
      <c r="DE103" s="934">
        <v>260492.69</v>
      </c>
      <c r="DF103" s="934">
        <v>260492.69</v>
      </c>
      <c r="DG103" s="934">
        <v>260492.67</v>
      </c>
      <c r="DH103" s="396">
        <f t="shared" si="102"/>
        <v>2951121.75</v>
      </c>
      <c r="DI103" s="934">
        <v>285847.69</v>
      </c>
      <c r="DJ103" s="934">
        <v>285847.65999999997</v>
      </c>
      <c r="DK103" s="934">
        <v>285847.69</v>
      </c>
      <c r="DL103" s="934">
        <v>285847.69</v>
      </c>
      <c r="DM103" s="934">
        <v>285847.67</v>
      </c>
      <c r="DN103" s="934">
        <v>285847.67999999999</v>
      </c>
      <c r="DO103" s="934">
        <v>285847.67</v>
      </c>
      <c r="DP103" s="934">
        <v>285847.69</v>
      </c>
      <c r="DQ103" s="934">
        <v>285847.67999999999</v>
      </c>
      <c r="DR103" s="934">
        <v>285847.67</v>
      </c>
      <c r="DS103" s="934"/>
      <c r="DT103" s="934"/>
      <c r="DU103" s="396">
        <f t="shared" si="103"/>
        <v>2858476.79</v>
      </c>
    </row>
    <row r="104" spans="1:125" ht="12.75" customHeight="1" outlineLevel="1">
      <c r="A104" s="14" t="s">
        <v>119</v>
      </c>
      <c r="B104" s="12">
        <v>10481.48</v>
      </c>
      <c r="C104" s="4">
        <v>1759.09</v>
      </c>
      <c r="D104" s="4">
        <v>927.6</v>
      </c>
      <c r="E104" s="4">
        <v>1576.96</v>
      </c>
      <c r="F104" s="12">
        <v>12723.29</v>
      </c>
      <c r="G104" s="4">
        <v>1245.1400000000001</v>
      </c>
      <c r="H104" s="4">
        <v>3690.65</v>
      </c>
      <c r="I104" s="4">
        <v>1558.81</v>
      </c>
      <c r="J104" s="4">
        <v>2317.4299999999998</v>
      </c>
      <c r="K104" s="4">
        <v>2234.4699999999998</v>
      </c>
      <c r="L104" s="4">
        <v>2539.69</v>
      </c>
      <c r="M104" s="4">
        <v>2254.3200000000002</v>
      </c>
      <c r="N104" s="4">
        <v>1950.29</v>
      </c>
      <c r="O104" s="4">
        <v>2086.9499999999998</v>
      </c>
      <c r="P104" s="4">
        <v>2039.47</v>
      </c>
      <c r="Q104" s="4">
        <v>1444.13</v>
      </c>
      <c r="R104" s="4">
        <v>3081.8</v>
      </c>
      <c r="S104" s="12">
        <v>26443.15</v>
      </c>
      <c r="T104" s="4">
        <v>3242.62</v>
      </c>
      <c r="U104" s="4">
        <v>3335</v>
      </c>
      <c r="V104" s="4">
        <v>3599.7</v>
      </c>
      <c r="W104" s="4">
        <v>4057.56</v>
      </c>
      <c r="X104" s="4">
        <v>6368.34</v>
      </c>
      <c r="Y104" s="4">
        <v>4327.53</v>
      </c>
      <c r="Z104" s="4">
        <v>8479.34</v>
      </c>
      <c r="AA104" s="4">
        <v>7950.87</v>
      </c>
      <c r="AB104" s="4">
        <v>6777.76</v>
      </c>
      <c r="AC104" s="4">
        <v>5333.17</v>
      </c>
      <c r="AD104" s="4">
        <v>3308.34</v>
      </c>
      <c r="AE104" s="4">
        <v>5439.03</v>
      </c>
      <c r="AF104" s="396">
        <v>62219.259999999995</v>
      </c>
      <c r="AG104" s="4">
        <v>5089.93</v>
      </c>
      <c r="AH104" s="4">
        <v>4990.53</v>
      </c>
      <c r="AI104" s="4">
        <v>5570.48</v>
      </c>
      <c r="AJ104" s="4">
        <v>16251.18</v>
      </c>
      <c r="AK104" s="4">
        <v>9498.9699999999993</v>
      </c>
      <c r="AL104" s="4">
        <v>14879.57</v>
      </c>
      <c r="AM104" s="4">
        <v>17040.099999999999</v>
      </c>
      <c r="AN104" s="4">
        <v>15280.24</v>
      </c>
      <c r="AO104" s="4">
        <v>20932.830000000002</v>
      </c>
      <c r="AP104" s="4">
        <v>14921.8</v>
      </c>
      <c r="AQ104" s="4">
        <v>9096.67</v>
      </c>
      <c r="AR104" s="4">
        <v>17380.59</v>
      </c>
      <c r="AS104" s="12">
        <v>150932.89000000001</v>
      </c>
      <c r="AT104" s="12"/>
      <c r="AU104" s="396">
        <v>150932.89000000001</v>
      </c>
      <c r="AV104" s="4">
        <v>14060.5</v>
      </c>
      <c r="AW104" s="12">
        <v>9659.33</v>
      </c>
      <c r="AX104" s="12">
        <v>7906.66</v>
      </c>
      <c r="AY104" s="12">
        <v>9331.7099999999991</v>
      </c>
      <c r="AZ104" s="12">
        <v>10611.82</v>
      </c>
      <c r="BA104" s="12">
        <v>10539.27</v>
      </c>
      <c r="BB104" s="12">
        <v>10303.64</v>
      </c>
      <c r="BC104" s="12">
        <v>10076.75</v>
      </c>
      <c r="BD104" s="12">
        <v>11748.4</v>
      </c>
      <c r="BE104" s="12">
        <v>11208.47</v>
      </c>
      <c r="BF104" s="12">
        <v>9724.1299999999992</v>
      </c>
      <c r="BG104" s="12">
        <v>14402.9</v>
      </c>
      <c r="BH104" s="396">
        <v>129573.57999999999</v>
      </c>
      <c r="BI104" s="12">
        <v>17413.009999999998</v>
      </c>
      <c r="BJ104" s="12">
        <v>16356.66</v>
      </c>
      <c r="BK104" s="12">
        <v>18038.27</v>
      </c>
      <c r="BL104" s="12">
        <v>22979.35</v>
      </c>
      <c r="BM104" s="12">
        <v>21989.119999999999</v>
      </c>
      <c r="BN104" s="12">
        <v>19147.560000000001</v>
      </c>
      <c r="BO104" s="12">
        <v>20847.900000000001</v>
      </c>
      <c r="BP104" s="12">
        <v>23565.09</v>
      </c>
      <c r="BQ104" s="15">
        <v>30879</v>
      </c>
      <c r="BR104" s="15">
        <v>25191.99</v>
      </c>
      <c r="BS104" s="12">
        <v>19555.080000000002</v>
      </c>
      <c r="BT104" s="396">
        <v>23027.52</v>
      </c>
      <c r="BU104" s="396">
        <f t="shared" si="99"/>
        <v>258990.54999999996</v>
      </c>
      <c r="BV104" s="396">
        <v>23476.87</v>
      </c>
      <c r="BW104" s="12">
        <v>25253.74</v>
      </c>
      <c r="BX104" s="12">
        <v>22898.71</v>
      </c>
      <c r="BY104" s="396">
        <v>31962.48</v>
      </c>
      <c r="BZ104" s="396">
        <v>54529.1</v>
      </c>
      <c r="CA104" s="396">
        <v>71413.8</v>
      </c>
      <c r="CB104" s="396">
        <v>83600.06</v>
      </c>
      <c r="CC104" s="396">
        <v>57931.75</v>
      </c>
      <c r="CD104" s="396">
        <v>129505.66</v>
      </c>
      <c r="CE104" s="396">
        <v>42884.42</v>
      </c>
      <c r="CF104" s="396">
        <v>119371.41</v>
      </c>
      <c r="CG104" s="396">
        <v>157985.44</v>
      </c>
      <c r="CH104" s="396">
        <f t="shared" si="100"/>
        <v>820813.44000000018</v>
      </c>
      <c r="CI104" s="396">
        <v>110655.81</v>
      </c>
      <c r="CJ104" s="396">
        <v>76473.39</v>
      </c>
      <c r="CK104" s="396">
        <v>70269.03</v>
      </c>
      <c r="CL104" s="396">
        <v>73442.84</v>
      </c>
      <c r="CM104" s="396">
        <v>71394.720000000001</v>
      </c>
      <c r="CN104" s="396">
        <v>90789.28</v>
      </c>
      <c r="CO104" s="396">
        <v>74323.100000000006</v>
      </c>
      <c r="CP104" s="396">
        <v>119978.71</v>
      </c>
      <c r="CQ104" s="396">
        <v>174973.95</v>
      </c>
      <c r="CR104" s="396">
        <v>70521.460000000006</v>
      </c>
      <c r="CS104" s="396">
        <v>87721.02</v>
      </c>
      <c r="CT104" s="396">
        <v>177186.16</v>
      </c>
      <c r="CU104" s="396">
        <f t="shared" si="101"/>
        <v>1197729.47</v>
      </c>
      <c r="CV104" s="396">
        <v>83029.78</v>
      </c>
      <c r="CW104" s="396">
        <v>99079.360000000001</v>
      </c>
      <c r="CX104" s="934">
        <v>137294.68</v>
      </c>
      <c r="CY104" s="934">
        <v>152916.04</v>
      </c>
      <c r="CZ104" s="934">
        <v>185614.45</v>
      </c>
      <c r="DA104" s="934">
        <v>214951.93</v>
      </c>
      <c r="DB104" s="767">
        <v>205618.85</v>
      </c>
      <c r="DC104" s="767">
        <v>336129.16</v>
      </c>
      <c r="DD104" s="934">
        <v>295966.88</v>
      </c>
      <c r="DE104" s="934">
        <v>194807.96</v>
      </c>
      <c r="DF104" s="934">
        <v>241648.71</v>
      </c>
      <c r="DG104" s="934">
        <v>233714.08</v>
      </c>
      <c r="DH104" s="396">
        <f t="shared" si="102"/>
        <v>2380771.88</v>
      </c>
      <c r="DI104" s="934">
        <v>153316.26999999999</v>
      </c>
      <c r="DJ104" s="934">
        <v>102904.07</v>
      </c>
      <c r="DK104" s="934">
        <v>117604.08</v>
      </c>
      <c r="DL104" s="934">
        <v>99798.9</v>
      </c>
      <c r="DM104" s="934">
        <v>115896.66</v>
      </c>
      <c r="DN104" s="934">
        <v>98276.3</v>
      </c>
      <c r="DO104" s="934">
        <v>103641.29</v>
      </c>
      <c r="DP104" s="934">
        <v>92427.92</v>
      </c>
      <c r="DQ104" s="934">
        <v>150828.25</v>
      </c>
      <c r="DR104" s="934">
        <v>46029.23</v>
      </c>
      <c r="DS104" s="934"/>
      <c r="DT104" s="934"/>
      <c r="DU104" s="396">
        <v>883865.49</v>
      </c>
    </row>
    <row r="105" spans="1:125" ht="12.75" customHeight="1" outlineLevel="1">
      <c r="A105" s="14" t="s">
        <v>120</v>
      </c>
      <c r="B105" s="12">
        <v>61722.81</v>
      </c>
      <c r="C105" s="4">
        <v>14127.13</v>
      </c>
      <c r="D105" s="4">
        <v>13399.5</v>
      </c>
      <c r="E105" s="4">
        <v>13353.6</v>
      </c>
      <c r="F105" s="12">
        <v>148963.60999999999</v>
      </c>
      <c r="G105" s="4">
        <v>13801.22</v>
      </c>
      <c r="H105" s="4">
        <v>13842.33</v>
      </c>
      <c r="I105" s="4">
        <v>12908.2</v>
      </c>
      <c r="J105" s="4">
        <v>12265.13</v>
      </c>
      <c r="K105" s="4">
        <v>7677.21</v>
      </c>
      <c r="L105" s="4">
        <v>14241.94</v>
      </c>
      <c r="M105" s="4">
        <v>14100.11</v>
      </c>
      <c r="N105" s="4">
        <v>13908.36</v>
      </c>
      <c r="O105" s="4">
        <v>14348.48</v>
      </c>
      <c r="P105" s="4">
        <v>14199.87</v>
      </c>
      <c r="Q105" s="4">
        <v>11592.86</v>
      </c>
      <c r="R105" s="4">
        <v>12281</v>
      </c>
      <c r="S105" s="12">
        <v>155166.71</v>
      </c>
      <c r="T105" s="4">
        <v>13126.24</v>
      </c>
      <c r="U105" s="4">
        <v>13344</v>
      </c>
      <c r="V105" s="4">
        <v>13622.68</v>
      </c>
      <c r="W105" s="4">
        <v>15074.72</v>
      </c>
      <c r="X105" s="4">
        <v>17454.990000000002</v>
      </c>
      <c r="Y105" s="4">
        <v>15383.57</v>
      </c>
      <c r="Z105" s="4">
        <v>17845.73</v>
      </c>
      <c r="AA105" s="4">
        <v>17751.810000000001</v>
      </c>
      <c r="AB105" s="4">
        <v>21529.55</v>
      </c>
      <c r="AC105" s="4">
        <v>21392.53</v>
      </c>
      <c r="AD105" s="4">
        <v>21279.47</v>
      </c>
      <c r="AE105" s="4">
        <v>25200.63</v>
      </c>
      <c r="AF105" s="396">
        <v>213005.92</v>
      </c>
      <c r="AG105" s="4">
        <v>26984.69</v>
      </c>
      <c r="AH105" s="4">
        <v>26453.27</v>
      </c>
      <c r="AI105" s="4">
        <v>25197.72</v>
      </c>
      <c r="AJ105" s="4">
        <v>25248.1</v>
      </c>
      <c r="AK105" s="4">
        <v>27545.99</v>
      </c>
      <c r="AL105" s="4">
        <v>23202.66</v>
      </c>
      <c r="AM105" s="4">
        <v>27208.3</v>
      </c>
      <c r="AN105" s="4">
        <v>30083.4</v>
      </c>
      <c r="AO105" s="4">
        <v>30229.72</v>
      </c>
      <c r="AP105" s="4">
        <v>33354.89</v>
      </c>
      <c r="AQ105" s="4">
        <v>34055.82</v>
      </c>
      <c r="AR105" s="4">
        <v>39345.65</v>
      </c>
      <c r="AS105" s="12">
        <v>348910.21</v>
      </c>
      <c r="AT105" s="12"/>
      <c r="AU105" s="396">
        <v>348910.21</v>
      </c>
      <c r="AV105" s="4">
        <v>44075.56</v>
      </c>
      <c r="AW105" s="12">
        <v>47789.64</v>
      </c>
      <c r="AX105" s="12">
        <v>47969.97</v>
      </c>
      <c r="AY105" s="12">
        <v>44622.87</v>
      </c>
      <c r="AZ105" s="12">
        <v>42584.49</v>
      </c>
      <c r="BA105" s="12">
        <v>44341.98</v>
      </c>
      <c r="BB105" s="12">
        <v>44346.04</v>
      </c>
      <c r="BC105" s="12">
        <v>46325.58</v>
      </c>
      <c r="BD105" s="12">
        <v>45153.38</v>
      </c>
      <c r="BE105" s="12">
        <v>48164.75</v>
      </c>
      <c r="BF105" s="12">
        <v>48369.21</v>
      </c>
      <c r="BG105" s="12">
        <v>50881.58</v>
      </c>
      <c r="BH105" s="396">
        <v>554625.04999999993</v>
      </c>
      <c r="BI105" s="12">
        <v>51455.93</v>
      </c>
      <c r="BJ105" s="12">
        <v>49707.360000000001</v>
      </c>
      <c r="BK105" s="12">
        <v>47993.31</v>
      </c>
      <c r="BL105" s="12">
        <v>47086.92</v>
      </c>
      <c r="BM105" s="12">
        <v>46323.91</v>
      </c>
      <c r="BN105" s="12">
        <v>45043.11</v>
      </c>
      <c r="BO105" s="12">
        <v>43923.18</v>
      </c>
      <c r="BP105" s="12">
        <v>50000.01</v>
      </c>
      <c r="BQ105" s="15">
        <v>54165</v>
      </c>
      <c r="BR105" s="15">
        <v>50497.919999999998</v>
      </c>
      <c r="BS105" s="12">
        <v>52398.43</v>
      </c>
      <c r="BT105" s="396">
        <v>93857.67</v>
      </c>
      <c r="BU105" s="396">
        <f t="shared" si="99"/>
        <v>632452.75000000012</v>
      </c>
      <c r="BV105" s="396">
        <v>50080.08</v>
      </c>
      <c r="BW105" s="12">
        <v>52045.9</v>
      </c>
      <c r="BX105" s="12">
        <v>7744.89</v>
      </c>
      <c r="BY105" s="396">
        <v>59177.64</v>
      </c>
      <c r="BZ105" s="396">
        <v>72613.820000000007</v>
      </c>
      <c r="CA105" s="396">
        <v>62205.27</v>
      </c>
      <c r="CB105" s="396">
        <v>62737.45</v>
      </c>
      <c r="CC105" s="396">
        <v>65325</v>
      </c>
      <c r="CD105" s="396">
        <v>62291.96</v>
      </c>
      <c r="CE105" s="396">
        <v>57656.73</v>
      </c>
      <c r="CF105" s="396">
        <v>57484.74</v>
      </c>
      <c r="CG105" s="396">
        <v>63784.09</v>
      </c>
      <c r="CH105" s="396">
        <f t="shared" si="100"/>
        <v>673147.57000000007</v>
      </c>
      <c r="CI105" s="396">
        <v>47380.11</v>
      </c>
      <c r="CJ105" s="396">
        <v>50148.94</v>
      </c>
      <c r="CK105" s="396">
        <v>52331.37</v>
      </c>
      <c r="CL105" s="396">
        <v>57695.199999999997</v>
      </c>
      <c r="CM105" s="396">
        <v>57810.21</v>
      </c>
      <c r="CN105" s="396">
        <v>53223.03</v>
      </c>
      <c r="CO105" s="396">
        <v>59266.17</v>
      </c>
      <c r="CP105" s="396">
        <v>48616.33</v>
      </c>
      <c r="CQ105" s="396">
        <v>37891.42</v>
      </c>
      <c r="CR105" s="396">
        <v>56008.26</v>
      </c>
      <c r="CS105" s="396">
        <v>28897.47</v>
      </c>
      <c r="CT105" s="396">
        <v>39263.4</v>
      </c>
      <c r="CU105" s="396">
        <f t="shared" si="101"/>
        <v>588531.91</v>
      </c>
      <c r="CV105" s="396">
        <v>32127.34</v>
      </c>
      <c r="CW105" s="396">
        <v>36965.64</v>
      </c>
      <c r="CX105" s="934">
        <v>38122.699999999997</v>
      </c>
      <c r="CY105" s="934">
        <v>6683.67</v>
      </c>
      <c r="CZ105" s="934">
        <v>34590.92</v>
      </c>
      <c r="DA105" s="934">
        <v>33525.75</v>
      </c>
      <c r="DB105" s="767">
        <v>32946.730000000003</v>
      </c>
      <c r="DC105" s="767">
        <v>37206.639999999999</v>
      </c>
      <c r="DD105" s="934">
        <v>27605.23</v>
      </c>
      <c r="DE105" s="934">
        <v>32212.78</v>
      </c>
      <c r="DF105" s="934">
        <v>31956.86</v>
      </c>
      <c r="DG105" s="934">
        <v>31240.01</v>
      </c>
      <c r="DH105" s="396">
        <f t="shared" si="102"/>
        <v>375184.27</v>
      </c>
      <c r="DI105" s="934">
        <v>31563.59</v>
      </c>
      <c r="DJ105" s="934">
        <v>32597.86</v>
      </c>
      <c r="DK105" s="934">
        <v>31245.79</v>
      </c>
      <c r="DL105" s="934">
        <v>29255</v>
      </c>
      <c r="DM105" s="934">
        <v>34969.21</v>
      </c>
      <c r="DN105" s="934">
        <v>34969.21</v>
      </c>
      <c r="DO105" s="934">
        <v>31769.47</v>
      </c>
      <c r="DP105" s="934">
        <v>28385.21</v>
      </c>
      <c r="DQ105" s="934">
        <v>37698.19</v>
      </c>
      <c r="DR105" s="934">
        <v>36615.21</v>
      </c>
      <c r="DS105" s="934"/>
      <c r="DT105" s="934"/>
      <c r="DU105" s="396">
        <f t="shared" si="103"/>
        <v>329068.74</v>
      </c>
    </row>
    <row r="106" spans="1:125" ht="12.75" customHeight="1" outlineLevel="1">
      <c r="A106" s="14" t="s">
        <v>672</v>
      </c>
      <c r="B106" s="12">
        <v>55354.77</v>
      </c>
      <c r="C106" s="4">
        <v>9108.61</v>
      </c>
      <c r="D106" s="4">
        <v>15493.13</v>
      </c>
      <c r="E106" s="4">
        <v>12375.11</v>
      </c>
      <c r="F106" s="12">
        <v>107788.73</v>
      </c>
      <c r="G106" s="4">
        <v>11294.56</v>
      </c>
      <c r="H106" s="4">
        <v>16939.900000000001</v>
      </c>
      <c r="I106" s="4">
        <v>11829.22</v>
      </c>
      <c r="J106" s="4">
        <v>10468.74</v>
      </c>
      <c r="K106" s="4">
        <v>8932.67</v>
      </c>
      <c r="L106" s="4">
        <v>10381.450000000001</v>
      </c>
      <c r="M106" s="4">
        <v>10217.66</v>
      </c>
      <c r="N106" s="4">
        <v>10644.57</v>
      </c>
      <c r="O106" s="4">
        <v>11318.34</v>
      </c>
      <c r="P106" s="4">
        <v>11049.7</v>
      </c>
      <c r="Q106" s="4">
        <v>10431.76</v>
      </c>
      <c r="R106" s="4">
        <v>12382.38</v>
      </c>
      <c r="S106" s="12">
        <v>135890.95000000001</v>
      </c>
      <c r="T106" s="4">
        <v>12260.41</v>
      </c>
      <c r="U106" s="4">
        <v>13001</v>
      </c>
      <c r="V106" s="4">
        <v>12864.98</v>
      </c>
      <c r="W106" s="4">
        <v>13322.36</v>
      </c>
      <c r="X106" s="4">
        <v>13837.86</v>
      </c>
      <c r="Y106" s="4">
        <v>13583.67</v>
      </c>
      <c r="Z106" s="4">
        <v>14019.32</v>
      </c>
      <c r="AA106" s="4">
        <v>13892.79</v>
      </c>
      <c r="AB106" s="4">
        <v>14483.64</v>
      </c>
      <c r="AC106" s="4">
        <v>14906.9</v>
      </c>
      <c r="AD106" s="4">
        <v>22453.9</v>
      </c>
      <c r="AE106" s="4">
        <v>16256.29</v>
      </c>
      <c r="AF106" s="396">
        <v>174883.12000000002</v>
      </c>
      <c r="AG106" s="4">
        <v>17625.87</v>
      </c>
      <c r="AH106" s="4">
        <v>18377.21</v>
      </c>
      <c r="AI106" s="4">
        <v>37582.120000000003</v>
      </c>
      <c r="AJ106" s="4">
        <v>61412.92</v>
      </c>
      <c r="AK106" s="4">
        <v>66643.039999999994</v>
      </c>
      <c r="AL106" s="4">
        <v>72387.360000000001</v>
      </c>
      <c r="AM106" s="4">
        <v>73866.36</v>
      </c>
      <c r="AN106" s="4">
        <v>107379.56</v>
      </c>
      <c r="AO106" s="4">
        <v>91494.83</v>
      </c>
      <c r="AP106" s="4">
        <v>91647.03</v>
      </c>
      <c r="AQ106" s="4">
        <v>90108.45</v>
      </c>
      <c r="AR106" s="4">
        <v>99404.86</v>
      </c>
      <c r="AS106" s="12">
        <v>827929.60999999987</v>
      </c>
      <c r="AT106" s="12"/>
      <c r="AU106" s="396">
        <v>827929.60999999987</v>
      </c>
      <c r="AV106" s="4">
        <v>125245.05</v>
      </c>
      <c r="AW106" s="12">
        <v>130402.08</v>
      </c>
      <c r="AX106" s="12">
        <v>131933.60999999999</v>
      </c>
      <c r="AY106" s="12">
        <v>138083.66</v>
      </c>
      <c r="AZ106" s="12">
        <v>136577.85</v>
      </c>
      <c r="BA106" s="12">
        <v>134772.21</v>
      </c>
      <c r="BB106" s="12">
        <v>136968.84</v>
      </c>
      <c r="BC106" s="12">
        <v>136404.19</v>
      </c>
      <c r="BD106" s="12">
        <v>136683.72</v>
      </c>
      <c r="BE106" s="12">
        <v>143309.67000000001</v>
      </c>
      <c r="BF106" s="12">
        <v>149350.57</v>
      </c>
      <c r="BG106" s="12">
        <v>125482.63</v>
      </c>
      <c r="BH106" s="396">
        <v>1625214.08</v>
      </c>
      <c r="BI106" s="12">
        <v>119267.15</v>
      </c>
      <c r="BJ106" s="12">
        <v>127518.73</v>
      </c>
      <c r="BK106" s="12">
        <v>117365.75999999999</v>
      </c>
      <c r="BL106" s="12">
        <v>128114.83</v>
      </c>
      <c r="BM106" s="12">
        <v>145601</v>
      </c>
      <c r="BN106" s="12">
        <v>166617.42000000001</v>
      </c>
      <c r="BO106" s="12">
        <v>248596.27</v>
      </c>
      <c r="BP106" s="12">
        <v>280117</v>
      </c>
      <c r="BQ106" s="15">
        <v>324658</v>
      </c>
      <c r="BR106" s="15">
        <v>349673.04</v>
      </c>
      <c r="BS106" s="12">
        <v>297886.53000000003</v>
      </c>
      <c r="BT106" s="396">
        <v>424740.98</v>
      </c>
      <c r="BU106" s="396">
        <f t="shared" si="99"/>
        <v>2730156.71</v>
      </c>
      <c r="BV106" s="396">
        <v>397586.76</v>
      </c>
      <c r="BW106" s="12">
        <v>397638.77</v>
      </c>
      <c r="BX106" s="12">
        <v>472290.99</v>
      </c>
      <c r="BY106" s="396">
        <v>454225.95</v>
      </c>
      <c r="BZ106" s="396">
        <v>485782.73</v>
      </c>
      <c r="CA106" s="396">
        <v>495841.04</v>
      </c>
      <c r="CB106" s="396">
        <v>673493.56</v>
      </c>
      <c r="CC106" s="396">
        <v>656453.23</v>
      </c>
      <c r="CD106" s="396">
        <v>790430.45</v>
      </c>
      <c r="CE106" s="396">
        <v>804370.99</v>
      </c>
      <c r="CF106" s="396">
        <v>742637.8</v>
      </c>
      <c r="CG106" s="396">
        <v>1005014.08</v>
      </c>
      <c r="CH106" s="396">
        <f t="shared" si="100"/>
        <v>7375766.3500000006</v>
      </c>
      <c r="CI106" s="396">
        <v>676633.05</v>
      </c>
      <c r="CJ106" s="396">
        <v>776346.52</v>
      </c>
      <c r="CK106" s="396">
        <v>907240.24</v>
      </c>
      <c r="CL106" s="396">
        <v>988747.35</v>
      </c>
      <c r="CM106" s="396">
        <v>957457.88</v>
      </c>
      <c r="CN106" s="396">
        <v>1056999.74</v>
      </c>
      <c r="CO106" s="396">
        <v>1117279.75</v>
      </c>
      <c r="CP106" s="396">
        <v>1190960.3600000001</v>
      </c>
      <c r="CQ106" s="396">
        <v>1217062.6100000001</v>
      </c>
      <c r="CR106" s="396">
        <v>1280034.7</v>
      </c>
      <c r="CS106" s="396">
        <v>1573320.81</v>
      </c>
      <c r="CT106" s="396">
        <v>1535430.4</v>
      </c>
      <c r="CU106" s="396">
        <f t="shared" si="101"/>
        <v>13277513.41</v>
      </c>
      <c r="CV106" s="396">
        <v>1732946.09</v>
      </c>
      <c r="CW106" s="396">
        <v>1730852.64</v>
      </c>
      <c r="CX106" s="934">
        <v>1887838.32</v>
      </c>
      <c r="CY106" s="934">
        <v>1704536.43</v>
      </c>
      <c r="CZ106" s="934">
        <v>1983716.32</v>
      </c>
      <c r="DA106" s="934">
        <v>2363950.3199999998</v>
      </c>
      <c r="DB106" s="767">
        <v>1981834.47</v>
      </c>
      <c r="DC106" s="767">
        <v>2365324.39</v>
      </c>
      <c r="DD106" s="934">
        <v>2361901.75</v>
      </c>
      <c r="DE106" s="934">
        <v>2452103.14</v>
      </c>
      <c r="DF106" s="934">
        <v>1706672.8</v>
      </c>
      <c r="DG106" s="934">
        <v>2559558.7400000002</v>
      </c>
      <c r="DH106" s="396">
        <f t="shared" si="102"/>
        <v>24831235.410000004</v>
      </c>
      <c r="DI106" s="934">
        <v>2691809.35</v>
      </c>
      <c r="DJ106" s="934">
        <v>2578977.2000000002</v>
      </c>
      <c r="DK106" s="934">
        <v>2608617.0499999998</v>
      </c>
      <c r="DL106" s="934">
        <v>2697808.53</v>
      </c>
      <c r="DM106" s="934">
        <v>2879216.51</v>
      </c>
      <c r="DN106" s="934">
        <v>2938656.62</v>
      </c>
      <c r="DO106" s="934">
        <v>2626563.4300000002</v>
      </c>
      <c r="DP106" s="934">
        <v>2862442.51</v>
      </c>
      <c r="DQ106" s="934">
        <v>3059984.85</v>
      </c>
      <c r="DR106" s="934">
        <v>3121912.65</v>
      </c>
      <c r="DS106" s="934"/>
      <c r="DT106" s="934"/>
      <c r="DU106" s="396">
        <f>SUM(DI106:DT106)</f>
        <v>28065988.700000003</v>
      </c>
    </row>
    <row r="107" spans="1:125" ht="12.75" customHeight="1">
      <c r="A107" s="17" t="s">
        <v>121</v>
      </c>
      <c r="B107" s="18">
        <f t="shared" ref="B107:T107" si="104">SUM(B102:B106)</f>
        <v>242185.05999999997</v>
      </c>
      <c r="C107" s="19">
        <f t="shared" si="104"/>
        <v>49354.32</v>
      </c>
      <c r="D107" s="19">
        <f t="shared" si="104"/>
        <v>53273.029999999992</v>
      </c>
      <c r="E107" s="19">
        <f t="shared" si="104"/>
        <v>54637.47</v>
      </c>
      <c r="F107" s="18">
        <f t="shared" si="104"/>
        <v>463154.14</v>
      </c>
      <c r="G107" s="19">
        <f t="shared" si="104"/>
        <v>54492.74</v>
      </c>
      <c r="H107" s="19">
        <f t="shared" si="104"/>
        <v>62816.700000000004</v>
      </c>
      <c r="I107" s="19">
        <f t="shared" si="104"/>
        <v>57044.630000000005</v>
      </c>
      <c r="J107" s="19">
        <f t="shared" si="104"/>
        <v>57177.279999999992</v>
      </c>
      <c r="K107" s="19">
        <f t="shared" si="104"/>
        <v>50826.689999999995</v>
      </c>
      <c r="L107" s="19">
        <f t="shared" si="104"/>
        <v>59217.240000000005</v>
      </c>
      <c r="M107" s="19">
        <f t="shared" si="104"/>
        <v>58619.89</v>
      </c>
      <c r="N107" s="19">
        <f t="shared" si="104"/>
        <v>62204.770000000004</v>
      </c>
      <c r="O107" s="19">
        <f t="shared" si="104"/>
        <v>62128.25</v>
      </c>
      <c r="P107" s="19">
        <f t="shared" si="104"/>
        <v>61559.710000000006</v>
      </c>
      <c r="Q107" s="19">
        <f t="shared" si="104"/>
        <v>35438.730000000003</v>
      </c>
      <c r="R107" s="19">
        <f t="shared" si="104"/>
        <v>63319.55</v>
      </c>
      <c r="S107" s="18">
        <f t="shared" si="104"/>
        <v>684846.17999999993</v>
      </c>
      <c r="T107" s="20">
        <f t="shared" si="104"/>
        <v>63180.619999999995</v>
      </c>
      <c r="U107" s="19">
        <v>70211</v>
      </c>
      <c r="V107" s="19">
        <f t="shared" ref="V107:AE107" si="105">SUM(V102:V106)</f>
        <v>70713.41</v>
      </c>
      <c r="W107" s="19">
        <f t="shared" si="105"/>
        <v>73693.350000000006</v>
      </c>
      <c r="X107" s="19">
        <f t="shared" si="105"/>
        <v>78828.700000000012</v>
      </c>
      <c r="Y107" s="19">
        <f t="shared" si="105"/>
        <v>75522.039999999994</v>
      </c>
      <c r="Z107" s="19">
        <f t="shared" si="105"/>
        <v>82922.049999999988</v>
      </c>
      <c r="AA107" s="19">
        <f t="shared" si="105"/>
        <v>80971.94</v>
      </c>
      <c r="AB107" s="19">
        <f t="shared" si="105"/>
        <v>85181.24</v>
      </c>
      <c r="AC107" s="19">
        <f t="shared" si="105"/>
        <v>83239.819999999992</v>
      </c>
      <c r="AD107" s="19">
        <f t="shared" si="105"/>
        <v>90068.390000000014</v>
      </c>
      <c r="AE107" s="19">
        <f t="shared" si="105"/>
        <v>94053.38</v>
      </c>
      <c r="AF107" s="397">
        <v>948585.94</v>
      </c>
      <c r="AG107" s="19">
        <v>91588.67</v>
      </c>
      <c r="AH107" s="19">
        <v>95761.079999999987</v>
      </c>
      <c r="AI107" s="19">
        <v>113154.35</v>
      </c>
      <c r="AJ107" s="19">
        <v>148112.70000000001</v>
      </c>
      <c r="AK107" s="19">
        <v>118841.70999999999</v>
      </c>
      <c r="AL107" s="19">
        <v>230266.22000000003</v>
      </c>
      <c r="AM107" s="19">
        <v>240865.61</v>
      </c>
      <c r="AN107" s="19">
        <v>272083.38</v>
      </c>
      <c r="AO107" s="19">
        <v>265548.21999999997</v>
      </c>
      <c r="AP107" s="19">
        <v>273186.19999999995</v>
      </c>
      <c r="AQ107" s="19">
        <v>260348.07</v>
      </c>
      <c r="AR107" s="19">
        <v>287751.84999999998</v>
      </c>
      <c r="AS107" s="18">
        <v>2397508.06</v>
      </c>
      <c r="AT107" s="19">
        <v>0</v>
      </c>
      <c r="AU107" s="397">
        <v>2397508.06</v>
      </c>
      <c r="AV107" s="19">
        <v>316129.43</v>
      </c>
      <c r="AW107" s="18">
        <v>315573.22000000003</v>
      </c>
      <c r="AX107" s="18">
        <v>315420.92</v>
      </c>
      <c r="AY107" s="18">
        <v>313531.05</v>
      </c>
      <c r="AZ107" s="18">
        <v>312084.99</v>
      </c>
      <c r="BA107" s="18">
        <v>308778.03000000003</v>
      </c>
      <c r="BB107" s="18">
        <v>315562.61</v>
      </c>
      <c r="BC107" s="18">
        <v>330841.06</v>
      </c>
      <c r="BD107" s="18">
        <v>331489.01</v>
      </c>
      <c r="BE107" s="18">
        <v>342399.85</v>
      </c>
      <c r="BF107" s="18">
        <v>347130.77</v>
      </c>
      <c r="BG107" s="18">
        <v>325463.96000000002</v>
      </c>
      <c r="BH107" s="397">
        <v>3874404.9000000004</v>
      </c>
      <c r="BI107" s="18">
        <f t="shared" ref="BI107:BS107" si="106">SUM(BI102:BI106)</f>
        <v>312694.67</v>
      </c>
      <c r="BJ107" s="18">
        <f t="shared" si="106"/>
        <v>316188.50999999995</v>
      </c>
      <c r="BK107" s="18">
        <f t="shared" si="106"/>
        <v>330099.49</v>
      </c>
      <c r="BL107" s="18">
        <f t="shared" si="106"/>
        <v>327976.33</v>
      </c>
      <c r="BM107" s="18">
        <f t="shared" si="106"/>
        <v>339768.24</v>
      </c>
      <c r="BN107" s="18">
        <f t="shared" si="106"/>
        <v>360408.33999999997</v>
      </c>
      <c r="BO107" s="18">
        <f t="shared" si="106"/>
        <v>436157.3</v>
      </c>
      <c r="BP107" s="18">
        <f t="shared" si="106"/>
        <v>488485.36</v>
      </c>
      <c r="BQ107" s="18">
        <f t="shared" si="106"/>
        <v>511078</v>
      </c>
      <c r="BR107" s="18">
        <f t="shared" si="106"/>
        <v>551725.41999999993</v>
      </c>
      <c r="BS107" s="18">
        <f t="shared" si="106"/>
        <v>496943.52</v>
      </c>
      <c r="BT107" s="18">
        <f>SUM(BT102:BT106)</f>
        <v>757950.91999999993</v>
      </c>
      <c r="BU107" s="397">
        <f t="shared" si="99"/>
        <v>5229476.0999999996</v>
      </c>
      <c r="BV107" s="18">
        <f>SUM(BV102:BV106)</f>
        <v>670558.01</v>
      </c>
      <c r="BW107" s="18">
        <f>SUM(BW102:BW106)</f>
        <v>695822.41</v>
      </c>
      <c r="BX107" s="18">
        <f>SUM(BX102:BX106)</f>
        <v>718062.67</v>
      </c>
      <c r="BY107" s="18">
        <f>SUM(BY102:BY106)</f>
        <v>755992.25</v>
      </c>
      <c r="BZ107" s="18">
        <f>SUM(BZ102:BZ106)</f>
        <v>825071.52</v>
      </c>
      <c r="CA107" s="18">
        <f t="shared" ref="CA107:CS107" si="107">SUM(CA102:CA106)</f>
        <v>862479.67999999993</v>
      </c>
      <c r="CB107" s="18">
        <f t="shared" si="107"/>
        <v>1054615.8</v>
      </c>
      <c r="CC107" s="18">
        <f t="shared" si="107"/>
        <v>1010331.55</v>
      </c>
      <c r="CD107" s="18">
        <f t="shared" si="107"/>
        <v>1206438.03</v>
      </c>
      <c r="CE107" s="18">
        <f t="shared" si="107"/>
        <v>1129835.93</v>
      </c>
      <c r="CF107" s="18">
        <f t="shared" si="107"/>
        <v>1169944.31</v>
      </c>
      <c r="CG107" s="18">
        <f t="shared" si="107"/>
        <v>1455185</v>
      </c>
      <c r="CH107" s="397">
        <f t="shared" si="100"/>
        <v>11554337.16</v>
      </c>
      <c r="CI107" s="18">
        <f t="shared" si="107"/>
        <v>1023169.3200000001</v>
      </c>
      <c r="CJ107" s="18">
        <f t="shared" si="107"/>
        <v>1132882.79</v>
      </c>
      <c r="CK107" s="18">
        <f t="shared" si="107"/>
        <v>1206610.5900000001</v>
      </c>
      <c r="CL107" s="18">
        <f t="shared" si="107"/>
        <v>1301117.75</v>
      </c>
      <c r="CM107" s="18">
        <f t="shared" si="107"/>
        <v>1432520.33</v>
      </c>
      <c r="CN107" s="18">
        <f t="shared" si="107"/>
        <v>1584429.53</v>
      </c>
      <c r="CO107" s="18">
        <f t="shared" si="107"/>
        <v>1634131.2</v>
      </c>
      <c r="CP107" s="18">
        <f t="shared" si="107"/>
        <v>1578353.02</v>
      </c>
      <c r="CQ107" s="18">
        <f t="shared" si="107"/>
        <v>1773852.7000000002</v>
      </c>
      <c r="CR107" s="18">
        <f t="shared" si="107"/>
        <v>1738024.13</v>
      </c>
      <c r="CS107" s="18">
        <f t="shared" si="107"/>
        <v>2023390.05</v>
      </c>
      <c r="CT107" s="18">
        <f>SUM(CT102:CT106)</f>
        <v>2092722.37</v>
      </c>
      <c r="CU107" s="397">
        <f t="shared" si="101"/>
        <v>18521203.780000001</v>
      </c>
      <c r="CV107" s="397">
        <f>SUM(CV102:CV106)</f>
        <v>2185672.14</v>
      </c>
      <c r="CW107" s="397">
        <f t="shared" ref="CW107:DG107" si="108">SUM(CW102:CW106)</f>
        <v>2189484.21</v>
      </c>
      <c r="CX107" s="397">
        <f t="shared" si="108"/>
        <v>2372454.0100000002</v>
      </c>
      <c r="CY107" s="397">
        <f t="shared" si="108"/>
        <v>2182101.9499999997</v>
      </c>
      <c r="CZ107" s="397">
        <f t="shared" si="108"/>
        <v>2514163.48</v>
      </c>
      <c r="DA107" s="397">
        <f t="shared" si="108"/>
        <v>2940193.79</v>
      </c>
      <c r="DB107" s="22">
        <f t="shared" si="108"/>
        <v>2550708.06</v>
      </c>
      <c r="DC107" s="22">
        <f t="shared" si="108"/>
        <v>3107620.04</v>
      </c>
      <c r="DD107" s="22">
        <f t="shared" ref="DD107" si="109">SUM(DD102:DD106)</f>
        <v>3047582.13</v>
      </c>
      <c r="DE107" s="22">
        <f t="shared" si="108"/>
        <v>3026025.5</v>
      </c>
      <c r="DF107" s="22">
        <f t="shared" si="108"/>
        <v>2333782.33</v>
      </c>
      <c r="DG107" s="22">
        <f t="shared" si="108"/>
        <v>3173271.2700000005</v>
      </c>
      <c r="DH107" s="397">
        <f>SUM(CV107:DG107)</f>
        <v>31623058.909999993</v>
      </c>
      <c r="DI107" s="22">
        <f t="shared" ref="DI107:DJ107" si="110">SUM(DI102:DI106)</f>
        <v>3285985.69</v>
      </c>
      <c r="DJ107" s="22">
        <f t="shared" si="110"/>
        <v>3154586.3800000004</v>
      </c>
      <c r="DK107" s="22">
        <f t="shared" ref="DK107:DT107" si="111">SUM(DK102:DK106)</f>
        <v>3212815.04</v>
      </c>
      <c r="DL107" s="22">
        <f t="shared" si="111"/>
        <v>3260913.53</v>
      </c>
      <c r="DM107" s="22">
        <f t="shared" si="111"/>
        <v>3453382.4799999995</v>
      </c>
      <c r="DN107" s="22">
        <f t="shared" si="111"/>
        <v>3495594.5</v>
      </c>
      <c r="DO107" s="22">
        <f t="shared" si="111"/>
        <v>3209393.3200000003</v>
      </c>
      <c r="DP107" s="22">
        <f t="shared" si="111"/>
        <v>3435141.3099999996</v>
      </c>
      <c r="DQ107" s="22">
        <f t="shared" si="111"/>
        <v>3587185.6500000004</v>
      </c>
      <c r="DR107" s="22">
        <f t="shared" si="111"/>
        <v>3678699.6399999997</v>
      </c>
      <c r="DS107" s="22">
        <f t="shared" si="111"/>
        <v>0</v>
      </c>
      <c r="DT107" s="22">
        <f t="shared" si="111"/>
        <v>0</v>
      </c>
      <c r="DU107" s="397">
        <f>SUM(DI107:DT107)</f>
        <v>33773697.539999999</v>
      </c>
    </row>
    <row r="108" spans="1:125" ht="12.75" customHeight="1">
      <c r="A108" s="2"/>
      <c r="B108" s="12"/>
      <c r="C108" s="4"/>
      <c r="D108" s="4"/>
      <c r="E108" s="4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12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396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12"/>
      <c r="AT108" s="12"/>
      <c r="AU108" s="396"/>
      <c r="AV108" s="4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396"/>
      <c r="BI108" s="12"/>
      <c r="BJ108" s="12"/>
      <c r="BK108" s="12"/>
      <c r="BL108" s="12"/>
      <c r="BM108" s="12"/>
      <c r="BN108" s="12"/>
      <c r="BO108" s="12"/>
      <c r="BP108" s="12"/>
      <c r="BQ108" s="15"/>
      <c r="BR108" s="15"/>
      <c r="BS108" s="12"/>
      <c r="BT108" s="396"/>
      <c r="BU108" s="396"/>
      <c r="BV108" s="396"/>
      <c r="BW108" s="12"/>
      <c r="BX108" s="12"/>
      <c r="BY108" s="396"/>
      <c r="BZ108" s="396"/>
      <c r="CA108" s="396"/>
      <c r="CB108" s="396"/>
      <c r="CC108" s="396"/>
      <c r="CD108" s="396"/>
      <c r="CE108" s="396"/>
      <c r="CF108" s="396"/>
      <c r="CG108" s="396"/>
      <c r="CH108" s="396"/>
      <c r="CI108" s="396"/>
      <c r="CJ108" s="396"/>
      <c r="CK108" s="396"/>
      <c r="CL108" s="396"/>
      <c r="CM108" s="396"/>
      <c r="CN108" s="396"/>
      <c r="CO108" s="396"/>
      <c r="CP108" s="396"/>
      <c r="CQ108" s="396"/>
      <c r="CR108" s="396"/>
      <c r="CS108" s="396"/>
      <c r="CT108" s="396"/>
      <c r="CU108" s="396"/>
      <c r="CV108" s="396"/>
      <c r="CW108" s="396"/>
      <c r="CX108" s="934"/>
      <c r="CY108" s="934"/>
      <c r="CZ108" s="934"/>
      <c r="DA108" s="934"/>
      <c r="DB108" s="767"/>
      <c r="DC108" s="767"/>
      <c r="DD108" s="934"/>
      <c r="DE108" s="934"/>
      <c r="DF108" s="934"/>
      <c r="DG108" s="934"/>
      <c r="DH108" s="396"/>
      <c r="DI108" s="934"/>
      <c r="DJ108" s="934"/>
      <c r="DK108" s="934"/>
      <c r="DL108" s="934"/>
      <c r="DM108" s="934"/>
      <c r="DN108" s="934"/>
      <c r="DO108" s="934"/>
      <c r="DP108" s="934"/>
      <c r="DQ108" s="934"/>
      <c r="DR108" s="934"/>
      <c r="DS108" s="934"/>
      <c r="DT108" s="934"/>
      <c r="DU108" s="396"/>
    </row>
    <row r="109" spans="1:125" ht="12.75" hidden="1" customHeight="1" outlineLevel="1">
      <c r="A109" s="13" t="s">
        <v>122</v>
      </c>
      <c r="B109" s="12"/>
      <c r="C109" s="4"/>
      <c r="D109" s="4"/>
      <c r="E109" s="4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12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396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12"/>
      <c r="AT109" s="12"/>
      <c r="AU109" s="396"/>
      <c r="AV109" s="4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396"/>
      <c r="BI109" s="12"/>
      <c r="BJ109" s="12"/>
      <c r="BK109" s="12"/>
      <c r="BL109" s="12"/>
      <c r="BM109" s="12"/>
      <c r="BN109" s="12"/>
      <c r="BO109" s="12"/>
      <c r="BP109" s="12"/>
      <c r="BQ109" s="15"/>
      <c r="BR109" s="15"/>
      <c r="BS109" s="12"/>
      <c r="BT109" s="396"/>
      <c r="BU109" s="396"/>
      <c r="BV109" s="396"/>
      <c r="BW109" s="12"/>
      <c r="BX109" s="12"/>
      <c r="BY109" s="396"/>
      <c r="BZ109" s="396"/>
      <c r="CA109" s="396"/>
      <c r="CB109" s="396"/>
      <c r="CC109" s="396"/>
      <c r="CD109" s="396"/>
      <c r="CE109" s="396"/>
      <c r="CF109" s="396"/>
      <c r="CG109" s="396"/>
      <c r="CH109" s="396"/>
      <c r="CI109" s="396"/>
      <c r="CJ109" s="396"/>
      <c r="CK109" s="396"/>
      <c r="CL109" s="396"/>
      <c r="CM109" s="396"/>
      <c r="CN109" s="396"/>
      <c r="CO109" s="396"/>
      <c r="CP109" s="396"/>
      <c r="CQ109" s="396"/>
      <c r="CR109" s="396"/>
      <c r="CS109" s="396"/>
      <c r="CT109" s="396"/>
      <c r="CU109" s="396"/>
      <c r="CV109" s="396"/>
      <c r="CW109" s="396"/>
      <c r="CX109" s="934"/>
      <c r="CY109" s="934"/>
      <c r="CZ109" s="934"/>
      <c r="DA109" s="934"/>
      <c r="DB109" s="767"/>
      <c r="DC109" s="767"/>
      <c r="DD109" s="934"/>
      <c r="DE109" s="934"/>
      <c r="DF109" s="934"/>
      <c r="DG109" s="934"/>
      <c r="DH109" s="396"/>
      <c r="DI109" s="934"/>
      <c r="DJ109" s="934"/>
      <c r="DK109" s="934"/>
      <c r="DL109" s="934"/>
      <c r="DM109" s="934"/>
      <c r="DN109" s="934"/>
      <c r="DO109" s="934"/>
      <c r="DP109" s="934"/>
      <c r="DQ109" s="934"/>
      <c r="DR109" s="934"/>
      <c r="DS109" s="934"/>
      <c r="DT109" s="934"/>
      <c r="DU109" s="396"/>
    </row>
    <row r="110" spans="1:125" ht="12.75" hidden="1" customHeight="1" outlineLevel="1">
      <c r="A110" s="14" t="s">
        <v>123</v>
      </c>
      <c r="B110" s="12">
        <v>8584.08</v>
      </c>
      <c r="C110" s="4">
        <v>0</v>
      </c>
      <c r="D110" s="4">
        <v>7641.96</v>
      </c>
      <c r="E110" s="4">
        <v>1733.03</v>
      </c>
      <c r="F110" s="12">
        <v>36961.040000000001</v>
      </c>
      <c r="G110" s="4">
        <v>12457.71</v>
      </c>
      <c r="H110" s="4">
        <v>0</v>
      </c>
      <c r="I110" s="4">
        <v>210</v>
      </c>
      <c r="J110" s="4">
        <f>672+653.78</f>
        <v>1325.78</v>
      </c>
      <c r="K110" s="4">
        <v>0</v>
      </c>
      <c r="L110" s="4">
        <v>3180.18</v>
      </c>
      <c r="M110" s="4">
        <v>2995</v>
      </c>
      <c r="N110" s="4">
        <v>17689.689999999999</v>
      </c>
      <c r="O110" s="4">
        <v>20555.64</v>
      </c>
      <c r="P110" s="4">
        <v>0</v>
      </c>
      <c r="Q110" s="4">
        <v>20649.419999999998</v>
      </c>
      <c r="R110" s="4">
        <v>0</v>
      </c>
      <c r="S110" s="12">
        <v>79063.42</v>
      </c>
      <c r="T110" s="4">
        <v>0</v>
      </c>
      <c r="U110" s="4">
        <v>0</v>
      </c>
      <c r="V110" s="4">
        <v>0</v>
      </c>
      <c r="W110" s="4">
        <v>814</v>
      </c>
      <c r="X110" s="4">
        <v>690.7</v>
      </c>
      <c r="Y110" s="4">
        <v>0</v>
      </c>
      <c r="Z110" s="4">
        <v>2520.08</v>
      </c>
      <c r="AA110" s="4">
        <v>0</v>
      </c>
      <c r="AB110" s="4">
        <v>262</v>
      </c>
      <c r="AC110" s="4">
        <v>26383.77</v>
      </c>
      <c r="AD110" s="4">
        <v>30785.87</v>
      </c>
      <c r="AE110" s="4">
        <v>14013.82</v>
      </c>
      <c r="AF110" s="396">
        <v>75470.239999999991</v>
      </c>
      <c r="AG110" s="4">
        <v>0</v>
      </c>
      <c r="AH110" s="4">
        <v>0</v>
      </c>
      <c r="AI110" s="4">
        <v>7010.72</v>
      </c>
      <c r="AJ110" s="4">
        <v>2323</v>
      </c>
      <c r="AK110" s="4">
        <v>12701.54</v>
      </c>
      <c r="AL110" s="4">
        <v>3734.08</v>
      </c>
      <c r="AM110" s="4">
        <v>0</v>
      </c>
      <c r="AN110" s="4">
        <v>36055.35</v>
      </c>
      <c r="AO110" s="4">
        <v>25270.3</v>
      </c>
      <c r="AP110" s="4">
        <v>0</v>
      </c>
      <c r="AQ110" s="4">
        <v>0</v>
      </c>
      <c r="AR110" s="4">
        <v>9068.94</v>
      </c>
      <c r="AS110" s="12">
        <v>96163.930000000008</v>
      </c>
      <c r="AT110" s="12"/>
      <c r="AU110" s="396">
        <v>96163.930000000008</v>
      </c>
      <c r="AV110" s="4">
        <v>0</v>
      </c>
      <c r="AW110" s="12">
        <v>0</v>
      </c>
      <c r="AX110" s="12">
        <v>23831.85</v>
      </c>
      <c r="AY110" s="12">
        <v>0</v>
      </c>
      <c r="AZ110" s="12">
        <v>0</v>
      </c>
      <c r="BA110" s="12">
        <v>0</v>
      </c>
      <c r="BB110" s="12">
        <v>3977.91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396">
        <v>27809.759999999998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5">
        <v>18304</v>
      </c>
      <c r="BR110" s="15">
        <v>0</v>
      </c>
      <c r="BS110" s="12">
        <v>0</v>
      </c>
      <c r="BT110" s="396">
        <v>44758.42</v>
      </c>
      <c r="BU110" s="396">
        <f>SUM(BI110:BT110)</f>
        <v>63062.42</v>
      </c>
      <c r="BV110" s="396">
        <v>0</v>
      </c>
      <c r="BW110" s="12">
        <v>10281.981</v>
      </c>
      <c r="BX110" s="12">
        <v>14912.79</v>
      </c>
      <c r="BY110" s="396">
        <v>13850</v>
      </c>
      <c r="BZ110" s="396">
        <v>10347.07</v>
      </c>
      <c r="CA110" s="396">
        <v>59106.97</v>
      </c>
      <c r="CB110" s="396">
        <v>59106.98</v>
      </c>
      <c r="CC110" s="396">
        <v>5456</v>
      </c>
      <c r="CD110" s="396">
        <v>17650.599999999999</v>
      </c>
      <c r="CE110" s="396">
        <v>6724</v>
      </c>
      <c r="CF110" s="396">
        <v>0</v>
      </c>
      <c r="CG110" s="396">
        <v>158328.93</v>
      </c>
      <c r="CH110" s="396">
        <f>SUM(BV110:CG110)</f>
        <v>355765.321</v>
      </c>
      <c r="CI110" s="396">
        <v>4903.5600000000004</v>
      </c>
      <c r="CJ110" s="396">
        <v>0</v>
      </c>
      <c r="CK110" s="396">
        <v>0</v>
      </c>
      <c r="CL110" s="396">
        <v>0</v>
      </c>
      <c r="CM110" s="396">
        <v>0</v>
      </c>
      <c r="CN110" s="396">
        <v>52298.36</v>
      </c>
      <c r="CO110" s="396">
        <v>13269</v>
      </c>
      <c r="CP110" s="396">
        <v>19692.98</v>
      </c>
      <c r="CQ110" s="396">
        <v>119156.2</v>
      </c>
      <c r="CR110" s="396">
        <v>226670.65</v>
      </c>
      <c r="CS110" s="396">
        <v>67845.2</v>
      </c>
      <c r="CT110" s="396">
        <v>26054.66</v>
      </c>
      <c r="CU110" s="396">
        <f>SUM(CI110:CT110)</f>
        <v>529890.61</v>
      </c>
      <c r="CV110" s="396"/>
      <c r="CW110" s="396"/>
      <c r="CX110" s="934"/>
      <c r="CY110" s="934"/>
      <c r="CZ110" s="934"/>
      <c r="DA110" s="934"/>
      <c r="DB110" s="767"/>
      <c r="DC110" s="767"/>
      <c r="DD110" s="934"/>
      <c r="DE110" s="934"/>
      <c r="DF110" s="934"/>
      <c r="DG110" s="934"/>
      <c r="DH110" s="396">
        <f>SUM(CV110:DG110)</f>
        <v>0</v>
      </c>
      <c r="DI110" s="934">
        <v>0</v>
      </c>
      <c r="DJ110" s="934">
        <v>0</v>
      </c>
      <c r="DK110" s="934">
        <v>0</v>
      </c>
      <c r="DL110" s="934"/>
      <c r="DM110" s="934"/>
      <c r="DN110" s="934"/>
      <c r="DO110" s="934"/>
      <c r="DP110" s="934"/>
      <c r="DQ110" s="934"/>
      <c r="DR110" s="934"/>
      <c r="DS110" s="934"/>
      <c r="DT110" s="934"/>
      <c r="DU110" s="396">
        <f>SUM(DI110:DT110)</f>
        <v>0</v>
      </c>
    </row>
    <row r="111" spans="1:125" ht="12.75" customHeight="1" collapsed="1">
      <c r="A111" s="17" t="s">
        <v>124</v>
      </c>
      <c r="B111" s="18">
        <f t="shared" ref="B111:S111" si="112">SUM(B110)</f>
        <v>8584.08</v>
      </c>
      <c r="C111" s="19">
        <f t="shared" si="112"/>
        <v>0</v>
      </c>
      <c r="D111" s="19">
        <f t="shared" si="112"/>
        <v>7641.96</v>
      </c>
      <c r="E111" s="19">
        <f t="shared" si="112"/>
        <v>1733.03</v>
      </c>
      <c r="F111" s="18">
        <f t="shared" si="112"/>
        <v>36961.040000000001</v>
      </c>
      <c r="G111" s="19">
        <f t="shared" si="112"/>
        <v>12457.71</v>
      </c>
      <c r="H111" s="19">
        <f t="shared" si="112"/>
        <v>0</v>
      </c>
      <c r="I111" s="19">
        <f t="shared" si="112"/>
        <v>210</v>
      </c>
      <c r="J111" s="19">
        <f t="shared" si="112"/>
        <v>1325.78</v>
      </c>
      <c r="K111" s="19">
        <f t="shared" si="112"/>
        <v>0</v>
      </c>
      <c r="L111" s="19">
        <f t="shared" si="112"/>
        <v>3180.18</v>
      </c>
      <c r="M111" s="19">
        <f t="shared" si="112"/>
        <v>2995</v>
      </c>
      <c r="N111" s="19">
        <f t="shared" si="112"/>
        <v>17689.689999999999</v>
      </c>
      <c r="O111" s="19">
        <f t="shared" si="112"/>
        <v>20555.64</v>
      </c>
      <c r="P111" s="19">
        <f t="shared" si="112"/>
        <v>0</v>
      </c>
      <c r="Q111" s="19">
        <f t="shared" si="112"/>
        <v>20649.419999999998</v>
      </c>
      <c r="R111" s="19">
        <f t="shared" si="112"/>
        <v>0</v>
      </c>
      <c r="S111" s="18">
        <f t="shared" si="112"/>
        <v>79063.42</v>
      </c>
      <c r="T111" s="27">
        <v>0</v>
      </c>
      <c r="U111" s="19">
        <v>0</v>
      </c>
      <c r="V111" s="19">
        <v>0</v>
      </c>
      <c r="W111" s="19">
        <f>+W110</f>
        <v>814</v>
      </c>
      <c r="X111" s="19">
        <f>SUM(X110)</f>
        <v>690.7</v>
      </c>
      <c r="Y111" s="19">
        <v>0</v>
      </c>
      <c r="Z111" s="19">
        <f t="shared" ref="Z111:AE111" si="113">SUM(Z110)</f>
        <v>2520.08</v>
      </c>
      <c r="AA111" s="19">
        <f t="shared" si="113"/>
        <v>0</v>
      </c>
      <c r="AB111" s="19">
        <f t="shared" si="113"/>
        <v>262</v>
      </c>
      <c r="AC111" s="19">
        <f t="shared" si="113"/>
        <v>26383.77</v>
      </c>
      <c r="AD111" s="19">
        <f t="shared" si="113"/>
        <v>30785.87</v>
      </c>
      <c r="AE111" s="19">
        <f t="shared" si="113"/>
        <v>14013.82</v>
      </c>
      <c r="AF111" s="397">
        <v>75470.239999999991</v>
      </c>
      <c r="AG111" s="19">
        <v>0</v>
      </c>
      <c r="AH111" s="19">
        <v>0</v>
      </c>
      <c r="AI111" s="19">
        <v>7010.72</v>
      </c>
      <c r="AJ111" s="19">
        <v>2323</v>
      </c>
      <c r="AK111" s="19">
        <v>12701.54</v>
      </c>
      <c r="AL111" s="19">
        <v>3734.08</v>
      </c>
      <c r="AM111" s="19">
        <v>0</v>
      </c>
      <c r="AN111" s="19">
        <v>36055.35</v>
      </c>
      <c r="AO111" s="19">
        <v>25270.3</v>
      </c>
      <c r="AP111" s="19">
        <v>0</v>
      </c>
      <c r="AQ111" s="19">
        <v>0</v>
      </c>
      <c r="AR111" s="19">
        <v>9068.94</v>
      </c>
      <c r="AS111" s="18">
        <v>96163.930000000008</v>
      </c>
      <c r="AT111" s="19">
        <v>0</v>
      </c>
      <c r="AU111" s="397">
        <v>96163.930000000008</v>
      </c>
      <c r="AV111" s="18">
        <v>0</v>
      </c>
      <c r="AW111" s="18">
        <v>0</v>
      </c>
      <c r="AX111" s="18">
        <v>23831.85</v>
      </c>
      <c r="AY111" s="18">
        <v>0</v>
      </c>
      <c r="AZ111" s="18">
        <v>0</v>
      </c>
      <c r="BA111" s="18">
        <v>0</v>
      </c>
      <c r="BB111" s="18">
        <v>3977.91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397">
        <v>27809.759999999998</v>
      </c>
      <c r="BI111" s="18">
        <f t="shared" ref="BI111:BV111" si="114">BI110</f>
        <v>0</v>
      </c>
      <c r="BJ111" s="18">
        <f t="shared" si="114"/>
        <v>0</v>
      </c>
      <c r="BK111" s="18">
        <f t="shared" si="114"/>
        <v>0</v>
      </c>
      <c r="BL111" s="18">
        <f t="shared" si="114"/>
        <v>0</v>
      </c>
      <c r="BM111" s="18">
        <f t="shared" si="114"/>
        <v>0</v>
      </c>
      <c r="BN111" s="18">
        <f t="shared" si="114"/>
        <v>0</v>
      </c>
      <c r="BO111" s="18">
        <f t="shared" si="114"/>
        <v>0</v>
      </c>
      <c r="BP111" s="18">
        <f t="shared" si="114"/>
        <v>0</v>
      </c>
      <c r="BQ111" s="22">
        <f t="shared" si="114"/>
        <v>18304</v>
      </c>
      <c r="BR111" s="22">
        <f t="shared" si="114"/>
        <v>0</v>
      </c>
      <c r="BS111" s="18">
        <f t="shared" si="114"/>
        <v>0</v>
      </c>
      <c r="BT111" s="18">
        <f t="shared" si="114"/>
        <v>44758.42</v>
      </c>
      <c r="BU111" s="397">
        <f>SUM(BI111:BT111)</f>
        <v>63062.42</v>
      </c>
      <c r="BV111" s="18">
        <f t="shared" si="114"/>
        <v>0</v>
      </c>
      <c r="BW111" s="18">
        <f>BW110</f>
        <v>10281.981</v>
      </c>
      <c r="BX111" s="18">
        <f>BX110</f>
        <v>14912.79</v>
      </c>
      <c r="BY111" s="18">
        <f>BY110</f>
        <v>13850</v>
      </c>
      <c r="BZ111" s="18">
        <f>BZ110</f>
        <v>10347.07</v>
      </c>
      <c r="CA111" s="18">
        <f t="shared" ref="CA111:CT111" si="115">CA110</f>
        <v>59106.97</v>
      </c>
      <c r="CB111" s="18">
        <f t="shared" si="115"/>
        <v>59106.98</v>
      </c>
      <c r="CC111" s="18">
        <f t="shared" si="115"/>
        <v>5456</v>
      </c>
      <c r="CD111" s="18">
        <f t="shared" si="115"/>
        <v>17650.599999999999</v>
      </c>
      <c r="CE111" s="18">
        <f t="shared" si="115"/>
        <v>6724</v>
      </c>
      <c r="CF111" s="18">
        <f t="shared" si="115"/>
        <v>0</v>
      </c>
      <c r="CG111" s="18">
        <f t="shared" si="115"/>
        <v>158328.93</v>
      </c>
      <c r="CH111" s="397">
        <f>SUM(BV111:CG111)</f>
        <v>355765.321</v>
      </c>
      <c r="CI111" s="18">
        <f t="shared" si="115"/>
        <v>4903.5600000000004</v>
      </c>
      <c r="CJ111" s="18">
        <f t="shared" si="115"/>
        <v>0</v>
      </c>
      <c r="CK111" s="18">
        <f t="shared" si="115"/>
        <v>0</v>
      </c>
      <c r="CL111" s="18">
        <f t="shared" si="115"/>
        <v>0</v>
      </c>
      <c r="CM111" s="18">
        <f t="shared" si="115"/>
        <v>0</v>
      </c>
      <c r="CN111" s="18">
        <f t="shared" si="115"/>
        <v>52298.36</v>
      </c>
      <c r="CO111" s="18">
        <f t="shared" si="115"/>
        <v>13269</v>
      </c>
      <c r="CP111" s="18">
        <f t="shared" si="115"/>
        <v>19692.98</v>
      </c>
      <c r="CQ111" s="18">
        <f t="shared" si="115"/>
        <v>119156.2</v>
      </c>
      <c r="CR111" s="18">
        <f t="shared" si="115"/>
        <v>226670.65</v>
      </c>
      <c r="CS111" s="18">
        <f t="shared" si="115"/>
        <v>67845.2</v>
      </c>
      <c r="CT111" s="18">
        <f t="shared" si="115"/>
        <v>26054.66</v>
      </c>
      <c r="CU111" s="397">
        <f>SUM(CI111:CT111)</f>
        <v>529890.61</v>
      </c>
      <c r="CV111" s="397">
        <f>CV110</f>
        <v>0</v>
      </c>
      <c r="CW111" s="397"/>
      <c r="CX111" s="982"/>
      <c r="CY111" s="982"/>
      <c r="CZ111" s="982"/>
      <c r="DA111" s="982"/>
      <c r="DB111" s="983"/>
      <c r="DC111" s="983"/>
      <c r="DD111" s="982"/>
      <c r="DE111" s="982"/>
      <c r="DF111" s="982"/>
      <c r="DG111" s="982"/>
      <c r="DH111" s="397">
        <f>SUM(CV111:DG111)</f>
        <v>0</v>
      </c>
      <c r="DI111" s="397">
        <f>SUM(CW111:DH111)</f>
        <v>0</v>
      </c>
      <c r="DJ111" s="397">
        <f>SUM(CX111:DI111)</f>
        <v>0</v>
      </c>
      <c r="DK111" s="397">
        <f>SUM(CY111:DJ111)</f>
        <v>0</v>
      </c>
      <c r="DL111" s="982">
        <v>0</v>
      </c>
      <c r="DM111" s="982">
        <v>0</v>
      </c>
      <c r="DN111" s="982">
        <v>0</v>
      </c>
      <c r="DO111" s="982"/>
      <c r="DP111" s="982"/>
      <c r="DQ111" s="982"/>
      <c r="DR111" s="982"/>
      <c r="DS111" s="982"/>
      <c r="DT111" s="982"/>
      <c r="DU111" s="397">
        <f>SUM(DI111:DT111)</f>
        <v>0</v>
      </c>
    </row>
    <row r="112" spans="1:125" ht="12.75" customHeight="1">
      <c r="A112" s="2"/>
      <c r="B112" s="12"/>
      <c r="C112" s="4"/>
      <c r="D112" s="4"/>
      <c r="E112" s="4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12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396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12"/>
      <c r="AT112" s="12"/>
      <c r="AU112" s="396"/>
      <c r="AV112" s="4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396"/>
      <c r="BI112" s="12"/>
      <c r="BJ112" s="12"/>
      <c r="BK112" s="12"/>
      <c r="BL112" s="12"/>
      <c r="BM112" s="12"/>
      <c r="BN112" s="12"/>
      <c r="BO112" s="12"/>
      <c r="BP112" s="12"/>
      <c r="BQ112" s="15"/>
      <c r="BR112" s="15"/>
      <c r="BS112" s="12"/>
      <c r="BT112" s="396"/>
      <c r="BU112" s="396"/>
      <c r="BV112" s="396"/>
      <c r="BW112" s="12"/>
      <c r="BX112" s="12"/>
      <c r="BY112" s="396"/>
      <c r="BZ112" s="396"/>
      <c r="CA112" s="396"/>
      <c r="CB112" s="396"/>
      <c r="CC112" s="396"/>
      <c r="CD112" s="396"/>
      <c r="CE112" s="396"/>
      <c r="CF112" s="396"/>
      <c r="CG112" s="396"/>
      <c r="CH112" s="396"/>
      <c r="CI112" s="396"/>
      <c r="CJ112" s="396"/>
      <c r="CK112" s="396"/>
      <c r="CL112" s="396"/>
      <c r="CM112" s="396"/>
      <c r="CN112" s="396"/>
      <c r="CO112" s="396"/>
      <c r="CP112" s="396"/>
      <c r="CQ112" s="396"/>
      <c r="CR112" s="396"/>
      <c r="CS112" s="396"/>
      <c r="CT112" s="396"/>
      <c r="CU112" s="396"/>
      <c r="CV112" s="396"/>
      <c r="CW112" s="396"/>
      <c r="CX112" s="934"/>
      <c r="CY112" s="934"/>
      <c r="CZ112" s="934"/>
      <c r="DA112" s="934"/>
      <c r="DB112" s="767"/>
      <c r="DC112" s="767"/>
      <c r="DD112" s="934"/>
      <c r="DE112" s="934"/>
      <c r="DF112" s="934"/>
      <c r="DG112" s="934"/>
      <c r="DH112" s="396"/>
      <c r="DI112" s="934"/>
      <c r="DJ112" s="934"/>
      <c r="DK112" s="934"/>
      <c r="DL112" s="934"/>
      <c r="DM112" s="934"/>
      <c r="DN112" s="934"/>
      <c r="DO112" s="934"/>
      <c r="DP112" s="934"/>
      <c r="DQ112" s="934"/>
      <c r="DR112" s="934"/>
      <c r="DS112" s="934"/>
      <c r="DT112" s="934"/>
      <c r="DU112" s="396"/>
    </row>
    <row r="113" spans="1:126" ht="12.75" customHeight="1" thickBot="1">
      <c r="A113" s="29" t="s">
        <v>726</v>
      </c>
      <c r="B113" s="30">
        <f t="shared" ref="B113:T113" si="116">(0+(0)+(B80)+(B92)+(B99)+(B107)+(B111))-(0)</f>
        <v>895320.15999999992</v>
      </c>
      <c r="C113" s="31">
        <f t="shared" si="116"/>
        <v>510306.88999999996</v>
      </c>
      <c r="D113" s="31">
        <f t="shared" si="116"/>
        <v>338413.18</v>
      </c>
      <c r="E113" s="31">
        <f t="shared" si="116"/>
        <v>376285.16000000003</v>
      </c>
      <c r="F113" s="30">
        <f t="shared" si="116"/>
        <v>3455838.5000000005</v>
      </c>
      <c r="G113" s="31">
        <f t="shared" si="116"/>
        <v>476924.93</v>
      </c>
      <c r="H113" s="31">
        <f t="shared" si="116"/>
        <v>624796.49</v>
      </c>
      <c r="I113" s="31">
        <f t="shared" si="116"/>
        <v>510908.88</v>
      </c>
      <c r="J113" s="31">
        <f t="shared" si="116"/>
        <v>507103.01</v>
      </c>
      <c r="K113" s="31">
        <f t="shared" si="116"/>
        <v>658069.97</v>
      </c>
      <c r="L113" s="31">
        <f t="shared" si="116"/>
        <v>534191.26</v>
      </c>
      <c r="M113" s="31">
        <f t="shared" si="116"/>
        <v>466827.98000000004</v>
      </c>
      <c r="N113" s="31">
        <f t="shared" si="116"/>
        <v>533254.99</v>
      </c>
      <c r="O113" s="31">
        <f t="shared" si="116"/>
        <v>553792.02</v>
      </c>
      <c r="P113" s="31">
        <f t="shared" si="116"/>
        <v>485852.24000000005</v>
      </c>
      <c r="Q113" s="31">
        <f t="shared" si="116"/>
        <v>503922.44999999995</v>
      </c>
      <c r="R113" s="31">
        <f t="shared" si="116"/>
        <v>635103.93000000005</v>
      </c>
      <c r="S113" s="30">
        <f t="shared" si="116"/>
        <v>6490748.209999999</v>
      </c>
      <c r="T113" s="32">
        <f t="shared" si="116"/>
        <v>683825.89</v>
      </c>
      <c r="U113" s="31">
        <v>699642</v>
      </c>
      <c r="V113" s="31">
        <f>+V107+V99+V92+V80</f>
        <v>726650.71</v>
      </c>
      <c r="W113" s="31">
        <f t="shared" ref="W113:AF113" si="117">+W111+W107+W99+W92+W80</f>
        <v>759114.38</v>
      </c>
      <c r="X113" s="31">
        <f t="shared" si="117"/>
        <v>778199.89999999991</v>
      </c>
      <c r="Y113" s="31">
        <f t="shared" si="117"/>
        <v>848683.44000000006</v>
      </c>
      <c r="Z113" s="31">
        <f t="shared" si="117"/>
        <v>959215.94</v>
      </c>
      <c r="AA113" s="31">
        <f t="shared" si="117"/>
        <v>1086449.92</v>
      </c>
      <c r="AB113" s="31">
        <f t="shared" si="117"/>
        <v>1234889.52</v>
      </c>
      <c r="AC113" s="31">
        <f t="shared" si="117"/>
        <v>1122582.42</v>
      </c>
      <c r="AD113" s="31">
        <f t="shared" si="117"/>
        <v>1168428.7</v>
      </c>
      <c r="AE113" s="31">
        <f t="shared" si="117"/>
        <v>1370516.6199999999</v>
      </c>
      <c r="AF113" s="454">
        <f t="shared" si="117"/>
        <v>11438200.439999999</v>
      </c>
      <c r="AG113" s="31">
        <v>1362386.48</v>
      </c>
      <c r="AH113" s="31">
        <v>1570994.23</v>
      </c>
      <c r="AI113" s="31">
        <v>1646517.33</v>
      </c>
      <c r="AJ113" s="31">
        <v>1704874.8900000001</v>
      </c>
      <c r="AK113" s="31">
        <v>3195549.12</v>
      </c>
      <c r="AL113" s="31">
        <v>2704936.3000000003</v>
      </c>
      <c r="AM113" s="31">
        <v>2539616.77</v>
      </c>
      <c r="AN113" s="31">
        <v>3273848.81</v>
      </c>
      <c r="AO113" s="31">
        <v>4091586.9399999995</v>
      </c>
      <c r="AP113" s="31">
        <v>3886237.8099999996</v>
      </c>
      <c r="AQ113" s="31">
        <v>3876124.69</v>
      </c>
      <c r="AR113" s="31">
        <v>4824519.8099999996</v>
      </c>
      <c r="AS113" s="30">
        <v>34677193.18</v>
      </c>
      <c r="AT113" s="31">
        <v>-1211435.3799999999</v>
      </c>
      <c r="AU113" s="454">
        <v>33465757.800000001</v>
      </c>
      <c r="AV113" s="31">
        <v>4174848.5100000002</v>
      </c>
      <c r="AW113" s="30">
        <v>2596896.64</v>
      </c>
      <c r="AX113" s="30">
        <v>2567545.0100000002</v>
      </c>
      <c r="AY113" s="30">
        <v>2376478.6800000002</v>
      </c>
      <c r="AZ113" s="30">
        <v>2821093.6900000004</v>
      </c>
      <c r="BA113" s="30">
        <v>3091741.8000000007</v>
      </c>
      <c r="BB113" s="30">
        <v>3400070.5100000002</v>
      </c>
      <c r="BC113" s="30">
        <v>3580080.52</v>
      </c>
      <c r="BD113" s="30">
        <v>4002062.6799999997</v>
      </c>
      <c r="BE113" s="30">
        <v>3598652.0900000003</v>
      </c>
      <c r="BF113" s="30">
        <v>3622082.19</v>
      </c>
      <c r="BG113" s="30">
        <v>4400896.7</v>
      </c>
      <c r="BH113" s="454">
        <v>40232449.020000003</v>
      </c>
      <c r="BI113" s="30">
        <f>(0+(0)+('P&amp;L -Dec25'!BI80)+('P&amp;L -Dec25'!BI92)+('P&amp;L -Dec25'!BI99)+('P&amp;L -Dec25'!BI107))-(0)+BI111</f>
        <v>5790286.0399999991</v>
      </c>
      <c r="BJ113" s="30">
        <f>(0+(0)+('P&amp;L -Dec25'!BJ80)+('P&amp;L -Dec25'!BJ92)+('P&amp;L -Dec25'!BJ99)+('P&amp;L -Dec25'!BJ107))-(0)+BJ111</f>
        <v>5301526.1399999997</v>
      </c>
      <c r="BK113" s="30">
        <f>(0+(0)+('P&amp;L -Dec25'!BK80)+('P&amp;L -Dec25'!BK92)+('P&amp;L -Dec25'!BK99)+('P&amp;L -Dec25'!BK107))-(0)+BK111</f>
        <v>5735018.9800000004</v>
      </c>
      <c r="BL113" s="30">
        <f>(0+(0)+('P&amp;L -Dec25'!BL80)+('P&amp;L -Dec25'!BL92)+('P&amp;L -Dec25'!BL99)+('P&amp;L -Dec25'!BL107))-(0)+BL111</f>
        <v>5614164.4000000004</v>
      </c>
      <c r="BM113" s="30">
        <f>(0+(0)+('P&amp;L -Dec25'!BM80)+('P&amp;L -Dec25'!BM92)+('P&amp;L -Dec25'!BM99)+('P&amp;L -Dec25'!BM107))-(0)+BM111</f>
        <v>6657477.1799999997</v>
      </c>
      <c r="BN113" s="30">
        <f>(0+(0)+('P&amp;L -Dec25'!BN80)+('P&amp;L -Dec25'!BN92)+('P&amp;L -Dec25'!BN99)+('P&amp;L -Dec25'!BN107))-(0)+BN111</f>
        <v>7051722.1400000006</v>
      </c>
      <c r="BO113" s="30">
        <f>(0+(0)+('P&amp;L -Dec25'!BO80)+('P&amp;L -Dec25'!BO92)+('P&amp;L -Dec25'!BO99)+('P&amp;L -Dec25'!BO107))-(0)+BO111</f>
        <v>7736473.7699999986</v>
      </c>
      <c r="BP113" s="30">
        <f>(0+(0)+('P&amp;L -Dec25'!BP80)+('P&amp;L -Dec25'!BP92)+('P&amp;L -Dec25'!BP99)+('P&amp;L -Dec25'!BP107))-(0)+BP111</f>
        <v>8173804.6299999999</v>
      </c>
      <c r="BQ113" s="35">
        <f>(0+(0)+('P&amp;L -Dec25'!BQ80)+('P&amp;L -Dec25'!BQ92)+('P&amp;L -Dec25'!BQ99)+('P&amp;L -Dec25'!BQ107))-(0)+BQ111</f>
        <v>8490587</v>
      </c>
      <c r="BR113" s="35">
        <f>(0+(0)+('P&amp;L -Dec25'!BR80)+('P&amp;L -Dec25'!BR92)+('P&amp;L -Dec25'!BR99)+('P&amp;L -Dec25'!BR107))-(0)+BR111</f>
        <v>7385426.4199999999</v>
      </c>
      <c r="BS113" s="30">
        <f>(0+(0)+('P&amp;L -Dec25'!BS80)+('P&amp;L -Dec25'!BS92)+('P&amp;L -Dec25'!BS99)+('P&amp;L -Dec25'!BS107))-(0)+BS111</f>
        <v>7646608.9499999993</v>
      </c>
      <c r="BT113" s="30">
        <f>(0+(0)+('P&amp;L -Dec25'!BT80)+('P&amp;L -Dec25'!BT92)+('P&amp;L -Dec25'!BT99)+('P&amp;L -Dec25'!BT107))-(0)+BT111</f>
        <v>9764382.4100000001</v>
      </c>
      <c r="BU113" s="454">
        <f>SUM(BI113:BT113)</f>
        <v>85347478.060000002</v>
      </c>
      <c r="BV113" s="30">
        <f>(0+(0)+('P&amp;L -Dec25'!BV80)+('P&amp;L -Dec25'!BV92)+('P&amp;L -Dec25'!BV99)+('P&amp;L -Dec25'!BV107))-(0)+BV111</f>
        <v>9577123.8600000013</v>
      </c>
      <c r="BW113" s="30">
        <f>(0+(0)+('P&amp;L -Dec25'!BW80)+('P&amp;L -Dec25'!BW92)+('P&amp;L -Dec25'!BW99)+('P&amp;L -Dec25'!BW107))-(0)+BW111</f>
        <v>8872219.3709999993</v>
      </c>
      <c r="BX113" s="30">
        <f>(0+(0)+('P&amp;L -Dec25'!BX80)+('P&amp;L -Dec25'!BX92)+('P&amp;L -Dec25'!BX99)+('P&amp;L -Dec25'!BX107))-(0)+BX111</f>
        <v>11230186.189999998</v>
      </c>
      <c r="BY113" s="30">
        <f>(0+(0)+('P&amp;L -Dec25'!BY80)+('P&amp;L -Dec25'!BY92)+('P&amp;L -Dec25'!BY99)+('P&amp;L -Dec25'!BY107))-(0)+BY111</f>
        <v>11502872.59</v>
      </c>
      <c r="BZ113" s="30">
        <f>(0+(0)+('P&amp;L -Dec25'!BZ80)+('P&amp;L -Dec25'!BZ92)+('P&amp;L -Dec25'!BZ99)+('P&amp;L -Dec25'!BZ107))-(0)+BZ111</f>
        <v>10811472.609999999</v>
      </c>
      <c r="CA113" s="30">
        <f>(0+(0)+('P&amp;L -Dec25'!CA80)+('P&amp;L -Dec25'!CA92)+('P&amp;L -Dec25'!CA99)+('P&amp;L -Dec25'!CA107))-(0)+CA111</f>
        <v>11242100.57</v>
      </c>
      <c r="CB113" s="30">
        <f>(0+(0)+('P&amp;L -Dec25'!CB80)+('P&amp;L -Dec25'!CB92)+('P&amp;L -Dec25'!CB99)+('P&amp;L -Dec25'!CB107))-(0)+CB111</f>
        <v>12673315.370000001</v>
      </c>
      <c r="CC113" s="30">
        <f>(0+(0)+('P&amp;L -Dec25'!CC80)+('P&amp;L -Dec25'!CC92)+('P&amp;L -Dec25'!CC99)+('P&amp;L -Dec25'!CC107))-(0)+CC111</f>
        <v>15021575.070000002</v>
      </c>
      <c r="CD113" s="30">
        <f>(0+(0)+('P&amp;L -Dec25'!CD80)+('P&amp;L -Dec25'!CD92)+('P&amp;L -Dec25'!CD99)+('P&amp;L -Dec25'!CD107))-(0)+CD111</f>
        <v>15279537.959999999</v>
      </c>
      <c r="CE113" s="30">
        <f>(0+(0)+('P&amp;L -Dec25'!CE80)+('P&amp;L -Dec25'!CE92)+('P&amp;L -Dec25'!CE99)+('P&amp;L -Dec25'!CE107))-(0)+CE111</f>
        <v>13476659.199999999</v>
      </c>
      <c r="CF113" s="30">
        <f>(0+(0)+('P&amp;L -Dec25'!CF80)+('P&amp;L -Dec25'!CF92)+('P&amp;L -Dec25'!CF99)+('P&amp;L -Dec25'!CF107))-(0)+CF111</f>
        <v>14399278.520000001</v>
      </c>
      <c r="CG113" s="30">
        <f>(0+(0)+('P&amp;L -Dec25'!CG80)+('P&amp;L -Dec25'!CG92)+('P&amp;L -Dec25'!CG99)+('P&amp;L -Dec25'!CG107))-(0)+CG111</f>
        <v>13787229.879999999</v>
      </c>
      <c r="CH113" s="454">
        <f>SUM(BV113:CG113)</f>
        <v>147873571.19099998</v>
      </c>
      <c r="CI113" s="30">
        <f>(0+(0)+('P&amp;L -Dec25'!CI80)+('P&amp;L -Dec25'!CI92)+('P&amp;L -Dec25'!CI99)+('P&amp;L -Dec25'!CI107))-(0)+CI111</f>
        <v>14314013.130000001</v>
      </c>
      <c r="CJ113" s="30">
        <f>(0+(0)+('P&amp;L -Dec25'!CJ80)+('P&amp;L -Dec25'!CJ92)+('P&amp;L -Dec25'!CJ99)+('P&amp;L -Dec25'!CJ107))-(0)+CJ111</f>
        <v>13173882.960000001</v>
      </c>
      <c r="CK113" s="30">
        <f>(0+(0)+('P&amp;L -Dec25'!CK80)+('P&amp;L -Dec25'!CK92)+('P&amp;L -Dec25'!CK99)+('P&amp;L -Dec25'!CK107))-(0)+CK111</f>
        <v>13244163.83</v>
      </c>
      <c r="CL113" s="30">
        <f>(0+(0)+('P&amp;L -Dec25'!CL80)+('P&amp;L -Dec25'!CL92)+('P&amp;L -Dec25'!CL99)+('P&amp;L -Dec25'!CL107))-(0)+CL111</f>
        <v>15309154.370000001</v>
      </c>
      <c r="CM113" s="30">
        <f>(0+(0)+('P&amp;L -Dec25'!CM80)+('P&amp;L -Dec25'!CM92)+('P&amp;L -Dec25'!CM99)+('P&amp;L -Dec25'!CM107))-(0)+CM111</f>
        <v>17118267.859999999</v>
      </c>
      <c r="CN113" s="30">
        <f>(0+(0)+('P&amp;L -Dec25'!CN80)+('P&amp;L -Dec25'!CN92)+('P&amp;L -Dec25'!CN99)+('P&amp;L -Dec25'!CN107))-(0)+CN111</f>
        <v>17013401.09</v>
      </c>
      <c r="CO113" s="30">
        <f>(0+(0)+('P&amp;L -Dec25'!CO80)+('P&amp;L -Dec25'!CO92)+('P&amp;L -Dec25'!CO99)+('P&amp;L -Dec25'!CO107))-(0)+CO111</f>
        <v>17944526.040000003</v>
      </c>
      <c r="CP113" s="30">
        <f>(0+(0)+('P&amp;L -Dec25'!CP80)+('P&amp;L -Dec25'!CP92)+('P&amp;L -Dec25'!CP99)+('P&amp;L -Dec25'!CP107))-(0)+CP111</f>
        <v>19332658.300000001</v>
      </c>
      <c r="CQ113" s="30">
        <f>(0+(0)+('P&amp;L -Dec25'!CQ80)+('P&amp;L -Dec25'!CQ92)+('P&amp;L -Dec25'!CQ99)+('P&amp;L -Dec25'!CQ107))-(0)+CQ111</f>
        <v>20506794.199999996</v>
      </c>
      <c r="CR113" s="30">
        <f>(0+(0)+('P&amp;L -Dec25'!CR80)+('P&amp;L -Dec25'!CR92)+('P&amp;L -Dec25'!CR99)+('P&amp;L -Dec25'!CR107))-(0)+CR111</f>
        <v>18081862.509999998</v>
      </c>
      <c r="CS113" s="30">
        <f>(0+(0)+('P&amp;L -Dec25'!CS80)+('P&amp;L -Dec25'!CS92)+('P&amp;L -Dec25'!CS99)+('P&amp;L -Dec25'!CS107))-(0)+CS111</f>
        <v>19065165.989999998</v>
      </c>
      <c r="CT113" s="30">
        <f>(0+(0)+('P&amp;L -Dec25'!CT80)+('P&amp;L -Dec25'!CT92)+('P&amp;L -Dec25'!CT99)+('P&amp;L -Dec25'!CT107))-(0)+CT111</f>
        <v>21241247.050000001</v>
      </c>
      <c r="CU113" s="454">
        <f>SUM(CI113:CT113)</f>
        <v>206345137.33000001</v>
      </c>
      <c r="CV113" s="454">
        <f>(0+(0)+('P&amp;L -Dec25'!CV80)+('P&amp;L -Dec25'!CV92)+('P&amp;L -Dec25'!CV99)+('P&amp;L -Dec25'!CV107))-(0)+CV111</f>
        <v>18533192.259999998</v>
      </c>
      <c r="CW113" s="454">
        <f>(0+(0)+('P&amp;L -Dec25'!CW80)+('P&amp;L -Dec25'!CW92)+('P&amp;L -Dec25'!CW99)+('P&amp;L -Dec25'!CW107))-(0)+CW111</f>
        <v>20787403.370000001</v>
      </c>
      <c r="CX113" s="454">
        <f>(0+(0)+('P&amp;L -Dec25'!CX80)+('P&amp;L -Dec25'!CX92)+('P&amp;L -Dec25'!CX99)+('P&amp;L -Dec25'!CX107))-(0)+CX111</f>
        <v>21656984.470000003</v>
      </c>
      <c r="CY113" s="454">
        <f>(0+(0)+('P&amp;L -Dec25'!CY80)+('P&amp;L -Dec25'!CY92)+('P&amp;L -Dec25'!CY99)+('P&amp;L -Dec25'!CY107))-(0)+CY111</f>
        <v>19729860.239999998</v>
      </c>
      <c r="CZ113" s="454">
        <f>(0+(0)+('P&amp;L -Dec25'!CZ80)+('P&amp;L -Dec25'!CZ92)+('P&amp;L -Dec25'!CZ99)+('P&amp;L -Dec25'!CZ107))-(0)+CZ111</f>
        <v>21988495.870000001</v>
      </c>
      <c r="DA113" s="454">
        <f>(0+(0)+('P&amp;L -Dec25'!DA80)+('P&amp;L -Dec25'!DA92)+('P&amp;L -Dec25'!DA99)+('P&amp;L -Dec25'!DA107))-(0)+DA111</f>
        <v>23216229.310000002</v>
      </c>
      <c r="DB113" s="35">
        <f>(0+(0)+('P&amp;L -Dec25'!DB80)+('P&amp;L -Dec25'!DB92)+('P&amp;L -Dec25'!DB99)+('P&amp;L -Dec25'!DB107))-(0)+DB111</f>
        <v>23802193.429999996</v>
      </c>
      <c r="DC113" s="35">
        <f>(0+(0)+('P&amp;L -Dec25'!DC80)+('P&amp;L -Dec25'!DC92)+('P&amp;L -Dec25'!DC99)+('P&amp;L -Dec25'!DC107))-(0)+DC110</f>
        <v>24665148.049999997</v>
      </c>
      <c r="DD113" s="35">
        <f>(0+(0)+('P&amp;L -Dec25'!DD80)+('P&amp;L -Dec25'!DD92)+('P&amp;L -Dec25'!DD99)+('P&amp;L -Dec25'!DD107))-(0)+DD111</f>
        <v>24639905.890000001</v>
      </c>
      <c r="DE113" s="35">
        <f>(0+(0)+('P&amp;L -Dec25'!DE80)+('P&amp;L -Dec25'!DE92)+('P&amp;L -Dec25'!DE99)+('P&amp;L -Dec25'!DE107))-(0)+DE111</f>
        <v>22700625.740000002</v>
      </c>
      <c r="DF113" s="35">
        <f>(0+(0)+('P&amp;L -Dec25'!DF80)+('P&amp;L -Dec25'!DF92)+('P&amp;L -Dec25'!DF99)+('P&amp;L -Dec25'!DF107))-(0)+DF111</f>
        <v>20696203.450000003</v>
      </c>
      <c r="DG113" s="35">
        <f>(0+(0)+('P&amp;L -Dec25'!DG80)+('P&amp;L -Dec25'!DG92)+('P&amp;L -Dec25'!DG99)+('P&amp;L -Dec25'!DG107))-(0)+DG111</f>
        <v>24186422.260000002</v>
      </c>
      <c r="DH113" s="454">
        <f>SUM(CV113:DG113)</f>
        <v>266602664.33999997</v>
      </c>
      <c r="DI113" s="35">
        <f>(0+(0)+('P&amp;L -Dec25'!DI80)+('P&amp;L -Dec25'!DI92)+('P&amp;L -Dec25'!DI99)+('P&amp;L -Dec25'!DI107))-(0)+DI111</f>
        <v>22923196.43</v>
      </c>
      <c r="DJ113" s="35">
        <f>(0+(0)+('P&amp;L -Dec25'!DJ80)+('P&amp;L -Dec25'!DJ92)+('P&amp;L -Dec25'!DJ99)+('P&amp;L -Dec25'!DJ107))-(0)+DJ111</f>
        <v>22252173.499999996</v>
      </c>
      <c r="DK113" s="35">
        <f>(0+(0)+('P&amp;L -Dec25'!DK80)+('P&amp;L -Dec25'!DK92)+('P&amp;L -Dec25'!DK99)+('P&amp;L -Dec25'!DK107))-(0)+DK111</f>
        <v>23683154.960000001</v>
      </c>
      <c r="DL113" s="35">
        <f>(0+(0)+('P&amp;L -Dec25'!DL80)+('P&amp;L -Dec25'!DL92)+('P&amp;L -Dec25'!DL99)+('P&amp;L -Dec25'!DL107))-(0)+DL111</f>
        <v>23039312.210000001</v>
      </c>
      <c r="DM113" s="35">
        <f>(0+(0)+('P&amp;L -Dec25'!DM80)+('P&amp;L -Dec25'!DM92)+('P&amp;L -Dec25'!DM99)+('P&amp;L -Dec25'!DM107))-(0)+DM111</f>
        <v>24926382.390000001</v>
      </c>
      <c r="DN113" s="35">
        <f>(0+(0)+('P&amp;L -Dec25'!DN80)+('P&amp;L -Dec25'!DN92)+('P&amp;L -Dec25'!DN99)+('P&amp;L -Dec25'!DN107))-(0)+DN111</f>
        <v>25686280.009999998</v>
      </c>
      <c r="DO113" s="35">
        <f>(0+(0)+('P&amp;L -Dec25'!DO80)+('P&amp;L -Dec25'!DO92)+('P&amp;L -Dec25'!DO99)+('P&amp;L -Dec25'!DO107))-(0)+DO111</f>
        <v>23134141.350000001</v>
      </c>
      <c r="DP113" s="35">
        <f>(0+(0)+('P&amp;L -Dec25'!DP80)+('P&amp;L -Dec25'!DP92)+('P&amp;L -Dec25'!DP99)+('P&amp;L -Dec25'!DP107))-(0)+DP111</f>
        <v>24620902.77</v>
      </c>
      <c r="DQ113" s="35">
        <f>(0+(0)+('P&amp;L -Dec25'!DQ80)+('P&amp;L -Dec25'!DQ92)+('P&amp;L -Dec25'!DQ99)+('P&amp;L -Dec25'!DQ107))-(0)+DQ111</f>
        <v>26815592.770000003</v>
      </c>
      <c r="DR113" s="35">
        <f>(0+(0)+('P&amp;L -Dec25'!DR80)+('P&amp;L -Dec25'!DR92)+('P&amp;L -Dec25'!DR99)+('P&amp;L -Dec25'!DR107))-(0)+DR111</f>
        <v>28244026.460000001</v>
      </c>
      <c r="DS113" s="35">
        <f>(0+(0)+('P&amp;L -Dec25'!DS80)+('P&amp;L -Dec25'!DS92)+('P&amp;L -Dec25'!DS99)+('P&amp;L -Dec25'!DS107))-(0)+DS111</f>
        <v>0</v>
      </c>
      <c r="DT113" s="35">
        <f>(0+(0)+('P&amp;L -Dec25'!DT80)+('P&amp;L -Dec25'!DT92)+('P&amp;L -Dec25'!DT99)+('P&amp;L -Dec25'!DT107))-(0)+DT111</f>
        <v>0</v>
      </c>
      <c r="DU113" s="454">
        <f>SUM(DI113:DT113)</f>
        <v>245325162.85000002</v>
      </c>
    </row>
    <row r="114" spans="1:126" ht="15" customHeight="1" thickTop="1">
      <c r="AF114" s="938"/>
      <c r="AU114" s="938"/>
      <c r="BH114" s="938"/>
      <c r="BU114" s="938"/>
      <c r="CH114" s="938"/>
      <c r="CU114" s="938"/>
      <c r="CV114" s="938"/>
      <c r="CW114" s="938"/>
      <c r="CX114" s="938"/>
      <c r="CY114" s="938"/>
      <c r="CZ114" s="938"/>
      <c r="DA114" s="938"/>
      <c r="DB114" s="938"/>
      <c r="DC114" s="938"/>
      <c r="DD114" s="938"/>
      <c r="DE114" s="938"/>
      <c r="DF114" s="938"/>
      <c r="DG114" s="938"/>
      <c r="DH114" s="938"/>
      <c r="DI114" s="938"/>
      <c r="DJ114" s="938"/>
      <c r="DK114" s="938"/>
      <c r="DL114" s="938"/>
      <c r="DM114" s="938"/>
      <c r="DN114" s="938"/>
      <c r="DO114" s="938"/>
      <c r="DP114" s="938"/>
      <c r="DQ114" s="938"/>
      <c r="DR114" s="938"/>
      <c r="DS114" s="938"/>
      <c r="DT114" s="938"/>
      <c r="DU114" s="938"/>
    </row>
    <row r="115" spans="1:126" ht="12.75" customHeight="1">
      <c r="A115" s="38" t="s">
        <v>728</v>
      </c>
      <c r="B115" s="12"/>
      <c r="C115" s="4"/>
      <c r="D115" s="4"/>
      <c r="E115" s="4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12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396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12"/>
      <c r="AT115" s="4"/>
      <c r="AU115" s="396"/>
      <c r="AV115" s="4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396"/>
      <c r="BI115" s="12"/>
      <c r="BJ115" s="12"/>
      <c r="BK115" s="12"/>
      <c r="BL115" s="12"/>
      <c r="BM115" s="12"/>
      <c r="BN115" s="12"/>
      <c r="BO115" s="12"/>
      <c r="BP115" s="12"/>
      <c r="BQ115" s="15"/>
      <c r="BR115" s="15"/>
      <c r="BS115" s="12"/>
      <c r="BT115" s="396"/>
      <c r="BU115" s="396"/>
      <c r="BV115" s="396"/>
      <c r="BW115" s="12"/>
      <c r="BX115" s="12"/>
      <c r="BY115" s="396"/>
      <c r="BZ115" s="396"/>
      <c r="CA115" s="396"/>
      <c r="CB115" s="396"/>
      <c r="CC115" s="396"/>
      <c r="CD115" s="396"/>
      <c r="CE115" s="396"/>
      <c r="CF115" s="396"/>
      <c r="CG115" s="396"/>
      <c r="CH115" s="396"/>
      <c r="CI115" s="396"/>
      <c r="CJ115" s="396"/>
      <c r="CK115" s="396"/>
      <c r="CL115" s="396"/>
      <c r="CM115" s="396"/>
      <c r="CN115" s="396"/>
      <c r="CO115" s="396"/>
      <c r="CP115" s="396"/>
      <c r="CQ115" s="396"/>
      <c r="CR115" s="396"/>
      <c r="CS115" s="396"/>
      <c r="CT115" s="396"/>
      <c r="CU115" s="396"/>
      <c r="CV115" s="396"/>
      <c r="CW115" s="396"/>
      <c r="CX115" s="934"/>
      <c r="CY115" s="934"/>
      <c r="CZ115" s="934"/>
      <c r="DA115" s="934"/>
      <c r="DB115" s="767"/>
      <c r="DC115" s="767"/>
      <c r="DD115" s="934"/>
      <c r="DE115" s="934"/>
      <c r="DF115" s="934"/>
      <c r="DG115" s="934"/>
      <c r="DH115" s="396"/>
      <c r="DI115" s="934"/>
      <c r="DJ115" s="934"/>
      <c r="DK115" s="934"/>
      <c r="DL115" s="934"/>
      <c r="DM115" s="934"/>
      <c r="DN115" s="934"/>
      <c r="DO115" s="934"/>
      <c r="DP115" s="934"/>
      <c r="DQ115" s="934"/>
      <c r="DR115" s="934"/>
      <c r="DS115" s="934"/>
      <c r="DT115" s="934"/>
      <c r="DU115" s="396"/>
    </row>
    <row r="116" spans="1:126" ht="12.75" hidden="1" customHeight="1">
      <c r="A116" s="2"/>
      <c r="B116" s="12"/>
      <c r="C116" s="4"/>
      <c r="D116" s="4"/>
      <c r="E116" s="4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12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396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12"/>
      <c r="AT116" s="4"/>
      <c r="AU116" s="396"/>
      <c r="AV116" s="4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396"/>
      <c r="BI116" s="12"/>
      <c r="BJ116" s="12"/>
      <c r="BK116" s="12"/>
      <c r="BL116" s="12"/>
      <c r="BM116" s="12"/>
      <c r="BN116" s="12"/>
      <c r="BO116" s="12"/>
      <c r="BP116" s="12"/>
      <c r="BQ116" s="15"/>
      <c r="BR116" s="15"/>
      <c r="BS116" s="12"/>
      <c r="BT116" s="396"/>
      <c r="BU116" s="396"/>
      <c r="BV116" s="396"/>
      <c r="BW116" s="12"/>
      <c r="BX116" s="12"/>
      <c r="BY116" s="396"/>
      <c r="BZ116" s="396"/>
      <c r="CA116" s="396"/>
      <c r="CB116" s="396"/>
      <c r="CC116" s="396"/>
      <c r="CD116" s="396"/>
      <c r="CE116" s="396"/>
      <c r="CF116" s="396"/>
      <c r="CG116" s="396"/>
      <c r="CH116" s="396"/>
      <c r="CI116" s="396"/>
      <c r="CJ116" s="396"/>
      <c r="CK116" s="396"/>
      <c r="CL116" s="396"/>
      <c r="CM116" s="396"/>
      <c r="CN116" s="396"/>
      <c r="CO116" s="396"/>
      <c r="CP116" s="396"/>
      <c r="CQ116" s="396"/>
      <c r="CR116" s="396"/>
      <c r="CS116" s="396"/>
      <c r="CT116" s="396"/>
      <c r="CU116" s="396"/>
      <c r="CV116" s="396"/>
      <c r="CW116" s="396"/>
      <c r="CX116" s="934"/>
      <c r="CY116" s="934"/>
      <c r="CZ116" s="934"/>
      <c r="DA116" s="934"/>
      <c r="DB116" s="767"/>
      <c r="DC116" s="767"/>
      <c r="DD116" s="934"/>
      <c r="DE116" s="934"/>
      <c r="DF116" s="934"/>
      <c r="DG116" s="934"/>
      <c r="DH116" s="396"/>
      <c r="DI116" s="934"/>
      <c r="DJ116" s="934"/>
      <c r="DK116" s="934"/>
      <c r="DL116" s="934"/>
      <c r="DM116" s="934"/>
      <c r="DN116" s="934"/>
      <c r="DO116" s="934"/>
      <c r="DP116" s="934"/>
      <c r="DQ116" s="934"/>
      <c r="DR116" s="934"/>
      <c r="DS116" s="934"/>
      <c r="DT116" s="934"/>
      <c r="DU116" s="396"/>
    </row>
    <row r="117" spans="1:126" ht="12.75" hidden="1" customHeight="1">
      <c r="A117" s="39"/>
      <c r="B117" s="12"/>
      <c r="C117" s="4"/>
      <c r="D117" s="4"/>
      <c r="E117" s="4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12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396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12"/>
      <c r="AT117" s="4"/>
      <c r="AU117" s="396"/>
      <c r="AV117" s="4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396"/>
      <c r="BI117" s="12"/>
      <c r="BJ117" s="12"/>
      <c r="BK117" s="12"/>
      <c r="BL117" s="12"/>
      <c r="BM117" s="12"/>
      <c r="BN117" s="12"/>
      <c r="BO117" s="12"/>
      <c r="BP117" s="12"/>
      <c r="BQ117" s="15"/>
      <c r="BR117" s="15"/>
      <c r="BS117" s="12"/>
      <c r="BT117" s="396"/>
      <c r="BU117" s="396"/>
      <c r="BV117" s="396"/>
      <c r="BW117" s="12"/>
      <c r="BX117" s="12"/>
      <c r="BY117" s="396"/>
      <c r="BZ117" s="396"/>
      <c r="CA117" s="396"/>
      <c r="CB117" s="396"/>
      <c r="CC117" s="396"/>
      <c r="CD117" s="396"/>
      <c r="CE117" s="396"/>
      <c r="CF117" s="396"/>
      <c r="CG117" s="396"/>
      <c r="CH117" s="396"/>
      <c r="CI117" s="396"/>
      <c r="CJ117" s="396"/>
      <c r="CK117" s="396"/>
      <c r="CL117" s="396"/>
      <c r="CM117" s="396"/>
      <c r="CN117" s="396"/>
      <c r="CO117" s="396"/>
      <c r="CP117" s="396"/>
      <c r="CQ117" s="396"/>
      <c r="CR117" s="396"/>
      <c r="CS117" s="396"/>
      <c r="CT117" s="396"/>
      <c r="CU117" s="396"/>
      <c r="CV117" s="396"/>
      <c r="CW117" s="396"/>
      <c r="CX117" s="934"/>
      <c r="CY117" s="934"/>
      <c r="CZ117" s="934"/>
      <c r="DA117" s="934"/>
      <c r="DB117" s="767"/>
      <c r="DC117" s="767"/>
      <c r="DD117" s="934"/>
      <c r="DE117" s="934"/>
      <c r="DF117" s="934"/>
      <c r="DG117" s="934"/>
      <c r="DH117" s="396"/>
      <c r="DI117" s="934"/>
      <c r="DJ117" s="934"/>
      <c r="DK117" s="934"/>
      <c r="DL117" s="934"/>
      <c r="DM117" s="934"/>
      <c r="DN117" s="934"/>
      <c r="DO117" s="934"/>
      <c r="DP117" s="934"/>
      <c r="DQ117" s="934"/>
      <c r="DR117" s="934"/>
      <c r="DS117" s="934"/>
      <c r="DT117" s="934"/>
      <c r="DU117" s="396"/>
    </row>
    <row r="118" spans="1:126" ht="12.75" hidden="1" customHeight="1">
      <c r="A118" s="539"/>
      <c r="B118" s="396"/>
      <c r="C118" s="456"/>
      <c r="D118" s="456"/>
      <c r="E118" s="456"/>
      <c r="F118" s="396"/>
      <c r="G118" s="456"/>
      <c r="H118" s="456"/>
      <c r="I118" s="456"/>
      <c r="J118" s="456"/>
      <c r="K118" s="456"/>
      <c r="L118" s="456"/>
      <c r="M118" s="456"/>
      <c r="N118" s="456"/>
      <c r="O118" s="456"/>
      <c r="P118" s="456"/>
      <c r="Q118" s="456"/>
      <c r="R118" s="456"/>
      <c r="S118" s="396"/>
      <c r="T118" s="456"/>
      <c r="U118" s="456"/>
      <c r="V118" s="456"/>
      <c r="W118" s="456"/>
      <c r="X118" s="456"/>
      <c r="Y118" s="456"/>
      <c r="Z118" s="456"/>
      <c r="AA118" s="456"/>
      <c r="AB118" s="456"/>
      <c r="AC118" s="456"/>
      <c r="AD118" s="456"/>
      <c r="AE118" s="456"/>
      <c r="AF118" s="396"/>
      <c r="AG118" s="456"/>
      <c r="AH118" s="456"/>
      <c r="AI118" s="456"/>
      <c r="AJ118" s="456"/>
      <c r="AK118" s="456"/>
      <c r="AL118" s="456"/>
      <c r="AM118" s="456"/>
      <c r="AN118" s="456"/>
      <c r="AO118" s="456"/>
      <c r="AP118" s="456"/>
      <c r="AQ118" s="456"/>
      <c r="AR118" s="456"/>
      <c r="AS118" s="396"/>
      <c r="AT118" s="456"/>
      <c r="AU118" s="396"/>
      <c r="AV118" s="456"/>
      <c r="AW118" s="396"/>
      <c r="AX118" s="396"/>
      <c r="AY118" s="396"/>
      <c r="AZ118" s="396"/>
      <c r="BA118" s="396"/>
      <c r="BB118" s="396"/>
      <c r="BC118" s="396"/>
      <c r="BD118" s="396"/>
      <c r="BE118" s="396"/>
      <c r="BF118" s="396"/>
      <c r="BG118" s="396"/>
      <c r="BH118" s="396"/>
      <c r="BI118" s="396"/>
      <c r="BJ118" s="396"/>
      <c r="BK118" s="396"/>
      <c r="BL118" s="396"/>
      <c r="BM118" s="396"/>
      <c r="BN118" s="396"/>
      <c r="BO118" s="396"/>
      <c r="BP118" s="396"/>
      <c r="BQ118" s="430"/>
      <c r="BR118" s="430"/>
      <c r="BS118" s="396"/>
      <c r="BT118" s="396"/>
      <c r="BU118" s="396"/>
      <c r="BV118" s="396"/>
      <c r="BW118" s="396"/>
      <c r="BX118" s="396"/>
      <c r="BY118" s="396"/>
      <c r="BZ118" s="396"/>
      <c r="CA118" s="396"/>
      <c r="CB118" s="396"/>
      <c r="CC118" s="396"/>
      <c r="CD118" s="396"/>
      <c r="CE118" s="396"/>
      <c r="CF118" s="396"/>
      <c r="CG118" s="396"/>
      <c r="CH118" s="396"/>
      <c r="CI118" s="396"/>
      <c r="CJ118" s="396"/>
      <c r="CK118" s="396"/>
      <c r="CL118" s="396"/>
      <c r="CM118" s="396"/>
      <c r="CN118" s="396"/>
      <c r="CO118" s="396"/>
      <c r="CP118" s="396"/>
      <c r="CQ118" s="396"/>
      <c r="CR118" s="396"/>
      <c r="CS118" s="396"/>
      <c r="CT118" s="396"/>
      <c r="CU118" s="396"/>
      <c r="CV118" s="396"/>
      <c r="CW118" s="396"/>
      <c r="CX118" s="934"/>
      <c r="CY118" s="934"/>
      <c r="CZ118" s="934"/>
      <c r="DA118" s="934"/>
      <c r="DB118" s="767"/>
      <c r="DC118" s="767"/>
      <c r="DD118" s="934"/>
      <c r="DE118" s="934"/>
      <c r="DF118" s="934"/>
      <c r="DG118" s="934"/>
      <c r="DH118" s="396"/>
      <c r="DI118" s="934"/>
      <c r="DJ118" s="934"/>
      <c r="DK118" s="934"/>
      <c r="DL118" s="934"/>
      <c r="DM118" s="934"/>
      <c r="DN118" s="934"/>
      <c r="DO118" s="934"/>
      <c r="DP118" s="934"/>
      <c r="DQ118" s="934"/>
      <c r="DR118" s="934"/>
      <c r="DS118" s="934"/>
      <c r="DT118" s="934"/>
      <c r="DU118" s="396"/>
    </row>
    <row r="119" spans="1:126" ht="12.75" customHeight="1">
      <c r="A119" s="40" t="s">
        <v>684</v>
      </c>
      <c r="B119" s="396"/>
      <c r="C119" s="456"/>
      <c r="D119" s="456"/>
      <c r="E119" s="456"/>
      <c r="F119" s="396"/>
      <c r="G119" s="456"/>
      <c r="H119" s="456"/>
      <c r="I119" s="456"/>
      <c r="J119" s="456"/>
      <c r="K119" s="456"/>
      <c r="L119" s="456"/>
      <c r="M119" s="456"/>
      <c r="N119" s="456"/>
      <c r="O119" s="456"/>
      <c r="P119" s="456"/>
      <c r="Q119" s="456"/>
      <c r="R119" s="456"/>
      <c r="S119" s="396"/>
      <c r="T119" s="456"/>
      <c r="U119" s="456"/>
      <c r="V119" s="456"/>
      <c r="W119" s="456"/>
      <c r="X119" s="456"/>
      <c r="Y119" s="456"/>
      <c r="Z119" s="456"/>
      <c r="AA119" s="456"/>
      <c r="AB119" s="456"/>
      <c r="AC119" s="456"/>
      <c r="AD119" s="456"/>
      <c r="AE119" s="456"/>
      <c r="AF119" s="396"/>
      <c r="AG119" s="456"/>
      <c r="AH119" s="456"/>
      <c r="AI119" s="456"/>
      <c r="AJ119" s="456"/>
      <c r="AK119" s="456"/>
      <c r="AL119" s="456"/>
      <c r="AM119" s="456"/>
      <c r="AN119" s="456"/>
      <c r="AO119" s="456"/>
      <c r="AP119" s="456"/>
      <c r="AQ119" s="456"/>
      <c r="AR119" s="456"/>
      <c r="AS119" s="396"/>
      <c r="AT119" s="456"/>
      <c r="AU119" s="396"/>
      <c r="AV119" s="456"/>
      <c r="AW119" s="396"/>
      <c r="AX119" s="396"/>
      <c r="AY119" s="396"/>
      <c r="AZ119" s="396"/>
      <c r="BA119" s="396"/>
      <c r="BB119" s="396"/>
      <c r="BC119" s="396"/>
      <c r="BD119" s="396"/>
      <c r="BE119" s="396"/>
      <c r="BF119" s="396"/>
      <c r="BG119" s="396"/>
      <c r="BH119" s="396"/>
      <c r="BI119" s="396"/>
      <c r="BJ119" s="396"/>
      <c r="BK119" s="396"/>
      <c r="BL119" s="396"/>
      <c r="BM119" s="396"/>
      <c r="BN119" s="396"/>
      <c r="BO119" s="396"/>
      <c r="BP119" s="396"/>
      <c r="BQ119" s="430"/>
      <c r="BR119" s="430"/>
      <c r="BS119" s="396"/>
      <c r="BT119" s="396"/>
      <c r="BU119" s="396"/>
      <c r="BV119" s="396"/>
      <c r="BW119" s="396"/>
      <c r="BX119" s="396"/>
      <c r="BY119" s="396"/>
      <c r="BZ119" s="396"/>
      <c r="CA119" s="396"/>
      <c r="CB119" s="396">
        <v>0</v>
      </c>
      <c r="CC119" s="396">
        <v>0</v>
      </c>
      <c r="CD119" s="396">
        <v>0</v>
      </c>
      <c r="CE119" s="396">
        <v>0</v>
      </c>
      <c r="CF119" s="396">
        <v>0</v>
      </c>
      <c r="CG119" s="396">
        <v>0</v>
      </c>
      <c r="CH119" s="396">
        <f>SUM(BV119:CG119)</f>
        <v>0</v>
      </c>
      <c r="CI119" s="396">
        <v>500000</v>
      </c>
      <c r="CJ119" s="396">
        <v>491129.39</v>
      </c>
      <c r="CK119" s="396">
        <v>590000</v>
      </c>
      <c r="CL119" s="396">
        <v>129900</v>
      </c>
      <c r="CM119" s="396">
        <v>181148.69</v>
      </c>
      <c r="CN119" s="396">
        <v>1976303.69</v>
      </c>
      <c r="CO119" s="396">
        <v>1715799.87</v>
      </c>
      <c r="CP119" s="396">
        <v>2347843.44</v>
      </c>
      <c r="CQ119" s="396">
        <v>1079959.51</v>
      </c>
      <c r="CR119" s="396">
        <v>1266888.25</v>
      </c>
      <c r="CS119" s="396">
        <v>200000</v>
      </c>
      <c r="CT119" s="396">
        <v>341468.25</v>
      </c>
      <c r="CU119" s="396">
        <f>SUM(CI119:CT119)</f>
        <v>10820441.09</v>
      </c>
      <c r="CV119" s="396">
        <v>1124181.54</v>
      </c>
      <c r="CW119" s="396">
        <v>766052.53</v>
      </c>
      <c r="CX119" s="934">
        <v>201020</v>
      </c>
      <c r="CY119" s="934">
        <v>3689366.56</v>
      </c>
      <c r="CZ119" s="934">
        <v>2927448.84</v>
      </c>
      <c r="DA119" s="934">
        <v>3418508.67</v>
      </c>
      <c r="DB119" s="767">
        <v>3614065.06</v>
      </c>
      <c r="DC119" s="767">
        <v>1882176.7</v>
      </c>
      <c r="DD119" s="934">
        <v>1897536.88</v>
      </c>
      <c r="DE119" s="934">
        <v>1901800.08</v>
      </c>
      <c r="DF119" s="934">
        <v>1901800.08</v>
      </c>
      <c r="DG119" s="934">
        <v>1811805.68</v>
      </c>
      <c r="DH119" s="396">
        <f t="shared" ref="DH119" si="118">SUM(CV119:DG119)</f>
        <v>25135762.619999997</v>
      </c>
      <c r="DI119" s="934">
        <v>1295027.6499999999</v>
      </c>
      <c r="DJ119" s="934">
        <v>1003250</v>
      </c>
      <c r="DK119" s="934">
        <v>885761.28</v>
      </c>
      <c r="DL119" s="934">
        <v>1583660.62</v>
      </c>
      <c r="DM119" s="934">
        <v>1474659.42</v>
      </c>
      <c r="DN119" s="934">
        <v>2042482.31</v>
      </c>
      <c r="DO119" s="934">
        <v>2733094.62</v>
      </c>
      <c r="DP119" s="934">
        <v>3076014.71</v>
      </c>
      <c r="DQ119" s="934">
        <v>2505374.2400000002</v>
      </c>
      <c r="DR119" s="934">
        <v>2419803.38</v>
      </c>
      <c r="DS119" s="934"/>
      <c r="DT119" s="934"/>
      <c r="DU119" s="396">
        <f t="shared" ref="DU119" si="119">SUM(DI119:DT119)</f>
        <v>19019128.23</v>
      </c>
      <c r="DV119" s="167"/>
    </row>
    <row r="120" spans="1:126" ht="12.75" hidden="1" customHeight="1">
      <c r="A120" s="455"/>
      <c r="B120" s="396"/>
      <c r="C120" s="456"/>
      <c r="D120" s="456"/>
      <c r="E120" s="456"/>
      <c r="F120" s="396"/>
      <c r="G120" s="456"/>
      <c r="H120" s="456"/>
      <c r="I120" s="456"/>
      <c r="J120" s="456"/>
      <c r="K120" s="456"/>
      <c r="L120" s="456"/>
      <c r="M120" s="456"/>
      <c r="N120" s="456"/>
      <c r="O120" s="456"/>
      <c r="P120" s="456"/>
      <c r="Q120" s="456"/>
      <c r="R120" s="456"/>
      <c r="S120" s="396"/>
      <c r="T120" s="456"/>
      <c r="U120" s="456"/>
      <c r="V120" s="456"/>
      <c r="W120" s="456"/>
      <c r="X120" s="456"/>
      <c r="Y120" s="456"/>
      <c r="Z120" s="456"/>
      <c r="AA120" s="456"/>
      <c r="AB120" s="456"/>
      <c r="AC120" s="456"/>
      <c r="AD120" s="456"/>
      <c r="AE120" s="456"/>
      <c r="AF120" s="396"/>
      <c r="AG120" s="456"/>
      <c r="AH120" s="456"/>
      <c r="AI120" s="456"/>
      <c r="AJ120" s="456"/>
      <c r="AK120" s="456"/>
      <c r="AL120" s="456"/>
      <c r="AM120" s="456"/>
      <c r="AN120" s="456"/>
      <c r="AO120" s="456"/>
      <c r="AP120" s="456"/>
      <c r="AQ120" s="456"/>
      <c r="AR120" s="456"/>
      <c r="AS120" s="396"/>
      <c r="AT120" s="456"/>
      <c r="AU120" s="396"/>
      <c r="AV120" s="456"/>
      <c r="AW120" s="396"/>
      <c r="AX120" s="396"/>
      <c r="AY120" s="396"/>
      <c r="AZ120" s="396"/>
      <c r="BA120" s="396"/>
      <c r="BB120" s="396"/>
      <c r="BC120" s="396"/>
      <c r="BD120" s="396"/>
      <c r="BE120" s="396"/>
      <c r="BF120" s="396"/>
      <c r="BG120" s="396"/>
      <c r="BH120" s="396"/>
      <c r="BI120" s="396"/>
      <c r="BJ120" s="396"/>
      <c r="BK120" s="396"/>
      <c r="BL120" s="396"/>
      <c r="BM120" s="396"/>
      <c r="BN120" s="396"/>
      <c r="BO120" s="396"/>
      <c r="BP120" s="396"/>
      <c r="BQ120" s="430"/>
      <c r="BR120" s="430"/>
      <c r="BS120" s="396"/>
      <c r="BT120" s="396"/>
      <c r="BU120" s="396"/>
      <c r="BV120" s="396"/>
      <c r="BW120" s="396"/>
      <c r="BX120" s="396"/>
      <c r="BY120" s="396"/>
      <c r="BZ120" s="396"/>
      <c r="CA120" s="396"/>
      <c r="CB120" s="396"/>
      <c r="CC120" s="396"/>
      <c r="CD120" s="396"/>
      <c r="CE120" s="396"/>
      <c r="CF120" s="396"/>
      <c r="CG120" s="396"/>
      <c r="CH120" s="396"/>
      <c r="CI120" s="396"/>
      <c r="CJ120" s="396"/>
      <c r="CK120" s="396"/>
      <c r="CL120" s="396"/>
      <c r="CM120" s="396"/>
      <c r="CN120" s="396"/>
      <c r="CO120" s="396"/>
      <c r="CP120" s="396"/>
      <c r="CQ120" s="396"/>
      <c r="CR120" s="396"/>
      <c r="CS120" s="396"/>
      <c r="CT120" s="396"/>
      <c r="CU120" s="396"/>
      <c r="CV120" s="396"/>
      <c r="CW120" s="396"/>
      <c r="CX120" s="934"/>
      <c r="CY120" s="934"/>
      <c r="CZ120" s="934"/>
      <c r="DA120" s="934"/>
      <c r="DB120" s="767"/>
      <c r="DC120" s="767"/>
      <c r="DD120" s="934"/>
      <c r="DE120" s="934"/>
      <c r="DF120" s="934"/>
      <c r="DG120" s="934"/>
      <c r="DH120" s="396"/>
      <c r="DI120" s="934"/>
      <c r="DJ120" s="934"/>
      <c r="DK120" s="934"/>
      <c r="DL120" s="934"/>
      <c r="DM120" s="934"/>
      <c r="DN120" s="934"/>
      <c r="DO120" s="934"/>
      <c r="DP120" s="934"/>
      <c r="DQ120" s="934"/>
      <c r="DR120" s="934"/>
      <c r="DS120" s="934"/>
      <c r="DT120" s="934"/>
      <c r="DU120" s="396"/>
    </row>
    <row r="121" spans="1:126" ht="12.75" hidden="1" customHeight="1">
      <c r="A121" s="455"/>
      <c r="B121" s="396"/>
      <c r="C121" s="456"/>
      <c r="D121" s="456"/>
      <c r="E121" s="456"/>
      <c r="F121" s="396"/>
      <c r="G121" s="456"/>
      <c r="H121" s="456"/>
      <c r="I121" s="456"/>
      <c r="J121" s="456"/>
      <c r="K121" s="456"/>
      <c r="L121" s="456"/>
      <c r="M121" s="456"/>
      <c r="N121" s="456"/>
      <c r="O121" s="456"/>
      <c r="P121" s="456"/>
      <c r="Q121" s="456"/>
      <c r="R121" s="456"/>
      <c r="S121" s="396"/>
      <c r="T121" s="456"/>
      <c r="U121" s="456"/>
      <c r="V121" s="456"/>
      <c r="W121" s="456"/>
      <c r="X121" s="456"/>
      <c r="Y121" s="456"/>
      <c r="Z121" s="456"/>
      <c r="AA121" s="456"/>
      <c r="AB121" s="456"/>
      <c r="AC121" s="456"/>
      <c r="AD121" s="456"/>
      <c r="AE121" s="456"/>
      <c r="AF121" s="396"/>
      <c r="AG121" s="456"/>
      <c r="AH121" s="456"/>
      <c r="AI121" s="456"/>
      <c r="AJ121" s="456"/>
      <c r="AK121" s="456"/>
      <c r="AL121" s="456"/>
      <c r="AM121" s="456"/>
      <c r="AN121" s="456"/>
      <c r="AO121" s="456"/>
      <c r="AP121" s="456"/>
      <c r="AQ121" s="456"/>
      <c r="AR121" s="456"/>
      <c r="AS121" s="396"/>
      <c r="AT121" s="456"/>
      <c r="AU121" s="396"/>
      <c r="AV121" s="456"/>
      <c r="AW121" s="396"/>
      <c r="AX121" s="396"/>
      <c r="AY121" s="396"/>
      <c r="AZ121" s="396"/>
      <c r="BA121" s="396"/>
      <c r="BB121" s="396"/>
      <c r="BC121" s="396"/>
      <c r="BD121" s="396"/>
      <c r="BE121" s="396"/>
      <c r="BF121" s="396"/>
      <c r="BG121" s="396"/>
      <c r="BH121" s="396"/>
      <c r="BI121" s="396"/>
      <c r="BJ121" s="396"/>
      <c r="BK121" s="396"/>
      <c r="BL121" s="396"/>
      <c r="BM121" s="396"/>
      <c r="BN121" s="396"/>
      <c r="BO121" s="396"/>
      <c r="BP121" s="396"/>
      <c r="BQ121" s="430"/>
      <c r="BR121" s="430"/>
      <c r="BS121" s="396"/>
      <c r="BT121" s="396"/>
      <c r="BU121" s="396"/>
      <c r="BV121" s="396"/>
      <c r="BW121" s="396"/>
      <c r="BX121" s="396"/>
      <c r="BY121" s="396"/>
      <c r="BZ121" s="396"/>
      <c r="CA121" s="396"/>
      <c r="CB121" s="396"/>
      <c r="CC121" s="396"/>
      <c r="CD121" s="396"/>
      <c r="CE121" s="396"/>
      <c r="CF121" s="396"/>
      <c r="CG121" s="396"/>
      <c r="CH121" s="396"/>
      <c r="CI121" s="396"/>
      <c r="CJ121" s="396"/>
      <c r="CK121" s="396"/>
      <c r="CL121" s="396"/>
      <c r="CM121" s="396"/>
      <c r="CN121" s="396"/>
      <c r="CO121" s="396"/>
      <c r="CP121" s="396"/>
      <c r="CQ121" s="396"/>
      <c r="CR121" s="396"/>
      <c r="CS121" s="396"/>
      <c r="CT121" s="396"/>
      <c r="CU121" s="396"/>
      <c r="CV121" s="396"/>
      <c r="CW121" s="396"/>
      <c r="CX121" s="934"/>
      <c r="CY121" s="934"/>
      <c r="CZ121" s="934"/>
      <c r="DA121" s="934"/>
      <c r="DB121" s="767"/>
      <c r="DC121" s="767"/>
      <c r="DD121" s="934"/>
      <c r="DE121" s="934"/>
      <c r="DF121" s="934"/>
      <c r="DG121" s="934"/>
      <c r="DH121" s="396"/>
      <c r="DI121" s="934"/>
      <c r="DJ121" s="934"/>
      <c r="DK121" s="934"/>
      <c r="DL121" s="934"/>
      <c r="DM121" s="934"/>
      <c r="DN121" s="934"/>
      <c r="DO121" s="934"/>
      <c r="DP121" s="934"/>
      <c r="DQ121" s="934"/>
      <c r="DR121" s="934"/>
      <c r="DS121" s="934"/>
      <c r="DT121" s="934"/>
      <c r="DU121" s="396"/>
    </row>
    <row r="122" spans="1:126" ht="12.75" customHeight="1">
      <c r="A122" s="455"/>
      <c r="B122" s="396"/>
      <c r="C122" s="456"/>
      <c r="D122" s="456"/>
      <c r="E122" s="456"/>
      <c r="F122" s="396"/>
      <c r="G122" s="456"/>
      <c r="H122" s="456"/>
      <c r="I122" s="456"/>
      <c r="J122" s="456"/>
      <c r="K122" s="456"/>
      <c r="L122" s="456"/>
      <c r="M122" s="456"/>
      <c r="N122" s="456"/>
      <c r="O122" s="456"/>
      <c r="P122" s="456"/>
      <c r="Q122" s="456"/>
      <c r="R122" s="456"/>
      <c r="S122" s="396"/>
      <c r="T122" s="456"/>
      <c r="U122" s="456"/>
      <c r="V122" s="456"/>
      <c r="W122" s="456"/>
      <c r="X122" s="456"/>
      <c r="Y122" s="456"/>
      <c r="Z122" s="456"/>
      <c r="AA122" s="456"/>
      <c r="AB122" s="456"/>
      <c r="AC122" s="456"/>
      <c r="AD122" s="456"/>
      <c r="AE122" s="456"/>
      <c r="AF122" s="396"/>
      <c r="AG122" s="456"/>
      <c r="AH122" s="456"/>
      <c r="AI122" s="456"/>
      <c r="AJ122" s="456"/>
      <c r="AK122" s="456"/>
      <c r="AL122" s="456"/>
      <c r="AM122" s="456"/>
      <c r="AN122" s="456"/>
      <c r="AO122" s="456"/>
      <c r="AP122" s="456"/>
      <c r="AQ122" s="456"/>
      <c r="AR122" s="456"/>
      <c r="AS122" s="396"/>
      <c r="AT122" s="456"/>
      <c r="AU122" s="396"/>
      <c r="AV122" s="456"/>
      <c r="AW122" s="396"/>
      <c r="AX122" s="396"/>
      <c r="AY122" s="396"/>
      <c r="AZ122" s="396"/>
      <c r="BA122" s="396"/>
      <c r="BB122" s="396"/>
      <c r="BC122" s="396"/>
      <c r="BD122" s="396"/>
      <c r="BE122" s="396"/>
      <c r="BF122" s="396"/>
      <c r="BG122" s="396"/>
      <c r="BH122" s="396"/>
      <c r="BI122" s="396"/>
      <c r="BJ122" s="396"/>
      <c r="BK122" s="396"/>
      <c r="BL122" s="396"/>
      <c r="BM122" s="396"/>
      <c r="BN122" s="396"/>
      <c r="BO122" s="396"/>
      <c r="BP122" s="396"/>
      <c r="BQ122" s="430"/>
      <c r="BR122" s="430"/>
      <c r="BS122" s="396"/>
      <c r="BT122" s="396"/>
      <c r="BU122" s="396"/>
      <c r="BV122" s="396"/>
      <c r="BW122" s="396"/>
      <c r="BX122" s="396"/>
      <c r="BY122" s="396"/>
      <c r="BZ122" s="396"/>
      <c r="CA122" s="396"/>
      <c r="CB122" s="396"/>
      <c r="CC122" s="396"/>
      <c r="CD122" s="396"/>
      <c r="CE122" s="396"/>
      <c r="CF122" s="396"/>
      <c r="CG122" s="396"/>
      <c r="CH122" s="396"/>
      <c r="CI122" s="396"/>
      <c r="CJ122" s="396"/>
      <c r="CK122" s="396"/>
      <c r="CL122" s="396"/>
      <c r="CM122" s="396"/>
      <c r="CN122" s="396"/>
      <c r="CO122" s="396"/>
      <c r="CP122" s="396"/>
      <c r="CQ122" s="396"/>
      <c r="CR122" s="396"/>
      <c r="CS122" s="396"/>
      <c r="CT122" s="396"/>
      <c r="CU122" s="396"/>
      <c r="CV122" s="396"/>
      <c r="CW122" s="396"/>
      <c r="CX122" s="934"/>
      <c r="CY122" s="934"/>
      <c r="CZ122" s="934"/>
      <c r="DA122" s="934"/>
      <c r="DB122" s="767"/>
      <c r="DC122" s="767"/>
      <c r="DD122" s="934"/>
      <c r="DE122" s="934"/>
      <c r="DF122" s="934"/>
      <c r="DG122" s="934"/>
      <c r="DH122" s="396"/>
      <c r="DI122" s="934"/>
      <c r="DJ122" s="934"/>
      <c r="DK122" s="934"/>
      <c r="DL122" s="934"/>
      <c r="DM122" s="934"/>
      <c r="DN122" s="934"/>
      <c r="DO122" s="934"/>
      <c r="DP122" s="934"/>
      <c r="DQ122" s="934"/>
      <c r="DR122" s="934"/>
      <c r="DS122" s="934"/>
      <c r="DT122" s="934"/>
      <c r="DU122" s="396"/>
    </row>
    <row r="123" spans="1:126" ht="12.75" hidden="1" customHeight="1" outlineLevel="1">
      <c r="A123" s="13" t="s">
        <v>682</v>
      </c>
      <c r="B123" s="396"/>
      <c r="C123" s="456"/>
      <c r="D123" s="456"/>
      <c r="E123" s="456"/>
      <c r="F123" s="396"/>
      <c r="G123" s="456"/>
      <c r="H123" s="456"/>
      <c r="I123" s="456"/>
      <c r="J123" s="456"/>
      <c r="K123" s="456"/>
      <c r="L123" s="456"/>
      <c r="M123" s="456"/>
      <c r="N123" s="456"/>
      <c r="O123" s="456"/>
      <c r="P123" s="456"/>
      <c r="Q123" s="456"/>
      <c r="R123" s="456"/>
      <c r="S123" s="396"/>
      <c r="T123" s="456"/>
      <c r="U123" s="456"/>
      <c r="V123" s="456"/>
      <c r="W123" s="456"/>
      <c r="X123" s="456"/>
      <c r="Y123" s="456"/>
      <c r="Z123" s="456"/>
      <c r="AA123" s="456"/>
      <c r="AB123" s="456"/>
      <c r="AC123" s="456"/>
      <c r="AD123" s="456"/>
      <c r="AE123" s="456"/>
      <c r="AF123" s="396"/>
      <c r="AG123" s="456"/>
      <c r="AH123" s="456"/>
      <c r="AI123" s="456"/>
      <c r="AJ123" s="456"/>
      <c r="AK123" s="456"/>
      <c r="AL123" s="456"/>
      <c r="AM123" s="456"/>
      <c r="AN123" s="456"/>
      <c r="AO123" s="456"/>
      <c r="AP123" s="456"/>
      <c r="AQ123" s="456"/>
      <c r="AR123" s="456"/>
      <c r="AS123" s="396"/>
      <c r="AT123" s="456"/>
      <c r="AU123" s="396"/>
      <c r="AV123" s="456"/>
      <c r="AW123" s="396"/>
      <c r="AX123" s="396"/>
      <c r="AY123" s="396"/>
      <c r="AZ123" s="396"/>
      <c r="BA123" s="396"/>
      <c r="BB123" s="396"/>
      <c r="BC123" s="396"/>
      <c r="BD123" s="396"/>
      <c r="BE123" s="396"/>
      <c r="BF123" s="396"/>
      <c r="BG123" s="396"/>
      <c r="BH123" s="396"/>
      <c r="BI123" s="396"/>
      <c r="BJ123" s="396"/>
      <c r="BK123" s="396"/>
      <c r="BL123" s="396"/>
      <c r="BM123" s="396"/>
      <c r="BN123" s="396"/>
      <c r="BO123" s="396"/>
      <c r="BP123" s="396"/>
      <c r="BQ123" s="430"/>
      <c r="BR123" s="430"/>
      <c r="BS123" s="396"/>
      <c r="BT123" s="396"/>
      <c r="BU123" s="396"/>
      <c r="BV123" s="396"/>
      <c r="BW123" s="396"/>
      <c r="BX123" s="396"/>
      <c r="BY123" s="396"/>
      <c r="BZ123" s="396"/>
      <c r="CA123" s="396"/>
      <c r="CB123" s="396"/>
      <c r="CC123" s="396"/>
      <c r="CD123" s="396"/>
      <c r="CE123" s="396"/>
      <c r="CF123" s="396"/>
      <c r="CG123" s="396"/>
      <c r="CH123" s="396"/>
      <c r="CI123" s="396"/>
      <c r="CJ123" s="396"/>
      <c r="CK123" s="396"/>
      <c r="CL123" s="396"/>
      <c r="CM123" s="396"/>
      <c r="CN123" s="396"/>
      <c r="CO123" s="396"/>
      <c r="CP123" s="396"/>
      <c r="CQ123" s="396"/>
      <c r="CR123" s="396"/>
      <c r="CS123" s="396"/>
      <c r="CT123" s="396"/>
      <c r="CU123" s="396"/>
      <c r="CV123" s="396"/>
      <c r="CW123" s="396"/>
      <c r="CX123" s="934"/>
      <c r="CY123" s="934"/>
      <c r="CZ123" s="934"/>
      <c r="DA123" s="934"/>
      <c r="DB123" s="767"/>
      <c r="DC123" s="767"/>
      <c r="DD123" s="934"/>
      <c r="DE123" s="934"/>
      <c r="DF123" s="934"/>
      <c r="DG123" s="934"/>
      <c r="DH123" s="396"/>
      <c r="DI123" s="934"/>
      <c r="DJ123" s="934"/>
      <c r="DK123" s="934"/>
      <c r="DL123" s="934"/>
      <c r="DM123" s="934"/>
      <c r="DN123" s="934"/>
      <c r="DO123" s="934"/>
      <c r="DP123" s="934"/>
      <c r="DQ123" s="934"/>
      <c r="DR123" s="934"/>
      <c r="DS123" s="934"/>
      <c r="DT123" s="934"/>
      <c r="DU123" s="396"/>
    </row>
    <row r="124" spans="1:126" ht="12.75" hidden="1" customHeight="1" outlineLevel="1">
      <c r="A124" s="40" t="s">
        <v>682</v>
      </c>
      <c r="B124" s="396"/>
      <c r="C124" s="456"/>
      <c r="D124" s="456"/>
      <c r="E124" s="456"/>
      <c r="F124" s="396"/>
      <c r="G124" s="456"/>
      <c r="H124" s="456"/>
      <c r="I124" s="456"/>
      <c r="J124" s="456"/>
      <c r="K124" s="456"/>
      <c r="L124" s="456"/>
      <c r="M124" s="456"/>
      <c r="N124" s="456"/>
      <c r="O124" s="456"/>
      <c r="P124" s="456"/>
      <c r="Q124" s="456"/>
      <c r="R124" s="456"/>
      <c r="S124" s="396"/>
      <c r="T124" s="456"/>
      <c r="U124" s="456"/>
      <c r="V124" s="456"/>
      <c r="W124" s="456"/>
      <c r="X124" s="456"/>
      <c r="Y124" s="456"/>
      <c r="Z124" s="456"/>
      <c r="AA124" s="456"/>
      <c r="AB124" s="456"/>
      <c r="AC124" s="456"/>
      <c r="AD124" s="456"/>
      <c r="AE124" s="456"/>
      <c r="AF124" s="396"/>
      <c r="AG124" s="456"/>
      <c r="AH124" s="456"/>
      <c r="AI124" s="456"/>
      <c r="AJ124" s="456"/>
      <c r="AK124" s="456"/>
      <c r="AL124" s="456"/>
      <c r="AM124" s="456"/>
      <c r="AN124" s="456"/>
      <c r="AO124" s="456"/>
      <c r="AP124" s="456"/>
      <c r="AQ124" s="456"/>
      <c r="AR124" s="456"/>
      <c r="AS124" s="396"/>
      <c r="AT124" s="456"/>
      <c r="AU124" s="396"/>
      <c r="AV124" s="456"/>
      <c r="AW124" s="396"/>
      <c r="AX124" s="396"/>
      <c r="AY124" s="396"/>
      <c r="AZ124" s="396"/>
      <c r="BA124" s="396"/>
      <c r="BB124" s="396"/>
      <c r="BC124" s="396"/>
      <c r="BD124" s="396"/>
      <c r="BE124" s="396"/>
      <c r="BF124" s="396"/>
      <c r="BG124" s="396"/>
      <c r="BH124" s="396"/>
      <c r="BI124" s="396"/>
      <c r="BJ124" s="396"/>
      <c r="BK124" s="396"/>
      <c r="BL124" s="396"/>
      <c r="BM124" s="396"/>
      <c r="BN124" s="396"/>
      <c r="BO124" s="396"/>
      <c r="BP124" s="396"/>
      <c r="BQ124" s="430"/>
      <c r="BR124" s="430"/>
      <c r="BS124" s="396"/>
      <c r="BT124" s="396"/>
      <c r="BU124" s="396"/>
      <c r="BV124" s="396"/>
      <c r="BW124" s="396"/>
      <c r="BX124" s="396"/>
      <c r="BY124" s="396"/>
      <c r="BZ124" s="396"/>
      <c r="CA124" s="396"/>
      <c r="CB124" s="396">
        <v>0</v>
      </c>
      <c r="CC124" s="396">
        <v>0</v>
      </c>
      <c r="CD124" s="396">
        <v>0</v>
      </c>
      <c r="CE124" s="396">
        <v>0</v>
      </c>
      <c r="CF124" s="396">
        <v>0</v>
      </c>
      <c r="CG124" s="396">
        <v>0</v>
      </c>
      <c r="CH124" s="396">
        <f>SUM(BV124:CG124)</f>
        <v>0</v>
      </c>
      <c r="CI124" s="396">
        <v>18646.240000000002</v>
      </c>
      <c r="CJ124" s="396">
        <v>16245.63</v>
      </c>
      <c r="CK124" s="396">
        <v>16306.47</v>
      </c>
      <c r="CL124" s="396">
        <f>17541.9+0.75</f>
        <v>17542.650000000001</v>
      </c>
      <c r="CM124" s="396">
        <f>18579.89+0.75</f>
        <v>18580.64</v>
      </c>
      <c r="CN124" s="396">
        <v>24184.81</v>
      </c>
      <c r="CO124" s="396">
        <v>21796.57</v>
      </c>
      <c r="CP124" s="396">
        <v>20596.37</v>
      </c>
      <c r="CQ124" s="396">
        <v>20946.02</v>
      </c>
      <c r="CR124" s="396">
        <v>22852.78</v>
      </c>
      <c r="CS124" s="396">
        <v>20262.28</v>
      </c>
      <c r="CT124" s="396">
        <v>18459.43</v>
      </c>
      <c r="CU124" s="396">
        <f>SUM(CI124:CT124)</f>
        <v>236419.88999999998</v>
      </c>
      <c r="CV124" s="396">
        <v>21064.09</v>
      </c>
      <c r="CW124" s="396">
        <v>28795.5</v>
      </c>
      <c r="CX124" s="934">
        <v>27659.31</v>
      </c>
      <c r="CY124" s="934">
        <v>25226.52</v>
      </c>
      <c r="CZ124" s="934">
        <v>27601.3</v>
      </c>
      <c r="DA124" s="934">
        <v>24479.53</v>
      </c>
      <c r="DB124" s="767">
        <v>24599.61</v>
      </c>
      <c r="DC124" s="767">
        <v>28402.080000000002</v>
      </c>
      <c r="DD124" s="934">
        <v>27136</v>
      </c>
      <c r="DE124" s="934">
        <v>29290.55</v>
      </c>
      <c r="DF124" s="934">
        <v>25421</v>
      </c>
      <c r="DG124" s="934">
        <v>28727</v>
      </c>
      <c r="DH124" s="396">
        <f t="shared" ref="DH124:DH125" si="120">SUM(CV124:DG124)</f>
        <v>318402.49</v>
      </c>
      <c r="DI124" s="934">
        <v>108119</v>
      </c>
      <c r="DJ124" s="934">
        <v>95326</v>
      </c>
      <c r="DK124" s="934">
        <v>116100</v>
      </c>
      <c r="DL124" s="934">
        <v>148154</v>
      </c>
      <c r="DM124" s="934">
        <v>231280</v>
      </c>
      <c r="DN124" s="934">
        <v>182163</v>
      </c>
      <c r="DO124" s="934">
        <v>225223</v>
      </c>
      <c r="DP124" s="934">
        <v>103134</v>
      </c>
      <c r="DQ124" s="934">
        <v>288643</v>
      </c>
      <c r="DR124" s="934">
        <v>128297</v>
      </c>
      <c r="DS124" s="934"/>
      <c r="DT124" s="934"/>
      <c r="DU124" s="396">
        <f t="shared" ref="DU124:DU125" si="121">SUM(DI124:DT124)</f>
        <v>1626439</v>
      </c>
    </row>
    <row r="125" spans="1:126" ht="12.75" hidden="1" customHeight="1" outlineLevel="1">
      <c r="A125" s="455" t="s">
        <v>687</v>
      </c>
      <c r="B125" s="396"/>
      <c r="C125" s="456"/>
      <c r="D125" s="456"/>
      <c r="E125" s="456"/>
      <c r="F125" s="396"/>
      <c r="G125" s="456"/>
      <c r="H125" s="456"/>
      <c r="I125" s="456"/>
      <c r="J125" s="456"/>
      <c r="K125" s="456"/>
      <c r="L125" s="456"/>
      <c r="M125" s="456"/>
      <c r="N125" s="456"/>
      <c r="O125" s="456"/>
      <c r="P125" s="456"/>
      <c r="Q125" s="456"/>
      <c r="R125" s="456"/>
      <c r="S125" s="396"/>
      <c r="T125" s="456"/>
      <c r="U125" s="456"/>
      <c r="V125" s="456"/>
      <c r="W125" s="456"/>
      <c r="X125" s="456"/>
      <c r="Y125" s="456"/>
      <c r="Z125" s="456"/>
      <c r="AA125" s="456"/>
      <c r="AB125" s="456"/>
      <c r="AC125" s="456"/>
      <c r="AD125" s="456"/>
      <c r="AE125" s="456"/>
      <c r="AF125" s="396"/>
      <c r="AG125" s="456"/>
      <c r="AH125" s="456"/>
      <c r="AI125" s="456"/>
      <c r="AJ125" s="456"/>
      <c r="AK125" s="456"/>
      <c r="AL125" s="456"/>
      <c r="AM125" s="456"/>
      <c r="AN125" s="456"/>
      <c r="AO125" s="456"/>
      <c r="AP125" s="456"/>
      <c r="AQ125" s="456"/>
      <c r="AR125" s="456"/>
      <c r="AS125" s="396"/>
      <c r="AT125" s="456"/>
      <c r="AU125" s="396"/>
      <c r="AV125" s="456"/>
      <c r="AW125" s="396"/>
      <c r="AX125" s="396"/>
      <c r="AY125" s="396"/>
      <c r="AZ125" s="396"/>
      <c r="BA125" s="396"/>
      <c r="BB125" s="396"/>
      <c r="BC125" s="396"/>
      <c r="BD125" s="396"/>
      <c r="BE125" s="396"/>
      <c r="BF125" s="396"/>
      <c r="BG125" s="396"/>
      <c r="BH125" s="396"/>
      <c r="BI125" s="396"/>
      <c r="BJ125" s="396"/>
      <c r="BK125" s="396"/>
      <c r="BL125" s="396"/>
      <c r="BM125" s="396"/>
      <c r="BN125" s="396"/>
      <c r="BO125" s="396"/>
      <c r="BP125" s="396"/>
      <c r="BQ125" s="430"/>
      <c r="BR125" s="430"/>
      <c r="BS125" s="396"/>
      <c r="BT125" s="396"/>
      <c r="BU125" s="396"/>
      <c r="BV125" s="396"/>
      <c r="BW125" s="396"/>
      <c r="BX125" s="396"/>
      <c r="BY125" s="396">
        <v>48397.79</v>
      </c>
      <c r="BZ125" s="396">
        <v>10393.18</v>
      </c>
      <c r="CA125" s="396">
        <v>68841.53</v>
      </c>
      <c r="CB125" s="396">
        <v>0</v>
      </c>
      <c r="CC125" s="396">
        <v>801</v>
      </c>
      <c r="CD125" s="396">
        <v>1739</v>
      </c>
      <c r="CE125" s="396">
        <v>0</v>
      </c>
      <c r="CF125" s="396">
        <v>0</v>
      </c>
      <c r="CG125" s="396">
        <v>0</v>
      </c>
      <c r="CH125" s="396">
        <f>SUM(BV125:CG125)</f>
        <v>130172.5</v>
      </c>
      <c r="CI125" s="396">
        <v>145</v>
      </c>
      <c r="CJ125" s="396">
        <v>50</v>
      </c>
      <c r="CK125" s="396">
        <v>700</v>
      </c>
      <c r="CL125" s="396">
        <v>13000</v>
      </c>
      <c r="CM125" s="396">
        <v>-10000</v>
      </c>
      <c r="CN125" s="396">
        <v>1000</v>
      </c>
      <c r="CO125" s="396">
        <v>918.65</v>
      </c>
      <c r="CP125" s="396">
        <v>3410</v>
      </c>
      <c r="CQ125" s="396">
        <v>0</v>
      </c>
      <c r="CR125" s="396">
        <v>0</v>
      </c>
      <c r="CS125" s="396">
        <v>0</v>
      </c>
      <c r="CT125" s="396">
        <v>2269</v>
      </c>
      <c r="CU125" s="396">
        <f>SUM(CI125:CT125)</f>
        <v>11492.65</v>
      </c>
      <c r="CV125" s="396">
        <v>1000</v>
      </c>
      <c r="CW125" s="396">
        <v>0</v>
      </c>
      <c r="CX125" s="934">
        <v>0</v>
      </c>
      <c r="CY125" s="934">
        <v>0</v>
      </c>
      <c r="CZ125" s="934">
        <v>0</v>
      </c>
      <c r="DA125" s="934">
        <v>0</v>
      </c>
      <c r="DB125" s="767">
        <v>0</v>
      </c>
      <c r="DC125" s="767">
        <v>0</v>
      </c>
      <c r="DD125" s="767">
        <v>0</v>
      </c>
      <c r="DE125" s="767">
        <v>0</v>
      </c>
      <c r="DF125" s="767">
        <v>0</v>
      </c>
      <c r="DG125" s="767">
        <v>0</v>
      </c>
      <c r="DH125" s="396">
        <f t="shared" si="120"/>
        <v>1000</v>
      </c>
      <c r="DI125" s="767">
        <v>0</v>
      </c>
      <c r="DJ125" s="767">
        <v>0</v>
      </c>
      <c r="DK125" s="767">
        <v>0</v>
      </c>
      <c r="DL125" s="767">
        <v>0</v>
      </c>
      <c r="DM125" s="767">
        <v>0</v>
      </c>
      <c r="DN125" s="767">
        <v>0</v>
      </c>
      <c r="DO125" s="767">
        <v>0</v>
      </c>
      <c r="DP125" s="767">
        <v>0</v>
      </c>
      <c r="DQ125" s="767">
        <v>0</v>
      </c>
      <c r="DR125" s="767">
        <v>0</v>
      </c>
      <c r="DS125" s="767">
        <v>0</v>
      </c>
      <c r="DT125" s="767">
        <v>0</v>
      </c>
      <c r="DU125" s="396">
        <f t="shared" si="121"/>
        <v>0</v>
      </c>
    </row>
    <row r="126" spans="1:126" ht="12.75" customHeight="1" collapsed="1">
      <c r="A126" s="17" t="s">
        <v>730</v>
      </c>
      <c r="B126" s="18"/>
      <c r="C126" s="19"/>
      <c r="D126" s="19"/>
      <c r="E126" s="19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8"/>
      <c r="T126" s="20">
        <f t="shared" ref="T126:CE126" si="122">SUM(T124:T125)</f>
        <v>0</v>
      </c>
      <c r="U126" s="19">
        <f t="shared" si="122"/>
        <v>0</v>
      </c>
      <c r="V126" s="19">
        <f t="shared" si="122"/>
        <v>0</v>
      </c>
      <c r="W126" s="19">
        <f t="shared" si="122"/>
        <v>0</v>
      </c>
      <c r="X126" s="19">
        <f t="shared" si="122"/>
        <v>0</v>
      </c>
      <c r="Y126" s="19">
        <f t="shared" si="122"/>
        <v>0</v>
      </c>
      <c r="Z126" s="19">
        <f t="shared" si="122"/>
        <v>0</v>
      </c>
      <c r="AA126" s="19">
        <f t="shared" si="122"/>
        <v>0</v>
      </c>
      <c r="AB126" s="19">
        <f t="shared" si="122"/>
        <v>0</v>
      </c>
      <c r="AC126" s="19">
        <f t="shared" si="122"/>
        <v>0</v>
      </c>
      <c r="AD126" s="19">
        <f t="shared" si="122"/>
        <v>0</v>
      </c>
      <c r="AE126" s="19">
        <f t="shared" si="122"/>
        <v>0</v>
      </c>
      <c r="AF126" s="397">
        <f t="shared" si="122"/>
        <v>0</v>
      </c>
      <c r="AG126" s="19">
        <f t="shared" si="122"/>
        <v>0</v>
      </c>
      <c r="AH126" s="19">
        <f t="shared" si="122"/>
        <v>0</v>
      </c>
      <c r="AI126" s="19">
        <f t="shared" si="122"/>
        <v>0</v>
      </c>
      <c r="AJ126" s="19">
        <f t="shared" si="122"/>
        <v>0</v>
      </c>
      <c r="AK126" s="19">
        <f t="shared" si="122"/>
        <v>0</v>
      </c>
      <c r="AL126" s="19">
        <f t="shared" si="122"/>
        <v>0</v>
      </c>
      <c r="AM126" s="19">
        <f t="shared" si="122"/>
        <v>0</v>
      </c>
      <c r="AN126" s="19">
        <f t="shared" si="122"/>
        <v>0</v>
      </c>
      <c r="AO126" s="19">
        <f t="shared" si="122"/>
        <v>0</v>
      </c>
      <c r="AP126" s="19">
        <f t="shared" si="122"/>
        <v>0</v>
      </c>
      <c r="AQ126" s="19">
        <f t="shared" si="122"/>
        <v>0</v>
      </c>
      <c r="AR126" s="19">
        <f t="shared" si="122"/>
        <v>0</v>
      </c>
      <c r="AS126" s="18">
        <f t="shared" si="122"/>
        <v>0</v>
      </c>
      <c r="AT126" s="19">
        <f t="shared" si="122"/>
        <v>0</v>
      </c>
      <c r="AU126" s="397">
        <f t="shared" si="122"/>
        <v>0</v>
      </c>
      <c r="AV126" s="19">
        <f t="shared" si="122"/>
        <v>0</v>
      </c>
      <c r="AW126" s="18">
        <f t="shared" si="122"/>
        <v>0</v>
      </c>
      <c r="AX126" s="18">
        <f t="shared" si="122"/>
        <v>0</v>
      </c>
      <c r="AY126" s="18">
        <f t="shared" si="122"/>
        <v>0</v>
      </c>
      <c r="AZ126" s="18">
        <f t="shared" si="122"/>
        <v>0</v>
      </c>
      <c r="BA126" s="18">
        <f t="shared" si="122"/>
        <v>0</v>
      </c>
      <c r="BB126" s="18">
        <f t="shared" si="122"/>
        <v>0</v>
      </c>
      <c r="BC126" s="18">
        <f t="shared" si="122"/>
        <v>0</v>
      </c>
      <c r="BD126" s="18">
        <f t="shared" si="122"/>
        <v>0</v>
      </c>
      <c r="BE126" s="18">
        <f t="shared" si="122"/>
        <v>0</v>
      </c>
      <c r="BF126" s="18">
        <f t="shared" si="122"/>
        <v>0</v>
      </c>
      <c r="BG126" s="18">
        <f t="shared" si="122"/>
        <v>0</v>
      </c>
      <c r="BH126" s="397">
        <f t="shared" si="122"/>
        <v>0</v>
      </c>
      <c r="BI126" s="18">
        <f t="shared" si="122"/>
        <v>0</v>
      </c>
      <c r="BJ126" s="18">
        <f t="shared" si="122"/>
        <v>0</v>
      </c>
      <c r="BK126" s="18">
        <f t="shared" si="122"/>
        <v>0</v>
      </c>
      <c r="BL126" s="18">
        <f t="shared" si="122"/>
        <v>0</v>
      </c>
      <c r="BM126" s="18">
        <f t="shared" si="122"/>
        <v>0</v>
      </c>
      <c r="BN126" s="18">
        <f t="shared" si="122"/>
        <v>0</v>
      </c>
      <c r="BO126" s="18">
        <f t="shared" si="122"/>
        <v>0</v>
      </c>
      <c r="BP126" s="18">
        <f t="shared" si="122"/>
        <v>0</v>
      </c>
      <c r="BQ126" s="22">
        <f t="shared" si="122"/>
        <v>0</v>
      </c>
      <c r="BR126" s="22">
        <f t="shared" si="122"/>
        <v>0</v>
      </c>
      <c r="BS126" s="18">
        <f t="shared" si="122"/>
        <v>0</v>
      </c>
      <c r="BT126" s="18">
        <f t="shared" si="122"/>
        <v>0</v>
      </c>
      <c r="BU126" s="397">
        <f t="shared" si="122"/>
        <v>0</v>
      </c>
      <c r="BV126" s="18">
        <f t="shared" si="122"/>
        <v>0</v>
      </c>
      <c r="BW126" s="18">
        <f t="shared" si="122"/>
        <v>0</v>
      </c>
      <c r="BX126" s="18">
        <f t="shared" si="122"/>
        <v>0</v>
      </c>
      <c r="BY126" s="18">
        <f t="shared" si="122"/>
        <v>48397.79</v>
      </c>
      <c r="BZ126" s="18">
        <f t="shared" si="122"/>
        <v>10393.18</v>
      </c>
      <c r="CA126" s="18">
        <f t="shared" si="122"/>
        <v>68841.53</v>
      </c>
      <c r="CB126" s="18">
        <f t="shared" si="122"/>
        <v>0</v>
      </c>
      <c r="CC126" s="18">
        <f t="shared" si="122"/>
        <v>801</v>
      </c>
      <c r="CD126" s="18">
        <f t="shared" si="122"/>
        <v>1739</v>
      </c>
      <c r="CE126" s="18">
        <f t="shared" si="122"/>
        <v>0</v>
      </c>
      <c r="CF126" s="18">
        <f t="shared" ref="CF126:CS126" si="123">SUM(CF124:CF125)</f>
        <v>0</v>
      </c>
      <c r="CG126" s="18">
        <f t="shared" si="123"/>
        <v>0</v>
      </c>
      <c r="CH126" s="397">
        <f t="shared" si="123"/>
        <v>130172.5</v>
      </c>
      <c r="CI126" s="18">
        <f t="shared" si="123"/>
        <v>18791.240000000002</v>
      </c>
      <c r="CJ126" s="18">
        <f t="shared" si="123"/>
        <v>16295.63</v>
      </c>
      <c r="CK126" s="18">
        <f t="shared" si="123"/>
        <v>17006.47</v>
      </c>
      <c r="CL126" s="18">
        <f t="shared" si="123"/>
        <v>30542.65</v>
      </c>
      <c r="CM126" s="18">
        <f t="shared" si="123"/>
        <v>8580.64</v>
      </c>
      <c r="CN126" s="18">
        <f t="shared" si="123"/>
        <v>25184.81</v>
      </c>
      <c r="CO126" s="18">
        <f t="shared" si="123"/>
        <v>22715.22</v>
      </c>
      <c r="CP126" s="18">
        <f t="shared" si="123"/>
        <v>24006.37</v>
      </c>
      <c r="CQ126" s="18">
        <f t="shared" si="123"/>
        <v>20946.02</v>
      </c>
      <c r="CR126" s="18">
        <f t="shared" si="123"/>
        <v>22852.78</v>
      </c>
      <c r="CS126" s="18">
        <f t="shared" si="123"/>
        <v>20262.28</v>
      </c>
      <c r="CT126" s="18">
        <f t="shared" ref="CT126:CY126" si="124">SUM(CT124:CT125)</f>
        <v>20728.43</v>
      </c>
      <c r="CU126" s="397">
        <f t="shared" si="124"/>
        <v>247912.53999999998</v>
      </c>
      <c r="CV126" s="397">
        <f t="shared" si="124"/>
        <v>22064.09</v>
      </c>
      <c r="CW126" s="397">
        <f t="shared" si="124"/>
        <v>28795.5</v>
      </c>
      <c r="CX126" s="397">
        <f t="shared" si="124"/>
        <v>27659.31</v>
      </c>
      <c r="CY126" s="397">
        <f t="shared" si="124"/>
        <v>25226.52</v>
      </c>
      <c r="CZ126" s="397">
        <f t="shared" ref="CZ126:DH126" si="125">SUM(CZ124:CZ125)</f>
        <v>27601.3</v>
      </c>
      <c r="DA126" s="397">
        <f t="shared" si="125"/>
        <v>24479.53</v>
      </c>
      <c r="DB126" s="22">
        <f t="shared" si="125"/>
        <v>24599.61</v>
      </c>
      <c r="DC126" s="22">
        <f t="shared" si="125"/>
        <v>28402.080000000002</v>
      </c>
      <c r="DD126" s="22">
        <f t="shared" ref="DD126" si="126">SUM(DD124:DD125)</f>
        <v>27136</v>
      </c>
      <c r="DE126" s="22">
        <f t="shared" si="125"/>
        <v>29290.55</v>
      </c>
      <c r="DF126" s="22">
        <f t="shared" si="125"/>
        <v>25421</v>
      </c>
      <c r="DG126" s="22">
        <f t="shared" si="125"/>
        <v>28727</v>
      </c>
      <c r="DH126" s="397">
        <f t="shared" si="125"/>
        <v>319402.49</v>
      </c>
      <c r="DI126" s="22">
        <f>SUM(DI124:DI125)</f>
        <v>108119</v>
      </c>
      <c r="DJ126" s="22">
        <f t="shared" ref="DJ126" si="127">SUM(DJ124:DJ125)</f>
        <v>95326</v>
      </c>
      <c r="DK126" s="22">
        <f t="shared" ref="DK126:DU126" si="128">SUM(DK124:DK125)</f>
        <v>116100</v>
      </c>
      <c r="DL126" s="22">
        <f t="shared" si="128"/>
        <v>148154</v>
      </c>
      <c r="DM126" s="22">
        <f t="shared" si="128"/>
        <v>231280</v>
      </c>
      <c r="DN126" s="22">
        <f t="shared" si="128"/>
        <v>182163</v>
      </c>
      <c r="DO126" s="22">
        <f t="shared" si="128"/>
        <v>225223</v>
      </c>
      <c r="DP126" s="22">
        <f t="shared" si="128"/>
        <v>103134</v>
      </c>
      <c r="DQ126" s="22">
        <f t="shared" si="128"/>
        <v>288643</v>
      </c>
      <c r="DR126" s="22">
        <f t="shared" si="128"/>
        <v>128297</v>
      </c>
      <c r="DS126" s="22">
        <f t="shared" si="128"/>
        <v>0</v>
      </c>
      <c r="DT126" s="22">
        <f t="shared" si="128"/>
        <v>0</v>
      </c>
      <c r="DU126" s="397">
        <f t="shared" si="128"/>
        <v>1626439</v>
      </c>
    </row>
    <row r="127" spans="1:126" ht="12.75" hidden="1" customHeight="1">
      <c r="A127" s="455"/>
      <c r="B127" s="396"/>
      <c r="C127" s="456"/>
      <c r="D127" s="456"/>
      <c r="E127" s="456"/>
      <c r="F127" s="396"/>
      <c r="G127" s="456"/>
      <c r="H127" s="456"/>
      <c r="I127" s="456"/>
      <c r="J127" s="456"/>
      <c r="K127" s="456"/>
      <c r="L127" s="456"/>
      <c r="M127" s="456"/>
      <c r="N127" s="456"/>
      <c r="O127" s="456"/>
      <c r="P127" s="456"/>
      <c r="Q127" s="456"/>
      <c r="R127" s="456"/>
      <c r="S127" s="396"/>
      <c r="T127" s="456"/>
      <c r="U127" s="456"/>
      <c r="V127" s="456"/>
      <c r="W127" s="456"/>
      <c r="X127" s="456"/>
      <c r="Y127" s="456"/>
      <c r="Z127" s="456"/>
      <c r="AA127" s="456"/>
      <c r="AB127" s="456"/>
      <c r="AC127" s="456"/>
      <c r="AD127" s="456"/>
      <c r="AE127" s="456"/>
      <c r="AF127" s="396"/>
      <c r="AG127" s="456"/>
      <c r="AH127" s="456"/>
      <c r="AI127" s="456"/>
      <c r="AJ127" s="456"/>
      <c r="AK127" s="456"/>
      <c r="AL127" s="456"/>
      <c r="AM127" s="456"/>
      <c r="AN127" s="456"/>
      <c r="AO127" s="456"/>
      <c r="AP127" s="456"/>
      <c r="AQ127" s="456"/>
      <c r="AR127" s="456"/>
      <c r="AS127" s="396"/>
      <c r="AT127" s="456"/>
      <c r="AU127" s="396"/>
      <c r="AV127" s="456"/>
      <c r="AW127" s="396"/>
      <c r="AX127" s="396"/>
      <c r="AY127" s="396"/>
      <c r="AZ127" s="396"/>
      <c r="BA127" s="396"/>
      <c r="BB127" s="396"/>
      <c r="BC127" s="396"/>
      <c r="BD127" s="396"/>
      <c r="BE127" s="396"/>
      <c r="BF127" s="396"/>
      <c r="BG127" s="396"/>
      <c r="BH127" s="396"/>
      <c r="BI127" s="396"/>
      <c r="BJ127" s="396"/>
      <c r="BK127" s="396"/>
      <c r="BL127" s="396"/>
      <c r="BM127" s="396"/>
      <c r="BN127" s="396"/>
      <c r="BO127" s="396"/>
      <c r="BP127" s="396"/>
      <c r="BQ127" s="430"/>
      <c r="BR127" s="430"/>
      <c r="BS127" s="396"/>
      <c r="BT127" s="396"/>
      <c r="BU127" s="396"/>
      <c r="BV127" s="396"/>
      <c r="BW127" s="396"/>
      <c r="BX127" s="396"/>
      <c r="BY127" s="396"/>
      <c r="BZ127" s="396"/>
      <c r="CA127" s="396"/>
      <c r="CB127" s="396"/>
      <c r="CC127" s="396"/>
      <c r="CD127" s="396"/>
      <c r="CE127" s="396"/>
      <c r="CF127" s="396"/>
      <c r="CG127" s="396"/>
      <c r="CH127" s="396"/>
      <c r="CI127" s="396"/>
      <c r="CJ127" s="396"/>
      <c r="CK127" s="396"/>
      <c r="CL127" s="396"/>
      <c r="CM127" s="396"/>
      <c r="CN127" s="396"/>
      <c r="CO127" s="396"/>
      <c r="CP127" s="396"/>
      <c r="CQ127" s="396"/>
      <c r="CR127" s="396"/>
      <c r="CS127" s="396"/>
      <c r="CT127" s="396"/>
      <c r="CU127" s="396"/>
      <c r="CV127" s="396"/>
      <c r="CW127" s="396"/>
      <c r="CX127" s="934"/>
      <c r="CY127" s="934"/>
      <c r="CZ127" s="934"/>
      <c r="DA127" s="934"/>
      <c r="DB127" s="767"/>
      <c r="DC127" s="767"/>
      <c r="DD127" s="934"/>
      <c r="DE127" s="934"/>
      <c r="DF127" s="934"/>
      <c r="DG127" s="934"/>
      <c r="DH127" s="396"/>
      <c r="DI127" s="934"/>
      <c r="DJ127" s="934"/>
      <c r="DK127" s="934"/>
      <c r="DL127" s="934"/>
      <c r="DM127" s="934"/>
      <c r="DN127" s="934"/>
      <c r="DO127" s="934"/>
      <c r="DP127" s="934"/>
      <c r="DQ127" s="934"/>
      <c r="DR127" s="934"/>
      <c r="DS127" s="934"/>
      <c r="DT127" s="934"/>
      <c r="DU127" s="396"/>
    </row>
    <row r="128" spans="1:126" ht="12.75" customHeight="1">
      <c r="A128" s="455"/>
      <c r="B128" s="396"/>
      <c r="C128" s="456"/>
      <c r="D128" s="456"/>
      <c r="E128" s="456"/>
      <c r="F128" s="396"/>
      <c r="G128" s="456"/>
      <c r="H128" s="456"/>
      <c r="I128" s="456"/>
      <c r="J128" s="456"/>
      <c r="K128" s="456"/>
      <c r="L128" s="456"/>
      <c r="M128" s="456"/>
      <c r="N128" s="456"/>
      <c r="O128" s="456"/>
      <c r="P128" s="456"/>
      <c r="Q128" s="456"/>
      <c r="R128" s="456"/>
      <c r="S128" s="396"/>
      <c r="T128" s="456"/>
      <c r="U128" s="456"/>
      <c r="V128" s="456"/>
      <c r="W128" s="456"/>
      <c r="X128" s="456"/>
      <c r="Y128" s="456"/>
      <c r="Z128" s="456"/>
      <c r="AA128" s="456"/>
      <c r="AB128" s="456"/>
      <c r="AC128" s="456"/>
      <c r="AD128" s="456"/>
      <c r="AE128" s="456"/>
      <c r="AF128" s="396"/>
      <c r="AG128" s="456"/>
      <c r="AH128" s="456"/>
      <c r="AI128" s="456"/>
      <c r="AJ128" s="456"/>
      <c r="AK128" s="456"/>
      <c r="AL128" s="456"/>
      <c r="AM128" s="456"/>
      <c r="AN128" s="456"/>
      <c r="AO128" s="456"/>
      <c r="AP128" s="456"/>
      <c r="AQ128" s="456"/>
      <c r="AR128" s="456"/>
      <c r="AS128" s="396"/>
      <c r="AT128" s="456"/>
      <c r="AU128" s="396"/>
      <c r="AV128" s="456"/>
      <c r="AW128" s="396"/>
      <c r="AX128" s="396"/>
      <c r="AY128" s="396"/>
      <c r="AZ128" s="396"/>
      <c r="BA128" s="396"/>
      <c r="BB128" s="396"/>
      <c r="BC128" s="396"/>
      <c r="BD128" s="396"/>
      <c r="BE128" s="396"/>
      <c r="BF128" s="396"/>
      <c r="BG128" s="396"/>
      <c r="BH128" s="396"/>
      <c r="BI128" s="396"/>
      <c r="BJ128" s="396"/>
      <c r="BK128" s="396"/>
      <c r="BL128" s="396"/>
      <c r="BM128" s="396"/>
      <c r="BN128" s="396"/>
      <c r="BO128" s="396"/>
      <c r="BP128" s="396"/>
      <c r="BQ128" s="430"/>
      <c r="BR128" s="430"/>
      <c r="BS128" s="396"/>
      <c r="BT128" s="396"/>
      <c r="BU128" s="396"/>
      <c r="BV128" s="396"/>
      <c r="BW128" s="396"/>
      <c r="BX128" s="396"/>
      <c r="BY128" s="396"/>
      <c r="BZ128" s="396"/>
      <c r="CA128" s="396"/>
      <c r="CB128" s="396"/>
      <c r="CC128" s="396"/>
      <c r="CD128" s="396"/>
      <c r="CE128" s="396"/>
      <c r="CF128" s="396"/>
      <c r="CG128" s="396"/>
      <c r="CH128" s="396"/>
      <c r="CI128" s="396"/>
      <c r="CJ128" s="396"/>
      <c r="CK128" s="396"/>
      <c r="CL128" s="396"/>
      <c r="CM128" s="396"/>
      <c r="CN128" s="396"/>
      <c r="CO128" s="396"/>
      <c r="CP128" s="396"/>
      <c r="CQ128" s="396"/>
      <c r="CR128" s="396"/>
      <c r="CS128" s="396"/>
      <c r="CT128" s="396"/>
      <c r="CU128" s="396"/>
      <c r="CV128" s="396"/>
      <c r="CW128" s="396"/>
      <c r="CX128" s="934"/>
      <c r="CY128" s="934"/>
      <c r="CZ128" s="934"/>
      <c r="DA128" s="934"/>
      <c r="DB128" s="767"/>
      <c r="DC128" s="767"/>
      <c r="DD128" s="934"/>
      <c r="DE128" s="934"/>
      <c r="DF128" s="934"/>
      <c r="DG128" s="934"/>
      <c r="DH128" s="396"/>
      <c r="DI128" s="934"/>
      <c r="DJ128" s="934"/>
      <c r="DK128" s="934"/>
      <c r="DL128" s="934"/>
      <c r="DM128" s="934"/>
      <c r="DN128" s="934"/>
      <c r="DO128" s="934"/>
      <c r="DP128" s="934"/>
      <c r="DQ128" s="934"/>
      <c r="DR128" s="934"/>
      <c r="DS128" s="934"/>
      <c r="DT128" s="934"/>
      <c r="DU128" s="396"/>
    </row>
    <row r="129" spans="1:125" ht="12.75" customHeight="1">
      <c r="A129" s="40" t="s">
        <v>686</v>
      </c>
      <c r="B129" s="12"/>
      <c r="C129" s="4"/>
      <c r="D129" s="4"/>
      <c r="E129" s="4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12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396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12"/>
      <c r="AT129" s="4"/>
      <c r="AU129" s="396"/>
      <c r="AV129" s="4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396"/>
      <c r="BI129" s="12"/>
      <c r="BJ129" s="12"/>
      <c r="BK129" s="12"/>
      <c r="BL129" s="12"/>
      <c r="BM129" s="12"/>
      <c r="BN129" s="12"/>
      <c r="BO129" s="12"/>
      <c r="BP129" s="12"/>
      <c r="BQ129" s="15">
        <v>5000</v>
      </c>
      <c r="BR129" s="15">
        <v>11009.17</v>
      </c>
      <c r="BS129" s="12">
        <v>14105.13</v>
      </c>
      <c r="BT129" s="396">
        <v>31022.720000000001</v>
      </c>
      <c r="BU129" s="396">
        <f>SUM(BI129:BT129)</f>
        <v>61137.020000000004</v>
      </c>
      <c r="BV129" s="396">
        <v>60773.120000000003</v>
      </c>
      <c r="BW129" s="12">
        <v>49252.160000000003</v>
      </c>
      <c r="BX129" s="12">
        <v>136654.71</v>
      </c>
      <c r="BY129" s="396">
        <v>250470.55</v>
      </c>
      <c r="BZ129" s="396">
        <v>484799.51</v>
      </c>
      <c r="CA129" s="396">
        <v>0</v>
      </c>
      <c r="CB129" s="396">
        <v>42839.06</v>
      </c>
      <c r="CC129" s="396">
        <v>7907.29</v>
      </c>
      <c r="CD129" s="396">
        <v>7911.04</v>
      </c>
      <c r="CE129" s="396">
        <v>4901.87</v>
      </c>
      <c r="CF129" s="396">
        <v>4901.87</v>
      </c>
      <c r="CG129" s="396">
        <v>4901.87</v>
      </c>
      <c r="CH129" s="396">
        <f>SUM(BV129:CG129)</f>
        <v>1055313.0500000003</v>
      </c>
      <c r="CI129" s="396">
        <v>126822.71</v>
      </c>
      <c r="CJ129" s="396">
        <v>179897.69</v>
      </c>
      <c r="CK129" s="396">
        <v>177525.82</v>
      </c>
      <c r="CL129" s="396">
        <f>407425.82-129900</f>
        <v>277525.82</v>
      </c>
      <c r="CM129" s="396">
        <v>973067.32</v>
      </c>
      <c r="CN129" s="396">
        <v>338789.82</v>
      </c>
      <c r="CO129" s="396">
        <v>193782.88</v>
      </c>
      <c r="CP129" s="396">
        <v>300506.15999999997</v>
      </c>
      <c r="CQ129" s="396">
        <v>238123.41</v>
      </c>
      <c r="CR129" s="396">
        <v>190077.2</v>
      </c>
      <c r="CS129" s="396">
        <v>188813.34</v>
      </c>
      <c r="CT129" s="396">
        <v>263125.48</v>
      </c>
      <c r="CU129" s="396">
        <f>SUM(CI129:CT129)</f>
        <v>3448057.6500000004</v>
      </c>
      <c r="CV129" s="396">
        <v>151127.56</v>
      </c>
      <c r="CW129" s="396">
        <v>99995.27</v>
      </c>
      <c r="CX129" s="934">
        <v>87140.76</v>
      </c>
      <c r="CY129" s="934">
        <v>244609.3</v>
      </c>
      <c r="CZ129" s="934">
        <v>346661.82</v>
      </c>
      <c r="DA129" s="934">
        <v>254622.65</v>
      </c>
      <c r="DB129" s="767">
        <v>287812.98</v>
      </c>
      <c r="DC129" s="767">
        <v>163841.65</v>
      </c>
      <c r="DD129" s="934">
        <v>491203.98</v>
      </c>
      <c r="DE129" s="934">
        <v>318585.78999999998</v>
      </c>
      <c r="DF129" s="934">
        <v>337723.8</v>
      </c>
      <c r="DG129" s="934">
        <v>242655.54</v>
      </c>
      <c r="DH129" s="396">
        <f t="shared" ref="DH129:DH139" si="129">SUM(CV129:DG129)</f>
        <v>3025981.0999999996</v>
      </c>
      <c r="DI129" s="934">
        <v>170351.35</v>
      </c>
      <c r="DJ129" s="934">
        <v>114926.28</v>
      </c>
      <c r="DK129" s="934">
        <v>120826.5</v>
      </c>
      <c r="DL129" s="934">
        <v>372807.43</v>
      </c>
      <c r="DM129" s="934">
        <v>83200.710000000006</v>
      </c>
      <c r="DN129" s="934">
        <v>270207.5</v>
      </c>
      <c r="DO129" s="934">
        <v>152473.16</v>
      </c>
      <c r="DP129" s="934">
        <v>116731.67</v>
      </c>
      <c r="DQ129" s="934">
        <v>-7146.5</v>
      </c>
      <c r="DR129" s="934">
        <v>115570.84</v>
      </c>
      <c r="DS129" s="934"/>
      <c r="DT129" s="934"/>
      <c r="DU129" s="396">
        <f t="shared" ref="DU129:DU139" si="130">SUM(DI129:DT129)</f>
        <v>1509948.94</v>
      </c>
    </row>
    <row r="130" spans="1:125" ht="15" hidden="1" customHeight="1">
      <c r="AF130" s="938"/>
      <c r="AU130" s="938"/>
      <c r="BH130" s="938"/>
      <c r="BU130" s="938"/>
      <c r="CH130" s="938"/>
      <c r="CU130" s="938"/>
      <c r="CV130" s="938"/>
      <c r="CW130" s="938"/>
      <c r="CX130" s="511"/>
      <c r="CY130" s="511"/>
      <c r="CZ130" s="511"/>
      <c r="DA130" s="511"/>
      <c r="DB130" s="511"/>
      <c r="DC130" s="511"/>
      <c r="DD130" s="511"/>
      <c r="DE130" s="511"/>
      <c r="DF130" s="511"/>
      <c r="DG130" s="511"/>
      <c r="DH130" s="396">
        <f t="shared" si="129"/>
        <v>0</v>
      </c>
      <c r="DI130" s="511"/>
      <c r="DJ130" s="511"/>
      <c r="DK130" s="511"/>
      <c r="DL130" s="511"/>
      <c r="DM130" s="511"/>
      <c r="DN130" s="511"/>
      <c r="DO130" s="511">
        <v>695877.74</v>
      </c>
      <c r="DP130" s="511"/>
      <c r="DQ130" s="511"/>
      <c r="DR130" s="511"/>
      <c r="DS130" s="511"/>
      <c r="DT130" s="511"/>
      <c r="DU130" s="396">
        <f t="shared" si="130"/>
        <v>695877.74</v>
      </c>
    </row>
    <row r="131" spans="1:125" ht="12.75" customHeight="1">
      <c r="A131" s="40" t="s">
        <v>731</v>
      </c>
      <c r="B131" s="12"/>
      <c r="C131" s="4"/>
      <c r="D131" s="4"/>
      <c r="E131" s="4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12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396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12"/>
      <c r="AT131" s="4"/>
      <c r="AU131" s="396"/>
      <c r="AV131" s="4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396"/>
      <c r="BI131" s="12"/>
      <c r="BJ131" s="12"/>
      <c r="BK131" s="12"/>
      <c r="BL131" s="12"/>
      <c r="BM131" s="12"/>
      <c r="BN131" s="12"/>
      <c r="BO131" s="12"/>
      <c r="BP131" s="12"/>
      <c r="BQ131" s="15">
        <v>1906</v>
      </c>
      <c r="BR131" s="15">
        <v>4516.51</v>
      </c>
      <c r="BS131" s="12">
        <v>6548.82</v>
      </c>
      <c r="BT131" s="396">
        <v>6433.42</v>
      </c>
      <c r="BU131" s="396">
        <f>SUM(BI131:BT131)</f>
        <v>19404.75</v>
      </c>
      <c r="BV131" s="396">
        <v>6461.3</v>
      </c>
      <c r="BW131" s="12">
        <v>46565.78</v>
      </c>
      <c r="BX131" s="12">
        <v>-34047.300000000003</v>
      </c>
      <c r="BY131" s="396">
        <v>7138.07</v>
      </c>
      <c r="BZ131" s="396">
        <v>7302.31</v>
      </c>
      <c r="CA131" s="396">
        <v>7467.08</v>
      </c>
      <c r="CB131" s="396">
        <v>7577.86</v>
      </c>
      <c r="CC131" s="396">
        <v>10017.33</v>
      </c>
      <c r="CD131" s="396">
        <v>6669</v>
      </c>
      <c r="CE131" s="396">
        <v>5272.57</v>
      </c>
      <c r="CF131" s="396">
        <v>5191.97</v>
      </c>
      <c r="CG131" s="396">
        <v>5297.3</v>
      </c>
      <c r="CH131" s="396">
        <f>SUM(BV131:CG131)</f>
        <v>80913.27</v>
      </c>
      <c r="CI131" s="396">
        <v>628621.26</v>
      </c>
      <c r="CJ131" s="396">
        <v>672338</v>
      </c>
      <c r="CK131" s="396">
        <v>686820</v>
      </c>
      <c r="CL131" s="396">
        <v>682323.32</v>
      </c>
      <c r="CM131" s="396">
        <v>677183.83</v>
      </c>
      <c r="CN131" s="396">
        <v>682085.7</v>
      </c>
      <c r="CO131" s="396">
        <v>698138.54</v>
      </c>
      <c r="CP131" s="396">
        <v>737117.08</v>
      </c>
      <c r="CQ131" s="396">
        <v>738905.76</v>
      </c>
      <c r="CR131" s="396">
        <v>735366.59</v>
      </c>
      <c r="CS131" s="396">
        <v>741727.37</v>
      </c>
      <c r="CT131" s="396">
        <v>765140.06</v>
      </c>
      <c r="CU131" s="396">
        <f>SUM(CI131:CT131)</f>
        <v>8445767.5099999998</v>
      </c>
      <c r="CV131" s="396">
        <v>702591.07</v>
      </c>
      <c r="CW131" s="396">
        <v>722199.25</v>
      </c>
      <c r="CX131" s="934">
        <v>722556.6</v>
      </c>
      <c r="CY131" s="934">
        <v>715413.45</v>
      </c>
      <c r="CZ131" s="934">
        <v>495590.77</v>
      </c>
      <c r="DA131" s="934">
        <v>631130.92000000004</v>
      </c>
      <c r="DB131" s="767">
        <v>544813.86</v>
      </c>
      <c r="DC131" s="767">
        <v>93157.3</v>
      </c>
      <c r="DD131" s="934">
        <v>634228.89</v>
      </c>
      <c r="DE131" s="934">
        <v>587278.81000000006</v>
      </c>
      <c r="DF131" s="934">
        <v>844388.81</v>
      </c>
      <c r="DG131" s="934">
        <v>968082.74</v>
      </c>
      <c r="DH131" s="396">
        <f t="shared" si="129"/>
        <v>7661432.4700000007</v>
      </c>
      <c r="DI131" s="934">
        <v>1111337.75</v>
      </c>
      <c r="DJ131" s="934">
        <v>849165.29</v>
      </c>
      <c r="DK131" s="934">
        <v>1122352.27</v>
      </c>
      <c r="DL131" s="934">
        <v>1285172.8</v>
      </c>
      <c r="DM131" s="934">
        <v>1182810.24</v>
      </c>
      <c r="DN131" s="934">
        <v>1529310.9</v>
      </c>
      <c r="DO131" s="934">
        <v>741377.74</v>
      </c>
      <c r="DP131" s="934">
        <v>906062.7</v>
      </c>
      <c r="DQ131" s="934">
        <v>807483.91</v>
      </c>
      <c r="DR131" s="934">
        <v>794618.86</v>
      </c>
      <c r="DS131" s="934"/>
      <c r="DT131" s="934"/>
      <c r="DU131" s="396">
        <f t="shared" si="130"/>
        <v>10329692.459999999</v>
      </c>
    </row>
    <row r="132" spans="1:125" ht="12.75" hidden="1" customHeight="1">
      <c r="A132" s="455"/>
      <c r="B132" s="396"/>
      <c r="C132" s="456"/>
      <c r="D132" s="456"/>
      <c r="E132" s="456"/>
      <c r="F132" s="396"/>
      <c r="G132" s="456"/>
      <c r="H132" s="456"/>
      <c r="I132" s="456"/>
      <c r="J132" s="456"/>
      <c r="K132" s="456"/>
      <c r="L132" s="456"/>
      <c r="M132" s="456"/>
      <c r="N132" s="456"/>
      <c r="O132" s="456"/>
      <c r="P132" s="456"/>
      <c r="Q132" s="456"/>
      <c r="R132" s="456"/>
      <c r="S132" s="396"/>
      <c r="T132" s="456"/>
      <c r="U132" s="456"/>
      <c r="V132" s="456"/>
      <c r="W132" s="456"/>
      <c r="X132" s="456"/>
      <c r="Y132" s="456"/>
      <c r="Z132" s="456"/>
      <c r="AA132" s="456"/>
      <c r="AB132" s="456"/>
      <c r="AC132" s="456"/>
      <c r="AD132" s="456"/>
      <c r="AE132" s="456"/>
      <c r="AF132" s="396"/>
      <c r="AG132" s="456"/>
      <c r="AH132" s="456"/>
      <c r="AI132" s="456"/>
      <c r="AJ132" s="456"/>
      <c r="AK132" s="456"/>
      <c r="AL132" s="456"/>
      <c r="AM132" s="456"/>
      <c r="AN132" s="456"/>
      <c r="AO132" s="456"/>
      <c r="AP132" s="456"/>
      <c r="AQ132" s="456"/>
      <c r="AR132" s="456"/>
      <c r="AS132" s="396"/>
      <c r="AT132" s="456"/>
      <c r="AU132" s="396"/>
      <c r="AV132" s="456"/>
      <c r="AW132" s="396"/>
      <c r="AX132" s="396"/>
      <c r="AY132" s="396"/>
      <c r="AZ132" s="396"/>
      <c r="BA132" s="396"/>
      <c r="BB132" s="396"/>
      <c r="BC132" s="396"/>
      <c r="BD132" s="396"/>
      <c r="BE132" s="396"/>
      <c r="BF132" s="396"/>
      <c r="BG132" s="396"/>
      <c r="BH132" s="396"/>
      <c r="BI132" s="396"/>
      <c r="BJ132" s="396"/>
      <c r="BK132" s="396"/>
      <c r="BL132" s="396"/>
      <c r="BM132" s="396"/>
      <c r="BN132" s="396"/>
      <c r="BO132" s="396"/>
      <c r="BP132" s="396"/>
      <c r="BQ132" s="430"/>
      <c r="BR132" s="430"/>
      <c r="BS132" s="396"/>
      <c r="BT132" s="396"/>
      <c r="BU132" s="396"/>
      <c r="BV132" s="396"/>
      <c r="BW132" s="396"/>
      <c r="BX132" s="396"/>
      <c r="BY132" s="396"/>
      <c r="BZ132" s="396"/>
      <c r="CA132" s="396"/>
      <c r="CB132" s="396"/>
      <c r="CC132" s="396"/>
      <c r="CD132" s="396"/>
      <c r="CE132" s="396"/>
      <c r="CF132" s="396"/>
      <c r="CG132" s="396"/>
      <c r="CH132" s="396"/>
      <c r="CI132" s="396"/>
      <c r="CJ132" s="396"/>
      <c r="CK132" s="396"/>
      <c r="CL132" s="396"/>
      <c r="CM132" s="396"/>
      <c r="CN132" s="396"/>
      <c r="CO132" s="396"/>
      <c r="CP132" s="396"/>
      <c r="CQ132" s="396"/>
      <c r="CR132" s="396"/>
      <c r="CS132" s="396"/>
      <c r="CT132" s="396"/>
      <c r="CU132" s="396"/>
      <c r="CV132" s="396"/>
      <c r="CW132" s="396"/>
      <c r="CX132" s="934"/>
      <c r="CY132" s="934"/>
      <c r="CZ132" s="934"/>
      <c r="DA132" s="934"/>
      <c r="DB132" s="767"/>
      <c r="DC132" s="767"/>
      <c r="DD132" s="934"/>
      <c r="DE132" s="934"/>
      <c r="DF132" s="934"/>
      <c r="DG132" s="934"/>
      <c r="DH132" s="396">
        <f t="shared" si="129"/>
        <v>0</v>
      </c>
      <c r="DI132" s="934"/>
      <c r="DJ132" s="934"/>
      <c r="DK132" s="934"/>
      <c r="DL132" s="934"/>
      <c r="DM132" s="934"/>
      <c r="DN132" s="934"/>
      <c r="DO132" s="934">
        <v>125347</v>
      </c>
      <c r="DP132" s="934"/>
      <c r="DQ132" s="934"/>
      <c r="DR132" s="934"/>
      <c r="DS132" s="934"/>
      <c r="DT132" s="934"/>
      <c r="DU132" s="396">
        <f t="shared" si="130"/>
        <v>125347</v>
      </c>
    </row>
    <row r="133" spans="1:125" ht="12.75" customHeight="1">
      <c r="A133" s="40" t="s">
        <v>724</v>
      </c>
      <c r="B133" s="396"/>
      <c r="C133" s="456"/>
      <c r="D133" s="456"/>
      <c r="E133" s="456"/>
      <c r="F133" s="396"/>
      <c r="G133" s="456"/>
      <c r="H133" s="456"/>
      <c r="I133" s="456"/>
      <c r="J133" s="456"/>
      <c r="K133" s="456"/>
      <c r="L133" s="456"/>
      <c r="M133" s="456"/>
      <c r="N133" s="456"/>
      <c r="O133" s="456"/>
      <c r="P133" s="456"/>
      <c r="Q133" s="456"/>
      <c r="R133" s="456"/>
      <c r="S133" s="396"/>
      <c r="T133" s="456"/>
      <c r="U133" s="456"/>
      <c r="V133" s="456"/>
      <c r="W133" s="456"/>
      <c r="X133" s="456"/>
      <c r="Y133" s="456"/>
      <c r="Z133" s="456"/>
      <c r="AA133" s="456"/>
      <c r="AB133" s="456"/>
      <c r="AC133" s="456"/>
      <c r="AD133" s="456"/>
      <c r="AE133" s="456"/>
      <c r="AF133" s="396"/>
      <c r="AG133" s="456"/>
      <c r="AH133" s="456"/>
      <c r="AI133" s="456"/>
      <c r="AJ133" s="456"/>
      <c r="AK133" s="456"/>
      <c r="AL133" s="456"/>
      <c r="AM133" s="456"/>
      <c r="AN133" s="456"/>
      <c r="AO133" s="456"/>
      <c r="AP133" s="456"/>
      <c r="AQ133" s="456"/>
      <c r="AR133" s="456"/>
      <c r="AS133" s="396"/>
      <c r="AT133" s="456"/>
      <c r="AU133" s="396"/>
      <c r="AV133" s="456"/>
      <c r="AW133" s="396"/>
      <c r="AX133" s="396"/>
      <c r="AY133" s="396"/>
      <c r="AZ133" s="396"/>
      <c r="BA133" s="396"/>
      <c r="BB133" s="396"/>
      <c r="BC133" s="396"/>
      <c r="BD133" s="396"/>
      <c r="BE133" s="396"/>
      <c r="BF133" s="396"/>
      <c r="BG133" s="396"/>
      <c r="BH133" s="396"/>
      <c r="BI133" s="396"/>
      <c r="BJ133" s="396"/>
      <c r="BK133" s="396"/>
      <c r="BL133" s="396"/>
      <c r="BM133" s="396"/>
      <c r="BN133" s="396"/>
      <c r="BO133" s="396"/>
      <c r="BP133" s="396"/>
      <c r="BQ133" s="430"/>
      <c r="BR133" s="430"/>
      <c r="BS133" s="396"/>
      <c r="BT133" s="396"/>
      <c r="BU133" s="396"/>
      <c r="BV133" s="396"/>
      <c r="BW133" s="396">
        <v>147900</v>
      </c>
      <c r="BX133" s="396">
        <v>79365</v>
      </c>
      <c r="BY133" s="396">
        <v>77601</v>
      </c>
      <c r="BZ133" s="396">
        <v>85290</v>
      </c>
      <c r="CA133" s="396">
        <v>123118</v>
      </c>
      <c r="CB133" s="396">
        <v>106400</v>
      </c>
      <c r="CC133" s="396">
        <v>41764.239999999998</v>
      </c>
      <c r="CD133" s="396">
        <v>64250</v>
      </c>
      <c r="CE133" s="396">
        <v>64250</v>
      </c>
      <c r="CF133" s="396">
        <v>64250</v>
      </c>
      <c r="CG133" s="396">
        <v>64250</v>
      </c>
      <c r="CH133" s="396">
        <f>SUM(BV133:CG133)</f>
        <v>918438.24</v>
      </c>
      <c r="CI133" s="396">
        <v>1429612.57</v>
      </c>
      <c r="CJ133" s="396">
        <v>1331494.3</v>
      </c>
      <c r="CK133" s="396">
        <v>1399146.54</v>
      </c>
      <c r="CL133" s="396">
        <v>1401318.65</v>
      </c>
      <c r="CM133" s="396">
        <v>1449250.63</v>
      </c>
      <c r="CN133" s="396">
        <v>1464477.71</v>
      </c>
      <c r="CO133" s="396">
        <v>1347672.05</v>
      </c>
      <c r="CP133" s="396">
        <v>1773802.53</v>
      </c>
      <c r="CQ133" s="396">
        <v>1806996.18</v>
      </c>
      <c r="CR133" s="396">
        <v>1843678.23</v>
      </c>
      <c r="CS133" s="396">
        <v>1844707.2</v>
      </c>
      <c r="CT133" s="396">
        <v>1853515.1</v>
      </c>
      <c r="CU133" s="396">
        <f>SUM(CI133:CT133)</f>
        <v>18945671.690000001</v>
      </c>
      <c r="CV133" s="396">
        <v>2021862.1</v>
      </c>
      <c r="CW133" s="396">
        <v>1954668.75</v>
      </c>
      <c r="CX133" s="934">
        <v>2345365.7799999998</v>
      </c>
      <c r="CY133" s="934">
        <v>2301923.15</v>
      </c>
      <c r="CZ133" s="934">
        <v>2396364.0699999998</v>
      </c>
      <c r="DA133" s="934">
        <v>2500244.61</v>
      </c>
      <c r="DB133" s="767">
        <v>2537190.08</v>
      </c>
      <c r="DC133" s="767">
        <v>2552743.79</v>
      </c>
      <c r="DD133" s="934">
        <v>2177312.75</v>
      </c>
      <c r="DE133" s="934">
        <v>2600229.2999999998</v>
      </c>
      <c r="DF133" s="934">
        <v>2412770</v>
      </c>
      <c r="DG133" s="934">
        <v>2903937</v>
      </c>
      <c r="DH133" s="396">
        <f t="shared" si="129"/>
        <v>28704611.379999999</v>
      </c>
      <c r="DI133" s="934">
        <v>1881460</v>
      </c>
      <c r="DJ133" s="934">
        <v>1931788</v>
      </c>
      <c r="DK133" s="934">
        <v>1942512</v>
      </c>
      <c r="DL133" s="934">
        <v>1538404</v>
      </c>
      <c r="DM133" s="934">
        <v>1817056</v>
      </c>
      <c r="DN133" s="934">
        <v>1761344</v>
      </c>
      <c r="DO133" s="934">
        <v>1763672</v>
      </c>
      <c r="DP133" s="934">
        <v>1861773</v>
      </c>
      <c r="DQ133" s="934">
        <v>2056817</v>
      </c>
      <c r="DR133" s="934">
        <v>1836901</v>
      </c>
      <c r="DS133" s="934"/>
      <c r="DT133" s="934"/>
      <c r="DU133" s="396">
        <f t="shared" si="130"/>
        <v>18391727</v>
      </c>
    </row>
    <row r="134" spans="1:125" ht="12.75" hidden="1" customHeight="1">
      <c r="A134" s="455"/>
      <c r="B134" s="396"/>
      <c r="C134" s="456"/>
      <c r="D134" s="456"/>
      <c r="E134" s="456"/>
      <c r="F134" s="396"/>
      <c r="G134" s="456"/>
      <c r="H134" s="456"/>
      <c r="I134" s="456"/>
      <c r="J134" s="456"/>
      <c r="K134" s="456"/>
      <c r="L134" s="456"/>
      <c r="M134" s="456"/>
      <c r="N134" s="456"/>
      <c r="O134" s="456"/>
      <c r="P134" s="456"/>
      <c r="Q134" s="456"/>
      <c r="R134" s="456"/>
      <c r="S134" s="396"/>
      <c r="T134" s="456"/>
      <c r="U134" s="456"/>
      <c r="V134" s="456"/>
      <c r="W134" s="456"/>
      <c r="X134" s="456"/>
      <c r="Y134" s="456"/>
      <c r="Z134" s="456"/>
      <c r="AA134" s="456"/>
      <c r="AB134" s="456"/>
      <c r="AC134" s="456"/>
      <c r="AD134" s="456"/>
      <c r="AE134" s="456"/>
      <c r="AF134" s="396"/>
      <c r="AG134" s="456"/>
      <c r="AH134" s="456"/>
      <c r="AI134" s="456"/>
      <c r="AJ134" s="456"/>
      <c r="AK134" s="456"/>
      <c r="AL134" s="456"/>
      <c r="AM134" s="456"/>
      <c r="AN134" s="456"/>
      <c r="AO134" s="456"/>
      <c r="AP134" s="456"/>
      <c r="AQ134" s="456"/>
      <c r="AR134" s="456"/>
      <c r="AS134" s="396"/>
      <c r="AT134" s="456"/>
      <c r="AU134" s="396"/>
      <c r="AV134" s="456"/>
      <c r="AW134" s="396"/>
      <c r="AX134" s="396"/>
      <c r="AY134" s="396"/>
      <c r="AZ134" s="396"/>
      <c r="BA134" s="396"/>
      <c r="BB134" s="396"/>
      <c r="BC134" s="396"/>
      <c r="BD134" s="396"/>
      <c r="BE134" s="396"/>
      <c r="BF134" s="396"/>
      <c r="BG134" s="396"/>
      <c r="BH134" s="396"/>
      <c r="BI134" s="396"/>
      <c r="BJ134" s="396"/>
      <c r="BK134" s="396"/>
      <c r="BL134" s="396"/>
      <c r="BM134" s="396"/>
      <c r="BN134" s="396"/>
      <c r="BO134" s="396"/>
      <c r="BP134" s="396"/>
      <c r="BQ134" s="430"/>
      <c r="BR134" s="430"/>
      <c r="BS134" s="396"/>
      <c r="BT134" s="396"/>
      <c r="BU134" s="396"/>
      <c r="BV134" s="396"/>
      <c r="BW134" s="396"/>
      <c r="BX134" s="396"/>
      <c r="BY134" s="396"/>
      <c r="BZ134" s="396"/>
      <c r="CA134" s="396"/>
      <c r="CB134" s="396"/>
      <c r="CC134" s="396"/>
      <c r="CD134" s="396"/>
      <c r="CE134" s="396"/>
      <c r="CF134" s="396"/>
      <c r="CG134" s="396"/>
      <c r="CH134" s="396"/>
      <c r="CI134" s="396"/>
      <c r="CJ134" s="396"/>
      <c r="CK134" s="396"/>
      <c r="CL134" s="396"/>
      <c r="CM134" s="396"/>
      <c r="CN134" s="396"/>
      <c r="CO134" s="396"/>
      <c r="CP134" s="396"/>
      <c r="CQ134" s="396"/>
      <c r="CR134" s="396"/>
      <c r="CS134" s="396"/>
      <c r="CT134" s="396"/>
      <c r="CU134" s="396"/>
      <c r="CV134" s="396"/>
      <c r="CW134" s="396"/>
      <c r="CX134" s="934"/>
      <c r="CY134" s="934"/>
      <c r="CZ134" s="934"/>
      <c r="DA134" s="934"/>
      <c r="DB134" s="767"/>
      <c r="DC134" s="767"/>
      <c r="DD134" s="934"/>
      <c r="DE134" s="934"/>
      <c r="DF134" s="934"/>
      <c r="DG134" s="934"/>
      <c r="DH134" s="396">
        <f t="shared" si="129"/>
        <v>0</v>
      </c>
      <c r="DI134" s="934"/>
      <c r="DJ134" s="934"/>
      <c r="DK134" s="934"/>
      <c r="DL134" s="934"/>
      <c r="DM134" s="934"/>
      <c r="DN134" s="934"/>
      <c r="DO134" s="934">
        <v>467116.93</v>
      </c>
      <c r="DP134" s="934"/>
      <c r="DQ134" s="934"/>
      <c r="DR134" s="934"/>
      <c r="DS134" s="934"/>
      <c r="DT134" s="934"/>
      <c r="DU134" s="396">
        <f t="shared" si="130"/>
        <v>467116.93</v>
      </c>
    </row>
    <row r="135" spans="1:125" ht="12.75" customHeight="1">
      <c r="A135" s="40" t="s">
        <v>683</v>
      </c>
      <c r="B135" s="396"/>
      <c r="C135" s="456"/>
      <c r="D135" s="456"/>
      <c r="E135" s="456"/>
      <c r="F135" s="396"/>
      <c r="G135" s="456"/>
      <c r="H135" s="456"/>
      <c r="I135" s="456"/>
      <c r="J135" s="456"/>
      <c r="K135" s="456"/>
      <c r="L135" s="456"/>
      <c r="M135" s="456"/>
      <c r="N135" s="456"/>
      <c r="O135" s="456"/>
      <c r="P135" s="456"/>
      <c r="Q135" s="456"/>
      <c r="R135" s="456"/>
      <c r="S135" s="396"/>
      <c r="T135" s="456"/>
      <c r="U135" s="456"/>
      <c r="V135" s="456"/>
      <c r="W135" s="456"/>
      <c r="X135" s="456"/>
      <c r="Y135" s="456"/>
      <c r="Z135" s="456"/>
      <c r="AA135" s="456"/>
      <c r="AB135" s="456"/>
      <c r="AC135" s="456"/>
      <c r="AD135" s="456"/>
      <c r="AE135" s="456"/>
      <c r="AF135" s="396"/>
      <c r="AG135" s="456"/>
      <c r="AH135" s="456"/>
      <c r="AI135" s="456"/>
      <c r="AJ135" s="456"/>
      <c r="AK135" s="456"/>
      <c r="AL135" s="456"/>
      <c r="AM135" s="456"/>
      <c r="AN135" s="456"/>
      <c r="AO135" s="456"/>
      <c r="AP135" s="456"/>
      <c r="AQ135" s="456"/>
      <c r="AR135" s="456"/>
      <c r="AS135" s="396"/>
      <c r="AT135" s="456"/>
      <c r="AU135" s="396"/>
      <c r="AV135" s="456"/>
      <c r="AW135" s="396"/>
      <c r="AX135" s="396"/>
      <c r="AY135" s="396"/>
      <c r="AZ135" s="396"/>
      <c r="BA135" s="396"/>
      <c r="BB135" s="396"/>
      <c r="BC135" s="396"/>
      <c r="BD135" s="396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430"/>
      <c r="BR135" s="430"/>
      <c r="BS135" s="396"/>
      <c r="BT135" s="396"/>
      <c r="BU135" s="396"/>
      <c r="BV135" s="396"/>
      <c r="BW135" s="396"/>
      <c r="BX135" s="396"/>
      <c r="BY135" s="396"/>
      <c r="BZ135" s="396"/>
      <c r="CA135" s="396"/>
      <c r="CB135" s="396">
        <v>0</v>
      </c>
      <c r="CC135" s="396">
        <v>0</v>
      </c>
      <c r="CD135" s="396">
        <v>0</v>
      </c>
      <c r="CE135" s="396">
        <v>0</v>
      </c>
      <c r="CF135" s="396">
        <v>0</v>
      </c>
      <c r="CG135" s="396">
        <v>0</v>
      </c>
      <c r="CH135" s="396">
        <f>SUM(BV135:CG135)</f>
        <v>0</v>
      </c>
      <c r="CI135" s="396">
        <v>91676.19</v>
      </c>
      <c r="CJ135" s="396">
        <v>51827.24</v>
      </c>
      <c r="CK135" s="396">
        <v>74437.919999999998</v>
      </c>
      <c r="CL135" s="396">
        <v>77670.350000000006</v>
      </c>
      <c r="CM135" s="396">
        <v>118123.45</v>
      </c>
      <c r="CN135" s="396">
        <v>131144.49</v>
      </c>
      <c r="CO135" s="396">
        <v>128514.16</v>
      </c>
      <c r="CP135" s="396">
        <v>99390.04</v>
      </c>
      <c r="CQ135" s="396">
        <v>106563.54</v>
      </c>
      <c r="CR135" s="396">
        <v>106390.2</v>
      </c>
      <c r="CS135" s="396">
        <v>111162.08</v>
      </c>
      <c r="CT135" s="396">
        <v>131081.60999999999</v>
      </c>
      <c r="CU135" s="396">
        <f>SUM(CI135:CT135)</f>
        <v>1227981.27</v>
      </c>
      <c r="CV135" s="396">
        <v>140870.32</v>
      </c>
      <c r="CW135" s="396">
        <v>152877.25</v>
      </c>
      <c r="CX135" s="934">
        <v>161538.5</v>
      </c>
      <c r="CY135" s="934">
        <v>197207.32</v>
      </c>
      <c r="CZ135" s="934">
        <v>178587.37</v>
      </c>
      <c r="DA135" s="934">
        <v>193308.19</v>
      </c>
      <c r="DB135" s="767">
        <v>189624.61</v>
      </c>
      <c r="DC135" s="767">
        <v>235277.26</v>
      </c>
      <c r="DD135" s="934">
        <v>228560.25</v>
      </c>
      <c r="DE135" s="934">
        <v>191307.56</v>
      </c>
      <c r="DF135" s="934">
        <v>209037</v>
      </c>
      <c r="DG135" s="934">
        <v>204571</v>
      </c>
      <c r="DH135" s="396">
        <f t="shared" si="129"/>
        <v>2282766.63</v>
      </c>
      <c r="DI135" s="934">
        <v>127788</v>
      </c>
      <c r="DJ135" s="934">
        <v>123795</v>
      </c>
      <c r="DK135" s="934">
        <v>129943</v>
      </c>
      <c r="DL135" s="934">
        <v>121105</v>
      </c>
      <c r="DM135" s="934">
        <v>123484</v>
      </c>
      <c r="DN135" s="934">
        <v>119779</v>
      </c>
      <c r="DO135" s="934">
        <v>125347</v>
      </c>
      <c r="DP135" s="934">
        <v>123168</v>
      </c>
      <c r="DQ135" s="934">
        <v>113383</v>
      </c>
      <c r="DR135" s="934">
        <v>119746</v>
      </c>
      <c r="DS135" s="934"/>
      <c r="DT135" s="934"/>
      <c r="DU135" s="396">
        <f t="shared" si="130"/>
        <v>1227538</v>
      </c>
    </row>
    <row r="136" spans="1:125" ht="12.75" hidden="1" customHeight="1">
      <c r="A136" s="455"/>
      <c r="B136" s="396"/>
      <c r="C136" s="456"/>
      <c r="D136" s="456"/>
      <c r="E136" s="456"/>
      <c r="F136" s="396"/>
      <c r="G136" s="456"/>
      <c r="H136" s="456"/>
      <c r="I136" s="456"/>
      <c r="J136" s="456"/>
      <c r="K136" s="456"/>
      <c r="L136" s="456"/>
      <c r="M136" s="456"/>
      <c r="N136" s="456"/>
      <c r="O136" s="456"/>
      <c r="P136" s="456"/>
      <c r="Q136" s="456"/>
      <c r="R136" s="456"/>
      <c r="S136" s="396"/>
      <c r="T136" s="456"/>
      <c r="U136" s="456"/>
      <c r="V136" s="456"/>
      <c r="W136" s="456"/>
      <c r="X136" s="456"/>
      <c r="Y136" s="456"/>
      <c r="Z136" s="456"/>
      <c r="AA136" s="456"/>
      <c r="AB136" s="456"/>
      <c r="AC136" s="456"/>
      <c r="AD136" s="456"/>
      <c r="AE136" s="456"/>
      <c r="AF136" s="396"/>
      <c r="AG136" s="456"/>
      <c r="AH136" s="456"/>
      <c r="AI136" s="456"/>
      <c r="AJ136" s="456"/>
      <c r="AK136" s="456"/>
      <c r="AL136" s="456"/>
      <c r="AM136" s="456"/>
      <c r="AN136" s="456"/>
      <c r="AO136" s="456"/>
      <c r="AP136" s="456"/>
      <c r="AQ136" s="456"/>
      <c r="AR136" s="456"/>
      <c r="AS136" s="396"/>
      <c r="AT136" s="456"/>
      <c r="AU136" s="396"/>
      <c r="AV136" s="456"/>
      <c r="AW136" s="396"/>
      <c r="AX136" s="396"/>
      <c r="AY136" s="396"/>
      <c r="AZ136" s="396"/>
      <c r="BA136" s="396"/>
      <c r="BB136" s="396"/>
      <c r="BC136" s="396"/>
      <c r="BD136" s="396"/>
      <c r="BE136" s="396"/>
      <c r="BF136" s="396"/>
      <c r="BG136" s="396"/>
      <c r="BH136" s="396"/>
      <c r="BI136" s="396"/>
      <c r="BJ136" s="396"/>
      <c r="BK136" s="396"/>
      <c r="BL136" s="396"/>
      <c r="BM136" s="396"/>
      <c r="BN136" s="396"/>
      <c r="BO136" s="396"/>
      <c r="BP136" s="396"/>
      <c r="BQ136" s="430"/>
      <c r="BR136" s="430"/>
      <c r="BS136" s="396"/>
      <c r="BT136" s="396"/>
      <c r="BU136" s="396"/>
      <c r="BV136" s="396"/>
      <c r="BW136" s="396"/>
      <c r="BX136" s="396"/>
      <c r="BY136" s="396"/>
      <c r="BZ136" s="396"/>
      <c r="CA136" s="396"/>
      <c r="CB136" s="396"/>
      <c r="CC136" s="396"/>
      <c r="CD136" s="396"/>
      <c r="CE136" s="396"/>
      <c r="CF136" s="396"/>
      <c r="CG136" s="396"/>
      <c r="CH136" s="396"/>
      <c r="CI136" s="396"/>
      <c r="CJ136" s="396"/>
      <c r="CK136" s="396"/>
      <c r="CL136" s="396"/>
      <c r="CM136" s="396"/>
      <c r="CN136" s="396"/>
      <c r="CO136" s="396"/>
      <c r="CP136" s="396"/>
      <c r="CQ136" s="396"/>
      <c r="CR136" s="396"/>
      <c r="CS136" s="396"/>
      <c r="CT136" s="396"/>
      <c r="CU136" s="396"/>
      <c r="CV136" s="396"/>
      <c r="CW136" s="396"/>
      <c r="CX136" s="934"/>
      <c r="CY136" s="934"/>
      <c r="CZ136" s="934"/>
      <c r="DA136" s="934"/>
      <c r="DB136" s="767"/>
      <c r="DC136" s="767"/>
      <c r="DD136" s="934">
        <v>0</v>
      </c>
      <c r="DE136" s="934">
        <v>0</v>
      </c>
      <c r="DF136" s="934"/>
      <c r="DG136" s="934"/>
      <c r="DH136" s="396">
        <f t="shared" si="129"/>
        <v>0</v>
      </c>
      <c r="DI136" s="934"/>
      <c r="DJ136" s="934"/>
      <c r="DK136" s="934"/>
      <c r="DL136" s="934"/>
      <c r="DM136" s="934"/>
      <c r="DN136" s="934"/>
      <c r="DO136" s="934"/>
      <c r="DP136" s="934"/>
      <c r="DQ136" s="934"/>
      <c r="DR136" s="934"/>
      <c r="DS136" s="934"/>
      <c r="DT136" s="934"/>
      <c r="DU136" s="396">
        <f t="shared" si="130"/>
        <v>0</v>
      </c>
    </row>
    <row r="137" spans="1:125" ht="12.75" customHeight="1">
      <c r="A137" s="455" t="s">
        <v>795</v>
      </c>
      <c r="B137" s="396"/>
      <c r="C137" s="456"/>
      <c r="D137" s="456"/>
      <c r="E137" s="456"/>
      <c r="F137" s="396"/>
      <c r="G137" s="456"/>
      <c r="H137" s="456"/>
      <c r="I137" s="456"/>
      <c r="J137" s="456"/>
      <c r="K137" s="456"/>
      <c r="L137" s="456"/>
      <c r="M137" s="456"/>
      <c r="N137" s="456"/>
      <c r="O137" s="456"/>
      <c r="P137" s="456"/>
      <c r="Q137" s="456"/>
      <c r="R137" s="456"/>
      <c r="S137" s="396"/>
      <c r="T137" s="456"/>
      <c r="U137" s="456"/>
      <c r="V137" s="456"/>
      <c r="W137" s="456"/>
      <c r="X137" s="456"/>
      <c r="Y137" s="456"/>
      <c r="Z137" s="456"/>
      <c r="AA137" s="456"/>
      <c r="AB137" s="456"/>
      <c r="AC137" s="456"/>
      <c r="AD137" s="456"/>
      <c r="AE137" s="456"/>
      <c r="AF137" s="396"/>
      <c r="AG137" s="456"/>
      <c r="AH137" s="456"/>
      <c r="AI137" s="456"/>
      <c r="AJ137" s="456"/>
      <c r="AK137" s="456"/>
      <c r="AL137" s="456"/>
      <c r="AM137" s="456"/>
      <c r="AN137" s="456"/>
      <c r="AO137" s="456"/>
      <c r="AP137" s="456"/>
      <c r="AQ137" s="456"/>
      <c r="AR137" s="456"/>
      <c r="AS137" s="396"/>
      <c r="AT137" s="456"/>
      <c r="AU137" s="396"/>
      <c r="AV137" s="456"/>
      <c r="AW137" s="396"/>
      <c r="AX137" s="396"/>
      <c r="AY137" s="396"/>
      <c r="AZ137" s="396"/>
      <c r="BA137" s="396"/>
      <c r="BB137" s="396"/>
      <c r="BC137" s="396"/>
      <c r="BD137" s="396"/>
      <c r="BE137" s="396"/>
      <c r="BF137" s="396"/>
      <c r="BG137" s="396"/>
      <c r="BH137" s="396"/>
      <c r="BI137" s="396"/>
      <c r="BJ137" s="396"/>
      <c r="BK137" s="396"/>
      <c r="BL137" s="396"/>
      <c r="BM137" s="396"/>
      <c r="BN137" s="396"/>
      <c r="BO137" s="396"/>
      <c r="BP137" s="396"/>
      <c r="BQ137" s="430"/>
      <c r="BR137" s="430"/>
      <c r="BS137" s="396"/>
      <c r="BT137" s="396"/>
      <c r="BU137" s="396"/>
      <c r="BV137" s="396"/>
      <c r="BW137" s="396"/>
      <c r="BX137" s="396"/>
      <c r="BY137" s="396"/>
      <c r="BZ137" s="396"/>
      <c r="CA137" s="396"/>
      <c r="CB137" s="396"/>
      <c r="CC137" s="396"/>
      <c r="CD137" s="396"/>
      <c r="CE137" s="396"/>
      <c r="CF137" s="396"/>
      <c r="CG137" s="396"/>
      <c r="CH137" s="396"/>
      <c r="CI137" s="396"/>
      <c r="CJ137" s="396"/>
      <c r="CK137" s="396"/>
      <c r="CL137" s="396"/>
      <c r="CM137" s="396"/>
      <c r="CN137" s="396"/>
      <c r="CO137" s="396"/>
      <c r="CP137" s="396"/>
      <c r="CQ137" s="396"/>
      <c r="CR137" s="396"/>
      <c r="CS137" s="396"/>
      <c r="CT137" s="396"/>
      <c r="CU137" s="396"/>
      <c r="CV137" s="396">
        <v>0</v>
      </c>
      <c r="CW137" s="396">
        <v>0</v>
      </c>
      <c r="CX137" s="934">
        <v>0</v>
      </c>
      <c r="CY137" s="934">
        <v>0</v>
      </c>
      <c r="CZ137" s="934">
        <v>50056.98</v>
      </c>
      <c r="DA137" s="934">
        <v>14087.94</v>
      </c>
      <c r="DB137" s="767">
        <v>1727.22</v>
      </c>
      <c r="DC137" s="767">
        <v>0</v>
      </c>
      <c r="DD137" s="934">
        <v>0</v>
      </c>
      <c r="DE137" s="934">
        <v>17301.5</v>
      </c>
      <c r="DF137" s="934">
        <v>68654.64</v>
      </c>
      <c r="DG137" s="934">
        <v>7335.69</v>
      </c>
      <c r="DH137" s="396">
        <f t="shared" si="129"/>
        <v>159163.97</v>
      </c>
      <c r="DI137" s="934">
        <v>88694.54</v>
      </c>
      <c r="DJ137" s="934">
        <v>35</v>
      </c>
      <c r="DK137" s="934">
        <v>3256.1</v>
      </c>
      <c r="DL137" s="934">
        <v>0</v>
      </c>
      <c r="DM137" s="934">
        <v>-677.48</v>
      </c>
      <c r="DN137" s="934">
        <v>-0.44</v>
      </c>
      <c r="DO137" s="934">
        <v>-2551.19</v>
      </c>
      <c r="DP137" s="934">
        <v>0</v>
      </c>
      <c r="DQ137" s="934">
        <v>-6.89</v>
      </c>
      <c r="DR137" s="934">
        <v>0</v>
      </c>
      <c r="DS137" s="934"/>
      <c r="DT137" s="934"/>
      <c r="DU137" s="396">
        <f t="shared" si="130"/>
        <v>88749.64</v>
      </c>
    </row>
    <row r="138" spans="1:125" ht="12.75" hidden="1" customHeight="1">
      <c r="A138" s="455"/>
      <c r="B138" s="396"/>
      <c r="C138" s="456"/>
      <c r="D138" s="456"/>
      <c r="E138" s="456"/>
      <c r="F138" s="396"/>
      <c r="G138" s="456"/>
      <c r="H138" s="456"/>
      <c r="I138" s="456"/>
      <c r="J138" s="456"/>
      <c r="K138" s="456"/>
      <c r="L138" s="456"/>
      <c r="M138" s="456"/>
      <c r="N138" s="456"/>
      <c r="O138" s="456"/>
      <c r="P138" s="456"/>
      <c r="Q138" s="456"/>
      <c r="R138" s="456"/>
      <c r="S138" s="396"/>
      <c r="T138" s="456"/>
      <c r="U138" s="456"/>
      <c r="V138" s="456"/>
      <c r="W138" s="456"/>
      <c r="X138" s="456"/>
      <c r="Y138" s="456"/>
      <c r="Z138" s="456"/>
      <c r="AA138" s="456"/>
      <c r="AB138" s="456"/>
      <c r="AC138" s="456"/>
      <c r="AD138" s="456"/>
      <c r="AE138" s="456"/>
      <c r="AF138" s="396"/>
      <c r="AG138" s="456"/>
      <c r="AH138" s="456"/>
      <c r="AI138" s="456"/>
      <c r="AJ138" s="456"/>
      <c r="AK138" s="456"/>
      <c r="AL138" s="456"/>
      <c r="AM138" s="456"/>
      <c r="AN138" s="456"/>
      <c r="AO138" s="456"/>
      <c r="AP138" s="456"/>
      <c r="AQ138" s="456"/>
      <c r="AR138" s="456"/>
      <c r="AS138" s="396"/>
      <c r="AT138" s="456"/>
      <c r="AU138" s="396"/>
      <c r="AV138" s="456"/>
      <c r="AW138" s="396"/>
      <c r="AX138" s="396"/>
      <c r="AY138" s="396"/>
      <c r="AZ138" s="396"/>
      <c r="BA138" s="396"/>
      <c r="BB138" s="396"/>
      <c r="BC138" s="396"/>
      <c r="BD138" s="396"/>
      <c r="BE138" s="396"/>
      <c r="BF138" s="396"/>
      <c r="BG138" s="396"/>
      <c r="BH138" s="396"/>
      <c r="BI138" s="396"/>
      <c r="BJ138" s="396"/>
      <c r="BK138" s="396"/>
      <c r="BL138" s="396"/>
      <c r="BM138" s="396"/>
      <c r="BN138" s="396"/>
      <c r="BO138" s="396"/>
      <c r="BP138" s="396"/>
      <c r="BQ138" s="430"/>
      <c r="BR138" s="430"/>
      <c r="BS138" s="396"/>
      <c r="BT138" s="396"/>
      <c r="BU138" s="396"/>
      <c r="BV138" s="396"/>
      <c r="BW138" s="396"/>
      <c r="BX138" s="396"/>
      <c r="BY138" s="396"/>
      <c r="BZ138" s="396"/>
      <c r="CA138" s="396"/>
      <c r="CB138" s="396"/>
      <c r="CC138" s="396"/>
      <c r="CD138" s="396"/>
      <c r="CE138" s="396"/>
      <c r="CF138" s="396"/>
      <c r="CG138" s="396"/>
      <c r="CH138" s="396"/>
      <c r="CI138" s="396"/>
      <c r="CJ138" s="396"/>
      <c r="CK138" s="396"/>
      <c r="CL138" s="396"/>
      <c r="CM138" s="396"/>
      <c r="CN138" s="396"/>
      <c r="CO138" s="396"/>
      <c r="CP138" s="396"/>
      <c r="CQ138" s="396"/>
      <c r="CR138" s="396"/>
      <c r="CS138" s="396"/>
      <c r="CT138" s="396"/>
      <c r="CU138" s="396"/>
      <c r="CV138" s="396"/>
      <c r="CW138" s="396"/>
      <c r="CX138" s="934">
        <v>161538.5</v>
      </c>
      <c r="CY138" s="934"/>
      <c r="CZ138" s="934"/>
      <c r="DA138" s="934"/>
      <c r="DB138" s="767"/>
      <c r="DC138" s="767"/>
      <c r="DD138" s="934"/>
      <c r="DE138" s="934"/>
      <c r="DF138" s="934"/>
      <c r="DG138" s="934"/>
      <c r="DH138" s="396">
        <f t="shared" si="129"/>
        <v>161538.5</v>
      </c>
      <c r="DI138" s="934"/>
      <c r="DJ138" s="934"/>
      <c r="DK138" s="934"/>
      <c r="DL138" s="934"/>
      <c r="DM138" s="934"/>
      <c r="DN138" s="934"/>
      <c r="DO138" s="934"/>
      <c r="DP138" s="934"/>
      <c r="DQ138" s="934"/>
      <c r="DR138" s="934"/>
      <c r="DS138" s="934"/>
      <c r="DT138" s="934"/>
      <c r="DU138" s="396">
        <f t="shared" si="130"/>
        <v>0</v>
      </c>
    </row>
    <row r="139" spans="1:125" ht="12.75" customHeight="1">
      <c r="A139" s="40" t="s">
        <v>689</v>
      </c>
      <c r="B139" s="12"/>
      <c r="C139" s="4"/>
      <c r="D139" s="4"/>
      <c r="E139" s="4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12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396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12"/>
      <c r="AT139" s="4"/>
      <c r="AU139" s="396"/>
      <c r="AV139" s="4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396"/>
      <c r="BI139" s="12"/>
      <c r="BJ139" s="12"/>
      <c r="BK139" s="12"/>
      <c r="BL139" s="12"/>
      <c r="BM139" s="12"/>
      <c r="BN139" s="12"/>
      <c r="BO139" s="12"/>
      <c r="BP139" s="12"/>
      <c r="BQ139" s="15">
        <v>61944</v>
      </c>
      <c r="BR139" s="15">
        <v>61944.26</v>
      </c>
      <c r="BS139" s="12">
        <v>61944.26</v>
      </c>
      <c r="BT139" s="396">
        <v>61944.26</v>
      </c>
      <c r="BU139" s="396">
        <f>SUM(BI139:BT139)</f>
        <v>247776.78000000003</v>
      </c>
      <c r="BV139" s="396">
        <v>61944.26</v>
      </c>
      <c r="BW139" s="12">
        <v>61944.26</v>
      </c>
      <c r="BX139" s="12">
        <v>61944.26</v>
      </c>
      <c r="BY139" s="396">
        <v>61944.26</v>
      </c>
      <c r="BZ139" s="396">
        <v>61944.26</v>
      </c>
      <c r="CA139" s="396">
        <v>61944.26</v>
      </c>
      <c r="CB139" s="396">
        <v>61944.26</v>
      </c>
      <c r="CC139" s="396">
        <v>158403.54999999999</v>
      </c>
      <c r="CD139" s="396">
        <v>179224.13</v>
      </c>
      <c r="CE139" s="396">
        <v>179224.13</v>
      </c>
      <c r="CF139" s="396">
        <v>-950461.63</v>
      </c>
      <c r="CG139" s="396">
        <v>0</v>
      </c>
      <c r="CH139" s="396">
        <f>SUM(BV139:CG139)</f>
        <v>0</v>
      </c>
      <c r="CI139" s="396">
        <v>168243.63</v>
      </c>
      <c r="CJ139" s="396">
        <v>193037</v>
      </c>
      <c r="CK139" s="396">
        <v>225583.71</v>
      </c>
      <c r="CL139" s="396">
        <v>245850.31</v>
      </c>
      <c r="CM139" s="396">
        <v>330851.17</v>
      </c>
      <c r="CN139" s="396">
        <v>344180.76</v>
      </c>
      <c r="CO139" s="396">
        <v>334177.99</v>
      </c>
      <c r="CP139" s="396">
        <v>414776.06</v>
      </c>
      <c r="CQ139" s="396">
        <v>392987.23</v>
      </c>
      <c r="CR139" s="396">
        <v>426908.35</v>
      </c>
      <c r="CS139" s="396">
        <v>427801.15</v>
      </c>
      <c r="CT139" s="396">
        <v>448271.2</v>
      </c>
      <c r="CU139" s="396">
        <f>SUM(CI139:CT139)</f>
        <v>3952668.56</v>
      </c>
      <c r="CV139" s="396">
        <v>325645.34999999998</v>
      </c>
      <c r="CW139" s="396">
        <v>329202.63</v>
      </c>
      <c r="CX139" s="934">
        <v>330955.07</v>
      </c>
      <c r="CY139" s="934">
        <v>363595.07</v>
      </c>
      <c r="CZ139" s="934">
        <v>450656.61</v>
      </c>
      <c r="DA139" s="934">
        <v>442971.82</v>
      </c>
      <c r="DB139" s="767">
        <v>463970.26</v>
      </c>
      <c r="DC139" s="767">
        <v>522969.14</v>
      </c>
      <c r="DD139" s="934">
        <v>619332.31000000006</v>
      </c>
      <c r="DE139" s="934">
        <v>556137.12</v>
      </c>
      <c r="DF139" s="934">
        <v>413239.54</v>
      </c>
      <c r="DG139" s="934">
        <v>614362.5</v>
      </c>
      <c r="DH139" s="396">
        <f t="shared" si="129"/>
        <v>5433037.4199999999</v>
      </c>
      <c r="DI139" s="934">
        <v>663439.21</v>
      </c>
      <c r="DJ139" s="934">
        <v>491321.57</v>
      </c>
      <c r="DK139" s="934">
        <v>424451.34</v>
      </c>
      <c r="DL139" s="934">
        <v>740363.56</v>
      </c>
      <c r="DM139" s="934">
        <v>762168.52</v>
      </c>
      <c r="DN139" s="934">
        <v>764088.18</v>
      </c>
      <c r="DO139" s="934">
        <v>467116.93</v>
      </c>
      <c r="DP139" s="934">
        <v>478497.13</v>
      </c>
      <c r="DQ139" s="934">
        <v>599556.03</v>
      </c>
      <c r="DR139" s="934">
        <v>592231.75</v>
      </c>
      <c r="DS139" s="934"/>
      <c r="DT139" s="934"/>
      <c r="DU139" s="396">
        <f t="shared" si="130"/>
        <v>5983234.2200000007</v>
      </c>
    </row>
    <row r="140" spans="1:125" ht="12.75" hidden="1" customHeight="1">
      <c r="A140" s="455"/>
      <c r="B140" s="396"/>
      <c r="C140" s="456"/>
      <c r="D140" s="456"/>
      <c r="E140" s="456"/>
      <c r="F140" s="396"/>
      <c r="G140" s="456"/>
      <c r="H140" s="456"/>
      <c r="I140" s="456"/>
      <c r="J140" s="456"/>
      <c r="K140" s="456"/>
      <c r="L140" s="456"/>
      <c r="M140" s="456"/>
      <c r="N140" s="456"/>
      <c r="O140" s="456"/>
      <c r="P140" s="456"/>
      <c r="Q140" s="456"/>
      <c r="R140" s="456"/>
      <c r="S140" s="396"/>
      <c r="T140" s="456"/>
      <c r="U140" s="456"/>
      <c r="V140" s="456"/>
      <c r="W140" s="456"/>
      <c r="X140" s="456"/>
      <c r="Y140" s="456"/>
      <c r="Z140" s="456"/>
      <c r="AA140" s="456"/>
      <c r="AB140" s="456"/>
      <c r="AC140" s="456"/>
      <c r="AD140" s="456"/>
      <c r="AE140" s="456"/>
      <c r="AF140" s="396"/>
      <c r="AG140" s="456"/>
      <c r="AH140" s="456"/>
      <c r="AI140" s="456"/>
      <c r="AJ140" s="456"/>
      <c r="AK140" s="456"/>
      <c r="AL140" s="456"/>
      <c r="AM140" s="456"/>
      <c r="AN140" s="456"/>
      <c r="AO140" s="456"/>
      <c r="AP140" s="456"/>
      <c r="AQ140" s="456"/>
      <c r="AR140" s="456"/>
      <c r="AS140" s="396"/>
      <c r="AT140" s="456"/>
      <c r="AU140" s="396"/>
      <c r="AV140" s="456"/>
      <c r="AW140" s="396"/>
      <c r="AX140" s="396"/>
      <c r="AY140" s="396"/>
      <c r="AZ140" s="396"/>
      <c r="BA140" s="396"/>
      <c r="BB140" s="396"/>
      <c r="BC140" s="396"/>
      <c r="BD140" s="396"/>
      <c r="BE140" s="396"/>
      <c r="BF140" s="396"/>
      <c r="BG140" s="396"/>
      <c r="BH140" s="396"/>
      <c r="BI140" s="396"/>
      <c r="BJ140" s="396"/>
      <c r="BK140" s="396"/>
      <c r="BL140" s="396"/>
      <c r="BM140" s="396"/>
      <c r="BN140" s="396"/>
      <c r="BO140" s="396"/>
      <c r="BP140" s="396"/>
      <c r="BQ140" s="430"/>
      <c r="BR140" s="430"/>
      <c r="BS140" s="396"/>
      <c r="BT140" s="396"/>
      <c r="BU140" s="396"/>
      <c r="BV140" s="396"/>
      <c r="BW140" s="396"/>
      <c r="BX140" s="396"/>
      <c r="BY140" s="396"/>
      <c r="BZ140" s="396"/>
      <c r="CA140" s="396"/>
      <c r="CB140" s="396"/>
      <c r="CC140" s="396"/>
      <c r="CD140" s="396"/>
      <c r="CE140" s="396"/>
      <c r="CF140" s="396"/>
      <c r="CG140" s="396"/>
      <c r="CH140" s="396"/>
      <c r="CI140" s="396"/>
      <c r="CJ140" s="396"/>
      <c r="CK140" s="396"/>
      <c r="CL140" s="396"/>
      <c r="CM140" s="396"/>
      <c r="CN140" s="396"/>
      <c r="CO140" s="396"/>
      <c r="CP140" s="396"/>
      <c r="CQ140" s="396"/>
      <c r="CR140" s="396"/>
      <c r="CS140" s="396"/>
      <c r="CT140" s="396"/>
      <c r="CU140" s="396"/>
      <c r="CV140" s="396"/>
      <c r="CW140" s="396"/>
      <c r="CX140" s="934"/>
      <c r="CY140" s="934"/>
      <c r="CZ140" s="934"/>
      <c r="DA140" s="934"/>
      <c r="DB140" s="767"/>
      <c r="DC140" s="767"/>
      <c r="DD140" s="934"/>
      <c r="DE140" s="934"/>
      <c r="DF140" s="934"/>
      <c r="DG140" s="934"/>
      <c r="DH140" s="396"/>
      <c r="DI140" s="934"/>
      <c r="DJ140" s="934"/>
      <c r="DK140" s="934"/>
      <c r="DL140" s="934"/>
      <c r="DM140" s="934"/>
      <c r="DN140" s="934"/>
      <c r="DO140" s="934"/>
      <c r="DP140" s="934"/>
      <c r="DQ140" s="934"/>
      <c r="DR140" s="934"/>
      <c r="DS140" s="934"/>
      <c r="DT140" s="934"/>
      <c r="DU140" s="396"/>
    </row>
    <row r="141" spans="1:125" ht="12.75" customHeight="1">
      <c r="A141" s="539"/>
      <c r="B141" s="762"/>
      <c r="C141" s="434"/>
      <c r="D141" s="434"/>
      <c r="E141" s="434"/>
      <c r="F141" s="762"/>
      <c r="G141" s="434"/>
      <c r="H141" s="434"/>
      <c r="I141" s="434"/>
      <c r="J141" s="434"/>
      <c r="K141" s="434"/>
      <c r="L141" s="434"/>
      <c r="M141" s="434"/>
      <c r="N141" s="434"/>
      <c r="O141" s="434"/>
      <c r="P141" s="434"/>
      <c r="Q141" s="434"/>
      <c r="R141" s="434"/>
      <c r="S141" s="762"/>
      <c r="T141" s="434"/>
      <c r="U141" s="434"/>
      <c r="V141" s="434"/>
      <c r="W141" s="434"/>
      <c r="X141" s="434"/>
      <c r="Y141" s="434"/>
      <c r="Z141" s="434"/>
      <c r="AA141" s="434"/>
      <c r="AB141" s="434"/>
      <c r="AC141" s="434"/>
      <c r="AD141" s="434"/>
      <c r="AE141" s="434"/>
      <c r="AF141" s="762"/>
      <c r="AG141" s="434"/>
      <c r="AH141" s="434"/>
      <c r="AI141" s="434"/>
      <c r="AJ141" s="434"/>
      <c r="AK141" s="434"/>
      <c r="AL141" s="434"/>
      <c r="AM141" s="434"/>
      <c r="AN141" s="434"/>
      <c r="AO141" s="434"/>
      <c r="AP141" s="434"/>
      <c r="AQ141" s="434"/>
      <c r="AR141" s="434"/>
      <c r="AS141" s="762"/>
      <c r="AT141" s="434"/>
      <c r="AU141" s="762"/>
      <c r="AV141" s="434"/>
      <c r="AW141" s="762"/>
      <c r="AX141" s="762"/>
      <c r="AY141" s="762"/>
      <c r="AZ141" s="762"/>
      <c r="BA141" s="762"/>
      <c r="BB141" s="762"/>
      <c r="BC141" s="762"/>
      <c r="BD141" s="762"/>
      <c r="BE141" s="762"/>
      <c r="BF141" s="762"/>
      <c r="BG141" s="762"/>
      <c r="BH141" s="762"/>
      <c r="BI141" s="762"/>
      <c r="BJ141" s="762"/>
      <c r="BK141" s="762"/>
      <c r="BL141" s="762"/>
      <c r="BM141" s="762"/>
      <c r="BN141" s="762"/>
      <c r="BO141" s="762"/>
      <c r="BP141" s="762"/>
      <c r="BQ141" s="902"/>
      <c r="BR141" s="902"/>
      <c r="BS141" s="762"/>
      <c r="BT141" s="762"/>
      <c r="BU141" s="762"/>
      <c r="BV141" s="762"/>
      <c r="BW141" s="762"/>
      <c r="BX141" s="762"/>
      <c r="BY141" s="762"/>
      <c r="BZ141" s="762"/>
      <c r="CA141" s="762"/>
      <c r="CB141" s="762"/>
      <c r="CC141" s="762"/>
      <c r="CD141" s="762"/>
      <c r="CE141" s="762"/>
      <c r="CF141" s="762"/>
      <c r="CG141" s="762"/>
      <c r="CH141" s="762"/>
      <c r="CI141" s="762"/>
      <c r="CJ141" s="762"/>
      <c r="CK141" s="762"/>
      <c r="CL141" s="762"/>
      <c r="CM141" s="762"/>
      <c r="CN141" s="762"/>
      <c r="CO141" s="762"/>
      <c r="CP141" s="762"/>
      <c r="CQ141" s="762"/>
      <c r="CR141" s="762"/>
      <c r="CS141" s="762"/>
      <c r="CT141" s="762"/>
      <c r="CU141" s="762"/>
      <c r="CV141" s="762"/>
      <c r="CW141" s="762"/>
      <c r="CX141" s="930"/>
      <c r="CY141" s="930"/>
      <c r="CZ141" s="930"/>
      <c r="DA141" s="930"/>
      <c r="DB141" s="967"/>
      <c r="DC141" s="967"/>
      <c r="DD141" s="930"/>
      <c r="DE141" s="930"/>
      <c r="DF141" s="930"/>
      <c r="DG141" s="930"/>
      <c r="DH141" s="762"/>
      <c r="DI141" s="930"/>
      <c r="DJ141" s="930"/>
      <c r="DK141" s="930"/>
      <c r="DL141" s="930"/>
      <c r="DM141" s="930"/>
      <c r="DN141" s="930"/>
      <c r="DO141" s="930"/>
      <c r="DP141" s="930"/>
      <c r="DQ141" s="930"/>
      <c r="DR141" s="930"/>
      <c r="DS141" s="930"/>
      <c r="DT141" s="930"/>
      <c r="DU141" s="762"/>
    </row>
    <row r="142" spans="1:125" ht="12.75" customHeight="1" thickBot="1">
      <c r="A142" s="29" t="s">
        <v>732</v>
      </c>
      <c r="B142" s="30"/>
      <c r="C142" s="31"/>
      <c r="D142" s="31"/>
      <c r="E142" s="31"/>
      <c r="F142" s="30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0"/>
      <c r="T142" s="32">
        <f t="shared" ref="T142:CE142" si="131">T119+T126+T129+T131+T133+T135+T139</f>
        <v>0</v>
      </c>
      <c r="U142" s="31">
        <f t="shared" si="131"/>
        <v>0</v>
      </c>
      <c r="V142" s="31">
        <f t="shared" si="131"/>
        <v>0</v>
      </c>
      <c r="W142" s="31">
        <f t="shared" si="131"/>
        <v>0</v>
      </c>
      <c r="X142" s="31">
        <f t="shared" si="131"/>
        <v>0</v>
      </c>
      <c r="Y142" s="31">
        <f t="shared" si="131"/>
        <v>0</v>
      </c>
      <c r="Z142" s="31">
        <f t="shared" si="131"/>
        <v>0</v>
      </c>
      <c r="AA142" s="31">
        <f t="shared" si="131"/>
        <v>0</v>
      </c>
      <c r="AB142" s="31">
        <f t="shared" si="131"/>
        <v>0</v>
      </c>
      <c r="AC142" s="31">
        <f t="shared" si="131"/>
        <v>0</v>
      </c>
      <c r="AD142" s="31">
        <f t="shared" si="131"/>
        <v>0</v>
      </c>
      <c r="AE142" s="31">
        <f t="shared" si="131"/>
        <v>0</v>
      </c>
      <c r="AF142" s="454">
        <f t="shared" si="131"/>
        <v>0</v>
      </c>
      <c r="AG142" s="31">
        <f t="shared" si="131"/>
        <v>0</v>
      </c>
      <c r="AH142" s="31">
        <f t="shared" si="131"/>
        <v>0</v>
      </c>
      <c r="AI142" s="31">
        <f t="shared" si="131"/>
        <v>0</v>
      </c>
      <c r="AJ142" s="31">
        <f t="shared" si="131"/>
        <v>0</v>
      </c>
      <c r="AK142" s="31">
        <f t="shared" si="131"/>
        <v>0</v>
      </c>
      <c r="AL142" s="31">
        <f t="shared" si="131"/>
        <v>0</v>
      </c>
      <c r="AM142" s="31">
        <f t="shared" si="131"/>
        <v>0</v>
      </c>
      <c r="AN142" s="31">
        <f t="shared" si="131"/>
        <v>0</v>
      </c>
      <c r="AO142" s="31">
        <f t="shared" si="131"/>
        <v>0</v>
      </c>
      <c r="AP142" s="31">
        <f t="shared" si="131"/>
        <v>0</v>
      </c>
      <c r="AQ142" s="31">
        <f t="shared" si="131"/>
        <v>0</v>
      </c>
      <c r="AR142" s="31">
        <f t="shared" si="131"/>
        <v>0</v>
      </c>
      <c r="AS142" s="30">
        <f t="shared" si="131"/>
        <v>0</v>
      </c>
      <c r="AT142" s="31">
        <f t="shared" si="131"/>
        <v>0</v>
      </c>
      <c r="AU142" s="454">
        <f t="shared" si="131"/>
        <v>0</v>
      </c>
      <c r="AV142" s="31">
        <f t="shared" si="131"/>
        <v>0</v>
      </c>
      <c r="AW142" s="30">
        <f t="shared" si="131"/>
        <v>0</v>
      </c>
      <c r="AX142" s="30">
        <f t="shared" si="131"/>
        <v>0</v>
      </c>
      <c r="AY142" s="30">
        <f t="shared" si="131"/>
        <v>0</v>
      </c>
      <c r="AZ142" s="30">
        <f t="shared" si="131"/>
        <v>0</v>
      </c>
      <c r="BA142" s="30">
        <f t="shared" si="131"/>
        <v>0</v>
      </c>
      <c r="BB142" s="30">
        <f t="shared" si="131"/>
        <v>0</v>
      </c>
      <c r="BC142" s="30">
        <f t="shared" si="131"/>
        <v>0</v>
      </c>
      <c r="BD142" s="30">
        <f t="shared" si="131"/>
        <v>0</v>
      </c>
      <c r="BE142" s="30">
        <f t="shared" si="131"/>
        <v>0</v>
      </c>
      <c r="BF142" s="30">
        <f t="shared" si="131"/>
        <v>0</v>
      </c>
      <c r="BG142" s="30">
        <f t="shared" si="131"/>
        <v>0</v>
      </c>
      <c r="BH142" s="454">
        <f t="shared" si="131"/>
        <v>0</v>
      </c>
      <c r="BI142" s="30">
        <f t="shared" si="131"/>
        <v>0</v>
      </c>
      <c r="BJ142" s="30">
        <f t="shared" si="131"/>
        <v>0</v>
      </c>
      <c r="BK142" s="30">
        <f t="shared" si="131"/>
        <v>0</v>
      </c>
      <c r="BL142" s="30">
        <f t="shared" si="131"/>
        <v>0</v>
      </c>
      <c r="BM142" s="30">
        <f t="shared" si="131"/>
        <v>0</v>
      </c>
      <c r="BN142" s="30">
        <f t="shared" si="131"/>
        <v>0</v>
      </c>
      <c r="BO142" s="30">
        <f t="shared" si="131"/>
        <v>0</v>
      </c>
      <c r="BP142" s="30">
        <f t="shared" si="131"/>
        <v>0</v>
      </c>
      <c r="BQ142" s="35">
        <f t="shared" si="131"/>
        <v>68850</v>
      </c>
      <c r="BR142" s="35">
        <f t="shared" si="131"/>
        <v>77469.94</v>
      </c>
      <c r="BS142" s="30">
        <f t="shared" si="131"/>
        <v>82598.209999999992</v>
      </c>
      <c r="BT142" s="30">
        <f t="shared" si="131"/>
        <v>99400.4</v>
      </c>
      <c r="BU142" s="454">
        <f t="shared" si="131"/>
        <v>328318.55000000005</v>
      </c>
      <c r="BV142" s="30">
        <f t="shared" si="131"/>
        <v>129178.68</v>
      </c>
      <c r="BW142" s="30">
        <f t="shared" si="131"/>
        <v>305662.2</v>
      </c>
      <c r="BX142" s="30">
        <f t="shared" si="131"/>
        <v>243916.66999999998</v>
      </c>
      <c r="BY142" s="30">
        <f t="shared" si="131"/>
        <v>445551.67</v>
      </c>
      <c r="BZ142" s="30">
        <f t="shared" si="131"/>
        <v>649729.26</v>
      </c>
      <c r="CA142" s="30">
        <f t="shared" si="131"/>
        <v>261370.87</v>
      </c>
      <c r="CB142" s="30">
        <f t="shared" si="131"/>
        <v>218761.18</v>
      </c>
      <c r="CC142" s="30">
        <f t="shared" si="131"/>
        <v>218893.40999999997</v>
      </c>
      <c r="CD142" s="30">
        <f t="shared" si="131"/>
        <v>259793.17</v>
      </c>
      <c r="CE142" s="30">
        <f t="shared" si="131"/>
        <v>253648.57</v>
      </c>
      <c r="CF142" s="30">
        <f t="shared" ref="CF142:CS142" si="132">CF119+CF126+CF129+CF131+CF133+CF135+CF139</f>
        <v>-876117.79</v>
      </c>
      <c r="CG142" s="30">
        <f t="shared" si="132"/>
        <v>74449.17</v>
      </c>
      <c r="CH142" s="454">
        <f t="shared" si="132"/>
        <v>2184837.0600000005</v>
      </c>
      <c r="CI142" s="30">
        <f t="shared" si="132"/>
        <v>2963767.6</v>
      </c>
      <c r="CJ142" s="30">
        <f t="shared" si="132"/>
        <v>2936019.25</v>
      </c>
      <c r="CK142" s="30">
        <f t="shared" si="132"/>
        <v>3170520.46</v>
      </c>
      <c r="CL142" s="30">
        <f t="shared" si="132"/>
        <v>2845131.1</v>
      </c>
      <c r="CM142" s="30">
        <f t="shared" si="132"/>
        <v>3738205.73</v>
      </c>
      <c r="CN142" s="30">
        <f t="shared" si="132"/>
        <v>4962166.9799999995</v>
      </c>
      <c r="CO142" s="30">
        <f t="shared" si="132"/>
        <v>4440800.7100000009</v>
      </c>
      <c r="CP142" s="30">
        <f t="shared" si="132"/>
        <v>5697441.6799999997</v>
      </c>
      <c r="CQ142" s="30">
        <f t="shared" si="132"/>
        <v>4384481.6500000004</v>
      </c>
      <c r="CR142" s="30">
        <f t="shared" si="132"/>
        <v>4592161.5999999996</v>
      </c>
      <c r="CS142" s="30">
        <f t="shared" si="132"/>
        <v>3534473.42</v>
      </c>
      <c r="CT142" s="30">
        <f t="shared" ref="CT142:CY142" si="133">CT119+CT126+CT129+CT131+CT133+CT135+CT139</f>
        <v>3823330.1300000004</v>
      </c>
      <c r="CU142" s="454">
        <f t="shared" si="133"/>
        <v>47088500.31000001</v>
      </c>
      <c r="CV142" s="454">
        <f t="shared" si="133"/>
        <v>4488342.03</v>
      </c>
      <c r="CW142" s="454">
        <f t="shared" si="133"/>
        <v>4053791.1799999997</v>
      </c>
      <c r="CX142" s="454">
        <f t="shared" si="133"/>
        <v>3876236.0199999996</v>
      </c>
      <c r="CY142" s="454">
        <f t="shared" si="133"/>
        <v>7537341.370000001</v>
      </c>
      <c r="CZ142" s="454">
        <f t="shared" ref="CZ142:DE142" si="134">CZ119+CZ126+CZ129+CZ131+CZ133+CZ135+CZ139+CZ137</f>
        <v>6872967.7599999998</v>
      </c>
      <c r="DA142" s="454">
        <f t="shared" si="134"/>
        <v>7479354.3300000001</v>
      </c>
      <c r="DB142" s="35">
        <f t="shared" si="134"/>
        <v>7663803.6799999997</v>
      </c>
      <c r="DC142" s="35">
        <f t="shared" si="134"/>
        <v>5478567.919999999</v>
      </c>
      <c r="DD142" s="35">
        <f t="shared" si="134"/>
        <v>6075311.0600000005</v>
      </c>
      <c r="DE142" s="35">
        <f t="shared" si="134"/>
        <v>6201930.709999999</v>
      </c>
      <c r="DF142" s="35">
        <f t="shared" ref="DF142:DG142" si="135">DF119+DF126+DF129+DF131+DF133+DF135+DF139+DF137</f>
        <v>6213034.8699999992</v>
      </c>
      <c r="DG142" s="35">
        <f t="shared" si="135"/>
        <v>6781477.1500000004</v>
      </c>
      <c r="DH142" s="454">
        <f>SUM(CV142:DG142)</f>
        <v>72722158.079999998</v>
      </c>
      <c r="DI142" s="35">
        <f t="shared" ref="DI142:DJ142" si="136">DI119+DI126+DI129+DI131+DI133+DI135+DI139+DI137</f>
        <v>5446217.5</v>
      </c>
      <c r="DJ142" s="35">
        <f t="shared" si="136"/>
        <v>4609607.1400000006</v>
      </c>
      <c r="DK142" s="35">
        <f t="shared" ref="DK142:DT142" si="137">DK119+DK126+DK129+DK131+DK133+DK135+DK139+DK137</f>
        <v>4745202.4899999993</v>
      </c>
      <c r="DL142" s="35">
        <f t="shared" si="137"/>
        <v>5789667.4100000001</v>
      </c>
      <c r="DM142" s="35">
        <f t="shared" si="137"/>
        <v>5673981.4100000001</v>
      </c>
      <c r="DN142" s="35">
        <f t="shared" si="137"/>
        <v>6669374.4499999993</v>
      </c>
      <c r="DO142" s="35">
        <f t="shared" si="137"/>
        <v>6205753.2599999998</v>
      </c>
      <c r="DP142" s="35">
        <f t="shared" si="137"/>
        <v>6665381.21</v>
      </c>
      <c r="DQ142" s="35">
        <f t="shared" si="137"/>
        <v>6364103.790000001</v>
      </c>
      <c r="DR142" s="35">
        <f t="shared" si="137"/>
        <v>6007168.8300000001</v>
      </c>
      <c r="DS142" s="35">
        <f t="shared" si="137"/>
        <v>0</v>
      </c>
      <c r="DT142" s="35">
        <f t="shared" si="137"/>
        <v>0</v>
      </c>
      <c r="DU142" s="454">
        <f>SUM(DI142:DT142)</f>
        <v>58176457.489999995</v>
      </c>
    </row>
    <row r="143" spans="1:125" ht="12.75" customHeight="1" thickTop="1">
      <c r="A143" s="2"/>
      <c r="B143" s="12"/>
      <c r="C143" s="4"/>
      <c r="D143" s="4"/>
      <c r="E143" s="4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12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396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12"/>
      <c r="AT143" s="4"/>
      <c r="AU143" s="396"/>
      <c r="AV143" s="4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396"/>
      <c r="BI143" s="12"/>
      <c r="BJ143" s="12"/>
      <c r="BK143" s="12"/>
      <c r="BL143" s="12"/>
      <c r="BM143" s="12"/>
      <c r="BN143" s="12"/>
      <c r="BO143" s="12"/>
      <c r="BP143" s="12"/>
      <c r="BQ143" s="15"/>
      <c r="BR143" s="15"/>
      <c r="BS143" s="12"/>
      <c r="BT143" s="396"/>
      <c r="BU143" s="396"/>
      <c r="BV143" s="396"/>
      <c r="BW143" s="12"/>
      <c r="BX143" s="12"/>
      <c r="BY143" s="396"/>
      <c r="BZ143" s="396"/>
      <c r="CA143" s="396"/>
      <c r="CB143" s="396"/>
      <c r="CC143" s="396"/>
      <c r="CD143" s="396"/>
      <c r="CE143" s="396"/>
      <c r="CF143" s="396"/>
      <c r="CG143" s="396"/>
      <c r="CH143" s="396"/>
      <c r="CI143" s="396"/>
      <c r="CJ143" s="396"/>
      <c r="CK143" s="396"/>
      <c r="CL143" s="396"/>
      <c r="CM143" s="396"/>
      <c r="CN143" s="396"/>
      <c r="CO143" s="396"/>
      <c r="CP143" s="396"/>
      <c r="CQ143" s="396"/>
      <c r="CR143" s="396"/>
      <c r="CS143" s="396"/>
      <c r="CT143" s="396"/>
      <c r="CU143" s="396"/>
      <c r="CV143" s="396"/>
      <c r="CW143" s="396"/>
      <c r="CX143" s="396"/>
      <c r="CY143" s="934"/>
      <c r="CZ143" s="934"/>
      <c r="DA143" s="934"/>
      <c r="DB143" s="767"/>
      <c r="DC143" s="767"/>
      <c r="DD143" s="767"/>
      <c r="DE143" s="767"/>
      <c r="DF143" s="767"/>
      <c r="DG143" s="767"/>
      <c r="DH143" s="396"/>
      <c r="DI143" s="767"/>
      <c r="DJ143" s="767"/>
      <c r="DK143" s="767"/>
      <c r="DL143" s="767"/>
      <c r="DM143" s="767"/>
      <c r="DN143" s="767"/>
      <c r="DO143" s="767"/>
      <c r="DP143" s="767"/>
      <c r="DQ143" s="767"/>
      <c r="DR143" s="767"/>
      <c r="DS143" s="767"/>
      <c r="DT143" s="767"/>
      <c r="DU143" s="396"/>
    </row>
    <row r="144" spans="1:125" ht="12.75" customHeight="1" thickBot="1">
      <c r="A144" s="29" t="s">
        <v>732</v>
      </c>
      <c r="B144" s="12"/>
      <c r="C144" s="4"/>
      <c r="D144" s="4"/>
      <c r="E144" s="4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12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35">
        <f t="shared" ref="AF144:BT144" si="138">AF142</f>
        <v>0</v>
      </c>
      <c r="AG144" s="41">
        <f t="shared" si="138"/>
        <v>0</v>
      </c>
      <c r="AH144" s="41">
        <f t="shared" si="138"/>
        <v>0</v>
      </c>
      <c r="AI144" s="41">
        <f t="shared" si="138"/>
        <v>0</v>
      </c>
      <c r="AJ144" s="41">
        <f t="shared" si="138"/>
        <v>0</v>
      </c>
      <c r="AK144" s="41">
        <f t="shared" si="138"/>
        <v>0</v>
      </c>
      <c r="AL144" s="41">
        <f t="shared" si="138"/>
        <v>0</v>
      </c>
      <c r="AM144" s="41">
        <f t="shared" si="138"/>
        <v>0</v>
      </c>
      <c r="AN144" s="41">
        <f t="shared" si="138"/>
        <v>0</v>
      </c>
      <c r="AO144" s="41">
        <f t="shared" si="138"/>
        <v>0</v>
      </c>
      <c r="AP144" s="41">
        <f t="shared" si="138"/>
        <v>0</v>
      </c>
      <c r="AQ144" s="41">
        <f t="shared" si="138"/>
        <v>0</v>
      </c>
      <c r="AR144" s="41">
        <f t="shared" si="138"/>
        <v>0</v>
      </c>
      <c r="AS144" s="41">
        <f t="shared" si="138"/>
        <v>0</v>
      </c>
      <c r="AT144" s="41">
        <f t="shared" si="138"/>
        <v>0</v>
      </c>
      <c r="AU144" s="35">
        <f t="shared" si="138"/>
        <v>0</v>
      </c>
      <c r="AV144" s="41">
        <f t="shared" si="138"/>
        <v>0</v>
      </c>
      <c r="AW144" s="41">
        <f t="shared" si="138"/>
        <v>0</v>
      </c>
      <c r="AX144" s="41">
        <f t="shared" si="138"/>
        <v>0</v>
      </c>
      <c r="AY144" s="41">
        <f t="shared" si="138"/>
        <v>0</v>
      </c>
      <c r="AZ144" s="41">
        <f t="shared" si="138"/>
        <v>0</v>
      </c>
      <c r="BA144" s="41">
        <f t="shared" si="138"/>
        <v>0</v>
      </c>
      <c r="BB144" s="41">
        <f t="shared" si="138"/>
        <v>0</v>
      </c>
      <c r="BC144" s="41">
        <f t="shared" si="138"/>
        <v>0</v>
      </c>
      <c r="BD144" s="41">
        <f t="shared" si="138"/>
        <v>0</v>
      </c>
      <c r="BE144" s="41">
        <f t="shared" si="138"/>
        <v>0</v>
      </c>
      <c r="BF144" s="41">
        <f t="shared" si="138"/>
        <v>0</v>
      </c>
      <c r="BG144" s="41">
        <f t="shared" si="138"/>
        <v>0</v>
      </c>
      <c r="BH144" s="35">
        <f t="shared" si="138"/>
        <v>0</v>
      </c>
      <c r="BI144" s="41">
        <f t="shared" si="138"/>
        <v>0</v>
      </c>
      <c r="BJ144" s="41">
        <f t="shared" si="138"/>
        <v>0</v>
      </c>
      <c r="BK144" s="41">
        <f t="shared" si="138"/>
        <v>0</v>
      </c>
      <c r="BL144" s="41">
        <f t="shared" si="138"/>
        <v>0</v>
      </c>
      <c r="BM144" s="41">
        <f t="shared" si="138"/>
        <v>0</v>
      </c>
      <c r="BN144" s="41">
        <f t="shared" si="138"/>
        <v>0</v>
      </c>
      <c r="BO144" s="41">
        <f t="shared" si="138"/>
        <v>0</v>
      </c>
      <c r="BP144" s="41">
        <f t="shared" si="138"/>
        <v>0</v>
      </c>
      <c r="BQ144" s="41">
        <f t="shared" si="138"/>
        <v>68850</v>
      </c>
      <c r="BR144" s="41">
        <f t="shared" si="138"/>
        <v>77469.94</v>
      </c>
      <c r="BS144" s="42">
        <f t="shared" si="138"/>
        <v>82598.209999999992</v>
      </c>
      <c r="BT144" s="42">
        <f t="shared" si="138"/>
        <v>99400.4</v>
      </c>
      <c r="BU144" s="35">
        <f t="shared" ref="BU144:BZ144" si="139">BU142</f>
        <v>328318.55000000005</v>
      </c>
      <c r="BV144" s="42">
        <f t="shared" si="139"/>
        <v>129178.68</v>
      </c>
      <c r="BW144" s="42">
        <f t="shared" si="139"/>
        <v>305662.2</v>
      </c>
      <c r="BX144" s="42">
        <f t="shared" si="139"/>
        <v>243916.66999999998</v>
      </c>
      <c r="BY144" s="42">
        <f t="shared" si="139"/>
        <v>445551.67</v>
      </c>
      <c r="BZ144" s="42">
        <f t="shared" si="139"/>
        <v>649729.26</v>
      </c>
      <c r="CA144" s="42">
        <f t="shared" ref="CA144:CF144" si="140">CA142</f>
        <v>261370.87</v>
      </c>
      <c r="CB144" s="42">
        <f t="shared" si="140"/>
        <v>218761.18</v>
      </c>
      <c r="CC144" s="42">
        <f t="shared" si="140"/>
        <v>218893.40999999997</v>
      </c>
      <c r="CD144" s="42">
        <f t="shared" si="140"/>
        <v>259793.17</v>
      </c>
      <c r="CE144" s="42">
        <f t="shared" si="140"/>
        <v>253648.57</v>
      </c>
      <c r="CF144" s="42">
        <f t="shared" si="140"/>
        <v>-876117.79</v>
      </c>
      <c r="CG144" s="42">
        <f>CG142</f>
        <v>74449.17</v>
      </c>
      <c r="CH144" s="35">
        <f>CH142</f>
        <v>2184837.0600000005</v>
      </c>
      <c r="CI144" s="42">
        <f t="shared" ref="CI144:CO144" si="141">CI142</f>
        <v>2963767.6</v>
      </c>
      <c r="CJ144" s="42">
        <f t="shared" si="141"/>
        <v>2936019.25</v>
      </c>
      <c r="CK144" s="42">
        <f t="shared" si="141"/>
        <v>3170520.46</v>
      </c>
      <c r="CL144" s="42">
        <f t="shared" si="141"/>
        <v>2845131.1</v>
      </c>
      <c r="CM144" s="42">
        <f t="shared" si="141"/>
        <v>3738205.73</v>
      </c>
      <c r="CN144" s="42">
        <f t="shared" si="141"/>
        <v>4962166.9799999995</v>
      </c>
      <c r="CO144" s="42">
        <f t="shared" si="141"/>
        <v>4440800.7100000009</v>
      </c>
      <c r="CP144" s="42">
        <f>CP142</f>
        <v>5697441.6799999997</v>
      </c>
      <c r="CQ144" s="42">
        <f>CQ142</f>
        <v>4384481.6500000004</v>
      </c>
      <c r="CR144" s="42">
        <f>CR142</f>
        <v>4592161.5999999996</v>
      </c>
      <c r="CS144" s="42">
        <f>CS142</f>
        <v>3534473.42</v>
      </c>
      <c r="CT144" s="42">
        <f>CT142</f>
        <v>3823330.1300000004</v>
      </c>
      <c r="CU144" s="35">
        <f>SUM(CI144:CT144)</f>
        <v>47088500.310000002</v>
      </c>
      <c r="CV144" s="35">
        <f t="shared" ref="CV144:DA144" si="142">CV142</f>
        <v>4488342.03</v>
      </c>
      <c r="CW144" s="35">
        <f t="shared" si="142"/>
        <v>4053791.1799999997</v>
      </c>
      <c r="CX144" s="35">
        <f t="shared" si="142"/>
        <v>3876236.0199999996</v>
      </c>
      <c r="CY144" s="35">
        <f t="shared" si="142"/>
        <v>7537341.370000001</v>
      </c>
      <c r="CZ144" s="35">
        <f t="shared" si="142"/>
        <v>6872967.7599999998</v>
      </c>
      <c r="DA144" s="35">
        <f t="shared" si="142"/>
        <v>7479354.3300000001</v>
      </c>
      <c r="DB144" s="35">
        <f t="shared" ref="DB144:DG144" si="143">DB142</f>
        <v>7663803.6799999997</v>
      </c>
      <c r="DC144" s="35">
        <f t="shared" si="143"/>
        <v>5478567.919999999</v>
      </c>
      <c r="DD144" s="35">
        <f t="shared" si="143"/>
        <v>6075311.0600000005</v>
      </c>
      <c r="DE144" s="35">
        <f t="shared" si="143"/>
        <v>6201930.709999999</v>
      </c>
      <c r="DF144" s="35">
        <f t="shared" si="143"/>
        <v>6213034.8699999992</v>
      </c>
      <c r="DG144" s="35">
        <f t="shared" si="143"/>
        <v>6781477.1500000004</v>
      </c>
      <c r="DH144" s="35">
        <f>SUM(CV144:DG144)</f>
        <v>72722158.079999998</v>
      </c>
      <c r="DI144" s="35">
        <f t="shared" ref="DI144:DJ144" si="144">DI142</f>
        <v>5446217.5</v>
      </c>
      <c r="DJ144" s="35">
        <f t="shared" si="144"/>
        <v>4609607.1400000006</v>
      </c>
      <c r="DK144" s="35">
        <f t="shared" ref="DK144:DT144" si="145">DK142</f>
        <v>4745202.4899999993</v>
      </c>
      <c r="DL144" s="35">
        <f t="shared" si="145"/>
        <v>5789667.4100000001</v>
      </c>
      <c r="DM144" s="35">
        <f t="shared" si="145"/>
        <v>5673981.4100000001</v>
      </c>
      <c r="DN144" s="35">
        <f t="shared" si="145"/>
        <v>6669374.4499999993</v>
      </c>
      <c r="DO144" s="35">
        <f t="shared" si="145"/>
        <v>6205753.2599999998</v>
      </c>
      <c r="DP144" s="35">
        <f t="shared" si="145"/>
        <v>6665381.21</v>
      </c>
      <c r="DQ144" s="35">
        <f t="shared" si="145"/>
        <v>6364103.790000001</v>
      </c>
      <c r="DR144" s="35">
        <f t="shared" si="145"/>
        <v>6007168.8300000001</v>
      </c>
      <c r="DS144" s="35">
        <f t="shared" si="145"/>
        <v>0</v>
      </c>
      <c r="DT144" s="35">
        <f t="shared" si="145"/>
        <v>0</v>
      </c>
      <c r="DU144" s="35">
        <f>SUM(DI144:DT144)</f>
        <v>58176457.489999995</v>
      </c>
    </row>
    <row r="145" spans="1:125" ht="12.75" customHeight="1" thickTop="1">
      <c r="A145" s="2"/>
      <c r="B145" s="12"/>
      <c r="C145" s="4"/>
      <c r="D145" s="4"/>
      <c r="E145" s="4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12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396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12"/>
      <c r="AT145" s="4"/>
      <c r="AU145" s="396"/>
      <c r="AV145" s="4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396"/>
      <c r="BI145" s="12"/>
      <c r="BJ145" s="12"/>
      <c r="BK145" s="12"/>
      <c r="BL145" s="12"/>
      <c r="BM145" s="12"/>
      <c r="BN145" s="12"/>
      <c r="BO145" s="12"/>
      <c r="BP145" s="12"/>
      <c r="BQ145" s="15"/>
      <c r="BR145" s="15"/>
      <c r="BS145" s="12"/>
      <c r="BT145" s="396"/>
      <c r="BU145" s="396"/>
      <c r="BV145" s="396"/>
      <c r="BW145" s="12"/>
      <c r="BX145" s="12"/>
      <c r="BY145" s="396"/>
      <c r="BZ145" s="396"/>
      <c r="CA145" s="396"/>
      <c r="CB145" s="396"/>
      <c r="CC145" s="396"/>
      <c r="CD145" s="396"/>
      <c r="CE145" s="396"/>
      <c r="CF145" s="396"/>
      <c r="CG145" s="396"/>
      <c r="CH145" s="396"/>
      <c r="CI145" s="396"/>
      <c r="CJ145" s="396"/>
      <c r="CK145" s="396"/>
      <c r="CL145" s="396"/>
      <c r="CM145" s="396"/>
      <c r="CN145" s="396"/>
      <c r="CO145" s="396"/>
      <c r="CP145" s="396"/>
      <c r="CQ145" s="396"/>
      <c r="CR145" s="396"/>
      <c r="CS145" s="396"/>
      <c r="CT145" s="396"/>
      <c r="CU145" s="396"/>
      <c r="CV145" s="396"/>
      <c r="CW145" s="396"/>
      <c r="CX145" s="396"/>
      <c r="CY145" s="934"/>
      <c r="CZ145" s="934"/>
      <c r="DA145" s="934"/>
      <c r="DB145" s="767"/>
      <c r="DC145" s="767"/>
      <c r="DD145" s="934"/>
      <c r="DE145" s="934"/>
      <c r="DF145" s="934"/>
      <c r="DG145" s="934"/>
      <c r="DH145" s="396"/>
      <c r="DI145" s="934"/>
      <c r="DJ145" s="934"/>
      <c r="DK145" s="934"/>
      <c r="DL145" s="934"/>
      <c r="DM145" s="934"/>
      <c r="DN145" s="934"/>
      <c r="DO145" s="934"/>
      <c r="DP145" s="934"/>
      <c r="DQ145" s="934"/>
      <c r="DR145" s="934"/>
      <c r="DS145" s="934"/>
      <c r="DT145" s="934"/>
      <c r="DU145" s="396"/>
    </row>
    <row r="146" spans="1:125" ht="12.75" customHeight="1">
      <c r="A146" s="539" t="s">
        <v>747</v>
      </c>
      <c r="B146" s="396"/>
      <c r="C146" s="456"/>
      <c r="D146" s="456"/>
      <c r="E146" s="456"/>
      <c r="F146" s="396"/>
      <c r="G146" s="456"/>
      <c r="H146" s="456"/>
      <c r="I146" s="456"/>
      <c r="J146" s="456"/>
      <c r="K146" s="456"/>
      <c r="L146" s="456"/>
      <c r="M146" s="456"/>
      <c r="N146" s="456"/>
      <c r="O146" s="456"/>
      <c r="P146" s="456"/>
      <c r="Q146" s="456"/>
      <c r="R146" s="456"/>
      <c r="S146" s="396"/>
      <c r="T146" s="456"/>
      <c r="U146" s="456"/>
      <c r="V146" s="456"/>
      <c r="W146" s="456"/>
      <c r="X146" s="456"/>
      <c r="Y146" s="456"/>
      <c r="Z146" s="456"/>
      <c r="AA146" s="456"/>
      <c r="AB146" s="456"/>
      <c r="AC146" s="456"/>
      <c r="AD146" s="456"/>
      <c r="AE146" s="456"/>
      <c r="AF146" s="396"/>
      <c r="AG146" s="456"/>
      <c r="AH146" s="456"/>
      <c r="AI146" s="456"/>
      <c r="AJ146" s="456"/>
      <c r="AK146" s="456"/>
      <c r="AL146" s="456"/>
      <c r="AM146" s="456"/>
      <c r="AN146" s="456"/>
      <c r="AO146" s="456"/>
      <c r="AP146" s="456"/>
      <c r="AQ146" s="456"/>
      <c r="AR146" s="456"/>
      <c r="AS146" s="396"/>
      <c r="AT146" s="456"/>
      <c r="AU146" s="396"/>
      <c r="AV146" s="456"/>
      <c r="AW146" s="396"/>
      <c r="AX146" s="396"/>
      <c r="AY146" s="396"/>
      <c r="AZ146" s="396"/>
      <c r="BA146" s="396"/>
      <c r="BB146" s="396"/>
      <c r="BC146" s="396"/>
      <c r="BD146" s="396"/>
      <c r="BE146" s="396"/>
      <c r="BF146" s="396"/>
      <c r="BG146" s="396"/>
      <c r="BH146" s="396"/>
      <c r="BI146" s="396"/>
      <c r="BJ146" s="396"/>
      <c r="BK146" s="396"/>
      <c r="BL146" s="396"/>
      <c r="BM146" s="396"/>
      <c r="BN146" s="396"/>
      <c r="BO146" s="396"/>
      <c r="BP146" s="396"/>
      <c r="BQ146" s="430"/>
      <c r="BR146" s="430"/>
      <c r="BS146" s="396"/>
      <c r="BT146" s="396"/>
      <c r="BU146" s="396"/>
      <c r="BV146" s="396">
        <f t="shared" ref="BV146:CG146" si="146">BV10-BV27-BV37-BV48+BV67-BV113</f>
        <v>1514113.7299999986</v>
      </c>
      <c r="BW146" s="396">
        <f t="shared" si="146"/>
        <v>1279158.1590000018</v>
      </c>
      <c r="BX146" s="396">
        <f t="shared" si="146"/>
        <v>445569.89000000432</v>
      </c>
      <c r="BY146" s="396">
        <f t="shared" si="146"/>
        <v>1043024.7099999972</v>
      </c>
      <c r="BZ146" s="396">
        <f t="shared" si="146"/>
        <v>1042571.1499999948</v>
      </c>
      <c r="CA146" s="396">
        <f t="shared" si="146"/>
        <v>898661.46999999695</v>
      </c>
      <c r="CB146" s="396">
        <f t="shared" si="146"/>
        <v>-445679.36000000313</v>
      </c>
      <c r="CC146" s="396">
        <f t="shared" si="146"/>
        <v>107237.31999999471</v>
      </c>
      <c r="CD146" s="396">
        <f t="shared" si="146"/>
        <v>-402626.40000000037</v>
      </c>
      <c r="CE146" s="396">
        <f t="shared" si="146"/>
        <v>3168068.1100000013</v>
      </c>
      <c r="CF146" s="396">
        <f t="shared" si="146"/>
        <v>1321478.1399999969</v>
      </c>
      <c r="CG146" s="396">
        <f t="shared" si="146"/>
        <v>3818719.5200000033</v>
      </c>
      <c r="CH146" s="396">
        <f>SUM(BV146:CG146)</f>
        <v>13790296.438999986</v>
      </c>
      <c r="CI146" s="396">
        <f t="shared" ref="CI146:CT146" si="147">CI10-CI27-CI37-CI48+CI67-CI113</f>
        <v>4966766.6200000029</v>
      </c>
      <c r="CJ146" s="396">
        <f t="shared" si="147"/>
        <v>5632953.6400000006</v>
      </c>
      <c r="CK146" s="396">
        <f t="shared" si="147"/>
        <v>8507032.339999998</v>
      </c>
      <c r="CL146" s="396">
        <f t="shared" si="147"/>
        <v>7138240.2600000054</v>
      </c>
      <c r="CM146" s="396">
        <f t="shared" si="147"/>
        <v>7101600.2300000042</v>
      </c>
      <c r="CN146" s="396">
        <f t="shared" si="147"/>
        <v>6735893.9699999988</v>
      </c>
      <c r="CO146" s="396">
        <f t="shared" si="147"/>
        <v>7140312.9399999976</v>
      </c>
      <c r="CP146" s="396">
        <f t="shared" si="147"/>
        <v>8992948.0900000036</v>
      </c>
      <c r="CQ146" s="396">
        <f t="shared" si="147"/>
        <v>8101728.979999993</v>
      </c>
      <c r="CR146" s="396">
        <f t="shared" si="147"/>
        <v>11211897.419999998</v>
      </c>
      <c r="CS146" s="396">
        <f t="shared" si="147"/>
        <v>9792019.4200000018</v>
      </c>
      <c r="CT146" s="396">
        <f t="shared" si="147"/>
        <v>-10054953.01999999</v>
      </c>
      <c r="CU146" s="396">
        <f>SUM(CI146:CT146)</f>
        <v>75266440.890000015</v>
      </c>
      <c r="CV146" s="396">
        <f t="shared" ref="CV146:DG146" si="148">CV10-CV27-CV37-CV48+CV67-CV113</f>
        <v>5705113.9100000039</v>
      </c>
      <c r="CW146" s="396">
        <f t="shared" si="148"/>
        <v>13339628.449999999</v>
      </c>
      <c r="CX146" s="396">
        <f t="shared" si="148"/>
        <v>4712803.7099999972</v>
      </c>
      <c r="CY146" s="396">
        <f t="shared" si="148"/>
        <v>7016006.7099999972</v>
      </c>
      <c r="CZ146" s="396">
        <f t="shared" si="148"/>
        <v>12507592.509999994</v>
      </c>
      <c r="DA146" s="396">
        <f t="shared" si="148"/>
        <v>11415613.030000001</v>
      </c>
      <c r="DB146" s="396">
        <f t="shared" si="148"/>
        <v>9698875.2100000046</v>
      </c>
      <c r="DC146" s="396">
        <f t="shared" si="148"/>
        <v>3627863.2500000075</v>
      </c>
      <c r="DD146" s="396">
        <f t="shared" si="148"/>
        <v>8661747.0900000036</v>
      </c>
      <c r="DE146" s="396">
        <f t="shared" si="148"/>
        <v>7048791.3400000036</v>
      </c>
      <c r="DF146" s="396">
        <f t="shared" si="148"/>
        <v>2058778.4699999988</v>
      </c>
      <c r="DG146" s="396">
        <f t="shared" si="148"/>
        <v>1369505.1900000013</v>
      </c>
      <c r="DH146" s="396">
        <f t="shared" ref="DH146:DH147" si="149">SUM(CV146:DG146)</f>
        <v>87162318.870000005</v>
      </c>
      <c r="DI146" s="396">
        <f t="shared" ref="DI146:DT146" si="150">DI10-DI27-DI37-DI48+DI67-DI113</f>
        <v>9485070.0300000012</v>
      </c>
      <c r="DJ146" s="396">
        <f t="shared" si="150"/>
        <v>6964042.3800000027</v>
      </c>
      <c r="DK146" s="396">
        <f t="shared" si="150"/>
        <v>11526353.470000006</v>
      </c>
      <c r="DL146" s="396">
        <f t="shared" si="150"/>
        <v>6501324.1699999981</v>
      </c>
      <c r="DM146" s="396">
        <f t="shared" si="150"/>
        <v>10592345.38000001</v>
      </c>
      <c r="DN146" s="396">
        <f t="shared" si="150"/>
        <v>3868776.9200000055</v>
      </c>
      <c r="DO146" s="396">
        <f t="shared" si="150"/>
        <v>11488093.529999994</v>
      </c>
      <c r="DP146" s="396">
        <f t="shared" si="150"/>
        <v>12410945.070000004</v>
      </c>
      <c r="DQ146" s="396">
        <f t="shared" si="150"/>
        <v>-2038907.2400000058</v>
      </c>
      <c r="DR146" s="396">
        <f t="shared" si="150"/>
        <v>13452975.850000001</v>
      </c>
      <c r="DS146" s="396">
        <f t="shared" si="150"/>
        <v>0</v>
      </c>
      <c r="DT146" s="396">
        <f t="shared" si="150"/>
        <v>0</v>
      </c>
      <c r="DU146" s="396">
        <f>SUM(DI146:DT146)</f>
        <v>84251019.560000002</v>
      </c>
    </row>
    <row r="147" spans="1:125" ht="12.75" customHeight="1">
      <c r="A147" s="539" t="s">
        <v>748</v>
      </c>
      <c r="B147" s="396"/>
      <c r="C147" s="456"/>
      <c r="D147" s="456"/>
      <c r="E147" s="456"/>
      <c r="F147" s="396"/>
      <c r="G147" s="456"/>
      <c r="H147" s="456"/>
      <c r="I147" s="456"/>
      <c r="J147" s="456"/>
      <c r="K147" s="456"/>
      <c r="L147" s="456"/>
      <c r="M147" s="456"/>
      <c r="N147" s="456"/>
      <c r="O147" s="456"/>
      <c r="P147" s="456"/>
      <c r="Q147" s="456"/>
      <c r="R147" s="456"/>
      <c r="S147" s="396"/>
      <c r="T147" s="456">
        <f t="shared" ref="T147:AY147" si="151">T14+T16-T144-T56+T13</f>
        <v>0</v>
      </c>
      <c r="U147" s="456">
        <f t="shared" si="151"/>
        <v>0</v>
      </c>
      <c r="V147" s="456">
        <f t="shared" si="151"/>
        <v>0</v>
      </c>
      <c r="W147" s="456">
        <f t="shared" si="151"/>
        <v>0</v>
      </c>
      <c r="X147" s="456">
        <f t="shared" si="151"/>
        <v>0</v>
      </c>
      <c r="Y147" s="456">
        <f t="shared" si="151"/>
        <v>0</v>
      </c>
      <c r="Z147" s="456">
        <f t="shared" si="151"/>
        <v>0</v>
      </c>
      <c r="AA147" s="456">
        <f t="shared" si="151"/>
        <v>0</v>
      </c>
      <c r="AB147" s="456">
        <f t="shared" si="151"/>
        <v>0</v>
      </c>
      <c r="AC147" s="456">
        <f t="shared" si="151"/>
        <v>0</v>
      </c>
      <c r="AD147" s="456">
        <f t="shared" si="151"/>
        <v>0</v>
      </c>
      <c r="AE147" s="456">
        <f t="shared" si="151"/>
        <v>0</v>
      </c>
      <c r="AF147" s="396">
        <f t="shared" si="151"/>
        <v>0</v>
      </c>
      <c r="AG147" s="456">
        <f t="shared" si="151"/>
        <v>0</v>
      </c>
      <c r="AH147" s="456">
        <f t="shared" si="151"/>
        <v>0</v>
      </c>
      <c r="AI147" s="456">
        <f t="shared" si="151"/>
        <v>0</v>
      </c>
      <c r="AJ147" s="456">
        <f t="shared" si="151"/>
        <v>0</v>
      </c>
      <c r="AK147" s="456">
        <f t="shared" si="151"/>
        <v>0</v>
      </c>
      <c r="AL147" s="456">
        <f t="shared" si="151"/>
        <v>0</v>
      </c>
      <c r="AM147" s="456">
        <f t="shared" si="151"/>
        <v>0</v>
      </c>
      <c r="AN147" s="456">
        <f t="shared" si="151"/>
        <v>0</v>
      </c>
      <c r="AO147" s="456">
        <f t="shared" si="151"/>
        <v>0</v>
      </c>
      <c r="AP147" s="456">
        <f t="shared" si="151"/>
        <v>0</v>
      </c>
      <c r="AQ147" s="456">
        <f t="shared" si="151"/>
        <v>0</v>
      </c>
      <c r="AR147" s="456">
        <f t="shared" si="151"/>
        <v>0</v>
      </c>
      <c r="AS147" s="396">
        <f t="shared" si="151"/>
        <v>0</v>
      </c>
      <c r="AT147" s="456">
        <f t="shared" si="151"/>
        <v>0</v>
      </c>
      <c r="AU147" s="396">
        <f t="shared" si="151"/>
        <v>0</v>
      </c>
      <c r="AV147" s="456">
        <f t="shared" si="151"/>
        <v>0</v>
      </c>
      <c r="AW147" s="396">
        <f t="shared" si="151"/>
        <v>0</v>
      </c>
      <c r="AX147" s="396">
        <f t="shared" si="151"/>
        <v>0</v>
      </c>
      <c r="AY147" s="396">
        <f t="shared" si="151"/>
        <v>0</v>
      </c>
      <c r="AZ147" s="396">
        <f t="shared" ref="AZ147:CE147" si="152">AZ14+AZ16-AZ144-AZ56+AZ13</f>
        <v>0</v>
      </c>
      <c r="BA147" s="396">
        <f t="shared" si="152"/>
        <v>0</v>
      </c>
      <c r="BB147" s="396">
        <f t="shared" si="152"/>
        <v>0</v>
      </c>
      <c r="BC147" s="396">
        <f t="shared" si="152"/>
        <v>0</v>
      </c>
      <c r="BD147" s="396">
        <f t="shared" si="152"/>
        <v>0</v>
      </c>
      <c r="BE147" s="396">
        <f t="shared" si="152"/>
        <v>0</v>
      </c>
      <c r="BF147" s="396">
        <f t="shared" si="152"/>
        <v>0</v>
      </c>
      <c r="BG147" s="396">
        <f t="shared" si="152"/>
        <v>0</v>
      </c>
      <c r="BH147" s="396">
        <f t="shared" si="152"/>
        <v>0</v>
      </c>
      <c r="BI147" s="396">
        <f t="shared" si="152"/>
        <v>0</v>
      </c>
      <c r="BJ147" s="396">
        <f t="shared" si="152"/>
        <v>0</v>
      </c>
      <c r="BK147" s="396">
        <f t="shared" si="152"/>
        <v>0</v>
      </c>
      <c r="BL147" s="396">
        <f t="shared" si="152"/>
        <v>0</v>
      </c>
      <c r="BM147" s="396">
        <f t="shared" si="152"/>
        <v>0</v>
      </c>
      <c r="BN147" s="396">
        <f t="shared" si="152"/>
        <v>0</v>
      </c>
      <c r="BO147" s="396">
        <f t="shared" si="152"/>
        <v>0</v>
      </c>
      <c r="BP147" s="396">
        <f t="shared" si="152"/>
        <v>0</v>
      </c>
      <c r="BQ147" s="430">
        <f t="shared" si="152"/>
        <v>-68850</v>
      </c>
      <c r="BR147" s="430">
        <f t="shared" si="152"/>
        <v>-77469.94</v>
      </c>
      <c r="BS147" s="396">
        <f t="shared" si="152"/>
        <v>-82598.209999999992</v>
      </c>
      <c r="BT147" s="396">
        <f t="shared" si="152"/>
        <v>-99400.4</v>
      </c>
      <c r="BU147" s="396">
        <f t="shared" si="152"/>
        <v>-328318.55000000005</v>
      </c>
      <c r="BV147" s="396">
        <f t="shared" si="152"/>
        <v>-129178.68</v>
      </c>
      <c r="BW147" s="396">
        <f t="shared" si="152"/>
        <v>-305662.2</v>
      </c>
      <c r="BX147" s="396">
        <f t="shared" si="152"/>
        <v>-243916.66999999998</v>
      </c>
      <c r="BY147" s="396">
        <f t="shared" si="152"/>
        <v>-445551.67</v>
      </c>
      <c r="BZ147" s="396">
        <f t="shared" si="152"/>
        <v>-649659.69999999995</v>
      </c>
      <c r="CA147" s="396">
        <f t="shared" si="152"/>
        <v>-266013.56</v>
      </c>
      <c r="CB147" s="396">
        <f t="shared" si="152"/>
        <v>-219057.52</v>
      </c>
      <c r="CC147" s="396">
        <f t="shared" si="152"/>
        <v>-219064.02999999997</v>
      </c>
      <c r="CD147" s="396">
        <f t="shared" si="152"/>
        <v>-259153.90000000002</v>
      </c>
      <c r="CE147" s="396">
        <f t="shared" si="152"/>
        <v>-252659.32</v>
      </c>
      <c r="CF147" s="396">
        <f t="shared" ref="CF147:CU147" si="153">CF14+CF16-CF144-CF56+CF13</f>
        <v>876974.62000000011</v>
      </c>
      <c r="CG147" s="396">
        <f t="shared" si="153"/>
        <v>-70159.349999999991</v>
      </c>
      <c r="CH147" s="396">
        <f t="shared" si="153"/>
        <v>-2183101.9800000004</v>
      </c>
      <c r="CI147" s="396">
        <f t="shared" si="153"/>
        <v>-2956256.0700000003</v>
      </c>
      <c r="CJ147" s="396">
        <f t="shared" si="153"/>
        <v>-2925776.0900000003</v>
      </c>
      <c r="CK147" s="396">
        <f t="shared" si="153"/>
        <v>-3162549.4000000004</v>
      </c>
      <c r="CL147" s="396">
        <f t="shared" si="153"/>
        <v>-2809587.8600000003</v>
      </c>
      <c r="CM147" s="396">
        <f t="shared" si="153"/>
        <v>-3704200.35</v>
      </c>
      <c r="CN147" s="396">
        <f t="shared" si="153"/>
        <v>-4897829.42</v>
      </c>
      <c r="CO147" s="396">
        <f t="shared" si="153"/>
        <v>-4385040.6500000013</v>
      </c>
      <c r="CP147" s="396">
        <f t="shared" si="153"/>
        <v>-5643417.8799999999</v>
      </c>
      <c r="CQ147" s="396">
        <f t="shared" si="153"/>
        <v>-4349056.1300000008</v>
      </c>
      <c r="CR147" s="396">
        <f t="shared" si="153"/>
        <v>-4551195.1199999992</v>
      </c>
      <c r="CS147" s="396">
        <f t="shared" si="153"/>
        <v>-3494161.05</v>
      </c>
      <c r="CT147" s="396">
        <f t="shared" si="153"/>
        <v>-3796481.41</v>
      </c>
      <c r="CU147" s="396">
        <f t="shared" si="153"/>
        <v>-46675551.43</v>
      </c>
      <c r="CV147" s="396">
        <f t="shared" ref="CV147:DG147" si="154">CV14+CV16-CV144-CV56+CV13+CV15</f>
        <v>-4438912.28</v>
      </c>
      <c r="CW147" s="396">
        <f t="shared" si="154"/>
        <v>-4030702.6899999995</v>
      </c>
      <c r="CX147" s="396">
        <f t="shared" si="154"/>
        <v>-3864064.0399999991</v>
      </c>
      <c r="CY147" s="396">
        <f t="shared" si="154"/>
        <v>-7525378.620000001</v>
      </c>
      <c r="CZ147" s="396">
        <f t="shared" si="154"/>
        <v>-6856518.9100000001</v>
      </c>
      <c r="DA147" s="396">
        <f t="shared" si="154"/>
        <v>-7451486.6500000004</v>
      </c>
      <c r="DB147" s="396">
        <f t="shared" si="154"/>
        <v>-7637925.7800000003</v>
      </c>
      <c r="DC147" s="396">
        <f t="shared" si="154"/>
        <v>-5456282.8199999984</v>
      </c>
      <c r="DD147" s="396">
        <f t="shared" si="154"/>
        <v>-6058052.6900000004</v>
      </c>
      <c r="DE147" s="396">
        <f t="shared" si="154"/>
        <v>-6135734.9399999985</v>
      </c>
      <c r="DF147" s="396">
        <f t="shared" si="154"/>
        <v>-6157146.7499999991</v>
      </c>
      <c r="DG147" s="396">
        <f t="shared" si="154"/>
        <v>-6737276.25</v>
      </c>
      <c r="DH147" s="396">
        <f t="shared" si="149"/>
        <v>-72349482.419999987</v>
      </c>
      <c r="DI147" s="396">
        <f t="shared" ref="DI147:DT147" si="155">DI14+DI16-DI144-DI56+DI13+DI15</f>
        <v>-5347594.0600000005</v>
      </c>
      <c r="DJ147" s="396">
        <f t="shared" si="155"/>
        <v>-4585504.8</v>
      </c>
      <c r="DK147" s="396">
        <f t="shared" si="155"/>
        <v>-4640468.8599999985</v>
      </c>
      <c r="DL147" s="396">
        <f t="shared" si="155"/>
        <v>-5683174.8000000007</v>
      </c>
      <c r="DM147" s="396">
        <f t="shared" si="155"/>
        <v>-5537534.7600000007</v>
      </c>
      <c r="DN147" s="396">
        <f t="shared" si="155"/>
        <v>-6605047.8199999994</v>
      </c>
      <c r="DO147" s="396">
        <f t="shared" si="155"/>
        <v>-6014889.6899999995</v>
      </c>
      <c r="DP147" s="396">
        <f t="shared" si="155"/>
        <v>-6532394.3600000003</v>
      </c>
      <c r="DQ147" s="396">
        <f t="shared" si="155"/>
        <v>-6240151.1500000013</v>
      </c>
      <c r="DR147" s="396">
        <f t="shared" si="155"/>
        <v>-6007168.8300000001</v>
      </c>
      <c r="DS147" s="396">
        <f t="shared" si="155"/>
        <v>0</v>
      </c>
      <c r="DT147" s="396">
        <f t="shared" si="155"/>
        <v>0</v>
      </c>
      <c r="DU147" s="396">
        <f t="shared" ref="DU147" si="156">SUM(DI147:DT147)</f>
        <v>-57193929.129999995</v>
      </c>
    </row>
    <row r="148" spans="1:125" ht="15" customHeight="1">
      <c r="AF148" s="938"/>
      <c r="AU148" s="938"/>
      <c r="BH148" s="938"/>
      <c r="BU148" s="938"/>
      <c r="CH148" s="938"/>
      <c r="CU148" s="938"/>
      <c r="CV148" s="938"/>
      <c r="CW148" s="938"/>
      <c r="CX148" s="938"/>
      <c r="CY148" s="938"/>
      <c r="CZ148" s="938"/>
      <c r="DA148" s="938"/>
      <c r="DB148" s="938"/>
      <c r="DC148" s="938"/>
      <c r="DD148" s="938"/>
      <c r="DE148" s="938"/>
      <c r="DF148" s="938"/>
      <c r="DG148" s="938"/>
      <c r="DH148" s="938"/>
      <c r="DI148" s="938"/>
      <c r="DJ148" s="938"/>
      <c r="DK148" s="938"/>
      <c r="DL148" s="938"/>
      <c r="DM148" s="938"/>
      <c r="DN148" s="938"/>
      <c r="DO148" s="938"/>
      <c r="DP148" s="938"/>
      <c r="DQ148" s="938"/>
      <c r="DR148" s="938"/>
      <c r="DS148" s="938"/>
      <c r="DT148" s="938"/>
      <c r="DU148" s="938"/>
    </row>
    <row r="149" spans="1:125" ht="12.75" customHeight="1" thickBot="1">
      <c r="A149" s="29" t="s">
        <v>589</v>
      </c>
      <c r="B149" s="30">
        <f>(B60)+(0)-(B113)</f>
        <v>116062.2200000002</v>
      </c>
      <c r="C149" s="31">
        <f>(C60)+(0)-(C113)</f>
        <v>-264028.73</v>
      </c>
      <c r="D149" s="31">
        <f>(D60)+(0)-(D113)</f>
        <v>-54685.19</v>
      </c>
      <c r="E149" s="31">
        <f>(E60)+(0)-(E113)</f>
        <v>-116714.86000000004</v>
      </c>
      <c r="F149" s="30">
        <f>(F60)+(0)-(F113)</f>
        <v>-1345515.5400000005</v>
      </c>
      <c r="G149" s="31">
        <f t="shared" ref="G149:T149" si="157">G60-G113</f>
        <v>-114478.44</v>
      </c>
      <c r="H149" s="31">
        <f t="shared" si="157"/>
        <v>-269711.01</v>
      </c>
      <c r="I149" s="31">
        <f t="shared" si="157"/>
        <v>-149979.35999999999</v>
      </c>
      <c r="J149" s="31">
        <f t="shared" si="157"/>
        <v>-82590.22000000003</v>
      </c>
      <c r="K149" s="31">
        <f t="shared" si="157"/>
        <v>-177304.06999999995</v>
      </c>
      <c r="L149" s="31">
        <f t="shared" si="157"/>
        <v>86579.890000000014</v>
      </c>
      <c r="M149" s="31">
        <f t="shared" si="157"/>
        <v>210118.36999999994</v>
      </c>
      <c r="N149" s="31">
        <f t="shared" si="157"/>
        <v>79199.020000000019</v>
      </c>
      <c r="O149" s="31">
        <f t="shared" si="157"/>
        <v>87519.830000000075</v>
      </c>
      <c r="P149" s="31">
        <f t="shared" si="157"/>
        <v>256101.06</v>
      </c>
      <c r="Q149" s="31">
        <f t="shared" si="157"/>
        <v>263876.21999999997</v>
      </c>
      <c r="R149" s="31">
        <f t="shared" si="157"/>
        <v>289588.41999999993</v>
      </c>
      <c r="S149" s="30">
        <f t="shared" si="157"/>
        <v>478919.22000000067</v>
      </c>
      <c r="T149" s="32">
        <f t="shared" si="157"/>
        <v>430087.78000000014</v>
      </c>
      <c r="U149" s="31">
        <f>+U60-U113-1</f>
        <v>247619.38</v>
      </c>
      <c r="V149" s="31">
        <f t="shared" ref="V149:AF149" si="158">+V60-V113</f>
        <v>263287.27</v>
      </c>
      <c r="W149" s="31">
        <f t="shared" si="158"/>
        <v>448339.32000000018</v>
      </c>
      <c r="X149" s="31">
        <f t="shared" si="158"/>
        <v>445993.52000000025</v>
      </c>
      <c r="Y149" s="31">
        <f t="shared" si="158"/>
        <v>519016.50999999989</v>
      </c>
      <c r="Z149" s="31">
        <f t="shared" si="158"/>
        <v>337863.84000000008</v>
      </c>
      <c r="AA149" s="31">
        <f t="shared" si="158"/>
        <v>429557.89999999991</v>
      </c>
      <c r="AB149" s="31">
        <f t="shared" si="158"/>
        <v>175703.9700000002</v>
      </c>
      <c r="AC149" s="31">
        <f t="shared" si="158"/>
        <v>592930.64999999991</v>
      </c>
      <c r="AD149" s="31">
        <f t="shared" si="158"/>
        <v>732077.19000000018</v>
      </c>
      <c r="AE149" s="31">
        <f t="shared" si="158"/>
        <v>630202.93999999994</v>
      </c>
      <c r="AF149" s="454">
        <f t="shared" si="158"/>
        <v>5252680.2700000033</v>
      </c>
      <c r="AG149" s="31">
        <v>1189631.2199999997</v>
      </c>
      <c r="AH149" s="31">
        <v>1051224.5500000003</v>
      </c>
      <c r="AI149" s="31">
        <v>816580.81999999983</v>
      </c>
      <c r="AJ149" s="31">
        <v>798302.31999999983</v>
      </c>
      <c r="AK149" s="31">
        <v>-87278.589999999851</v>
      </c>
      <c r="AL149" s="31">
        <v>863829.08999999962</v>
      </c>
      <c r="AM149" s="31">
        <v>828637.74000000022</v>
      </c>
      <c r="AN149" s="31">
        <v>541171.5399999998</v>
      </c>
      <c r="AO149" s="31">
        <v>4718.7500000000582</v>
      </c>
      <c r="AP149" s="31">
        <v>795411.4700000002</v>
      </c>
      <c r="AQ149" s="31">
        <v>1371936</v>
      </c>
      <c r="AR149" s="31">
        <v>-18038.709999999614</v>
      </c>
      <c r="AS149" s="30">
        <v>8156126.2000000002</v>
      </c>
      <c r="AT149" s="31">
        <v>1211435.3799999999</v>
      </c>
      <c r="AU149" s="454">
        <v>9367561.5800000001</v>
      </c>
      <c r="AV149" s="31">
        <v>-1482569.3199999998</v>
      </c>
      <c r="AW149" s="30">
        <v>-1979894.3699999996</v>
      </c>
      <c r="AX149" s="30">
        <v>-2115860.73</v>
      </c>
      <c r="AY149" s="30">
        <v>88162.910000000615</v>
      </c>
      <c r="AZ149" s="30">
        <v>413256.36999999953</v>
      </c>
      <c r="BA149" s="30">
        <v>1422301.9799999995</v>
      </c>
      <c r="BB149" s="35">
        <v>988751.10000000009</v>
      </c>
      <c r="BC149" s="30">
        <v>1335879.2699999996</v>
      </c>
      <c r="BD149" s="30">
        <v>1000326.8900000005</v>
      </c>
      <c r="BE149" s="30">
        <v>1687838.5999999996</v>
      </c>
      <c r="BF149" s="30">
        <v>1506724.3699999996</v>
      </c>
      <c r="BG149" s="30">
        <v>1276880.1000000001</v>
      </c>
      <c r="BH149" s="454">
        <v>4141797.1699999985</v>
      </c>
      <c r="BI149" s="30">
        <f>('P&amp;L -Dec25'!BI60)+(0)-('P&amp;L -Dec25'!BI113)+BI67</f>
        <v>946150.070000001</v>
      </c>
      <c r="BJ149" s="30">
        <f>('P&amp;L -Dec25'!BJ60)+(0)-('P&amp;L -Dec25'!BJ113)+BJ67</f>
        <v>2029741.2700000007</v>
      </c>
      <c r="BK149" s="30">
        <f>('P&amp;L -Dec25'!BK60)+(0)-('P&amp;L -Dec25'!BK113)+BK67</f>
        <v>1552966.649999999</v>
      </c>
      <c r="BL149" s="30">
        <f>('P&amp;L -Dec25'!BL60)+(0)-('P&amp;L -Dec25'!BL113)+BL67</f>
        <v>1493918.4899999998</v>
      </c>
      <c r="BM149" s="30">
        <f>('P&amp;L -Dec25'!BM60)+(0)-('P&amp;L -Dec25'!BM113)+BM67</f>
        <v>1624496.7099999988</v>
      </c>
      <c r="BN149" s="30">
        <f>('P&amp;L -Dec25'!BN60)+(0)-('P&amp;L -Dec25'!BN113)+BN67</f>
        <v>800671.3</v>
      </c>
      <c r="BO149" s="30">
        <f>('P&amp;L -Dec25'!BO60)+(0)-('P&amp;L -Dec25'!BO113)+BO67</f>
        <v>574183.2900000026</v>
      </c>
      <c r="BP149" s="30">
        <f>('P&amp;L -Dec25'!BP60)+(0)-('P&amp;L -Dec25'!BP113)+BP67</f>
        <v>228926.12000000078</v>
      </c>
      <c r="BQ149" s="35">
        <f>('P&amp;L -Dec25'!BQ60)+(0)-('P&amp;L -Dec25'!BQ113)+BQ67-BQ144</f>
        <v>-497661</v>
      </c>
      <c r="BR149" s="35">
        <f>('P&amp;L -Dec25'!BR60)+(0)-('P&amp;L -Dec25'!BR113)+BR67-BR144</f>
        <v>1661525.9000000011</v>
      </c>
      <c r="BS149" s="30">
        <f>('P&amp;L -Dec25'!BS60)+(0)-('P&amp;L -Dec25'!BS113)+BS67-BS144</f>
        <v>1612746.2800000017</v>
      </c>
      <c r="BT149" s="30">
        <f>('P&amp;L -Dec25'!BT60)+(0)-('P&amp;L -Dec25'!BT113)+BT67-BT144</f>
        <v>-2487548.1599999988</v>
      </c>
      <c r="BU149" s="454">
        <f>SUM(BI149:BT149)</f>
        <v>9540116.9200000074</v>
      </c>
      <c r="BV149" s="30">
        <f t="shared" ref="BV149:CG149" si="159">SUM(BV146:BV147)</f>
        <v>1384935.0499999986</v>
      </c>
      <c r="BW149" s="30">
        <f t="shared" si="159"/>
        <v>973495.95900000189</v>
      </c>
      <c r="BX149" s="30">
        <f t="shared" si="159"/>
        <v>201653.22000000434</v>
      </c>
      <c r="BY149" s="30">
        <f t="shared" si="159"/>
        <v>597473.03999999724</v>
      </c>
      <c r="BZ149" s="30">
        <f t="shared" si="159"/>
        <v>392911.44999999483</v>
      </c>
      <c r="CA149" s="30">
        <f t="shared" si="159"/>
        <v>632647.90999999689</v>
      </c>
      <c r="CB149" s="30">
        <f t="shared" si="159"/>
        <v>-664736.88000000315</v>
      </c>
      <c r="CC149" s="30">
        <f t="shared" si="159"/>
        <v>-111826.71000000526</v>
      </c>
      <c r="CD149" s="30">
        <f t="shared" si="159"/>
        <v>-661780.3000000004</v>
      </c>
      <c r="CE149" s="30">
        <f t="shared" si="159"/>
        <v>2915408.7900000014</v>
      </c>
      <c r="CF149" s="30">
        <f t="shared" si="159"/>
        <v>2198452.759999997</v>
      </c>
      <c r="CG149" s="30">
        <f t="shared" si="159"/>
        <v>3748560.1700000032</v>
      </c>
      <c r="CH149" s="454">
        <f>SUM(BV149:CG149)</f>
        <v>11607194.458999986</v>
      </c>
      <c r="CI149" s="30">
        <f t="shared" ref="CI149:CN149" si="160">SUM(CI146:CI147)</f>
        <v>2010510.5500000026</v>
      </c>
      <c r="CJ149" s="30">
        <f t="shared" si="160"/>
        <v>2707177.5500000003</v>
      </c>
      <c r="CK149" s="30">
        <f t="shared" si="160"/>
        <v>5344482.9399999976</v>
      </c>
      <c r="CL149" s="30">
        <f t="shared" si="160"/>
        <v>4328652.400000005</v>
      </c>
      <c r="CM149" s="30">
        <f t="shared" si="160"/>
        <v>3397399.8800000041</v>
      </c>
      <c r="CN149" s="30">
        <f t="shared" si="160"/>
        <v>1838064.5499999989</v>
      </c>
      <c r="CO149" s="30">
        <f t="shared" ref="CO149:CT149" si="161">SUM(CO146:CO147)</f>
        <v>2755272.2899999963</v>
      </c>
      <c r="CP149" s="30">
        <f t="shared" si="161"/>
        <v>3349530.2100000037</v>
      </c>
      <c r="CQ149" s="30">
        <f t="shared" si="161"/>
        <v>3752672.8499999922</v>
      </c>
      <c r="CR149" s="30">
        <f t="shared" si="161"/>
        <v>6660702.2999999989</v>
      </c>
      <c r="CS149" s="30">
        <f t="shared" si="161"/>
        <v>6297858.370000002</v>
      </c>
      <c r="CT149" s="30">
        <f t="shared" si="161"/>
        <v>-13851434.42999999</v>
      </c>
      <c r="CU149" s="454">
        <f>SUM(CI149:CT149)</f>
        <v>28590889.460000008</v>
      </c>
      <c r="CV149" s="454">
        <f t="shared" ref="CV149:DA149" si="162">SUM(CV146:CV147)</f>
        <v>1266201.6300000036</v>
      </c>
      <c r="CW149" s="454">
        <f t="shared" si="162"/>
        <v>9308925.7599999998</v>
      </c>
      <c r="CX149" s="454">
        <f t="shared" si="162"/>
        <v>848739.66999999806</v>
      </c>
      <c r="CY149" s="454">
        <f t="shared" si="162"/>
        <v>-509371.91000000387</v>
      </c>
      <c r="CZ149" s="454">
        <f t="shared" si="162"/>
        <v>5651073.599999994</v>
      </c>
      <c r="DA149" s="454">
        <f t="shared" si="162"/>
        <v>3964126.3800000008</v>
      </c>
      <c r="DB149" s="35">
        <f t="shared" ref="DB149:DG149" si="163">SUM(DB146:DB147)</f>
        <v>2060949.4300000044</v>
      </c>
      <c r="DC149" s="35">
        <f t="shared" si="163"/>
        <v>-1828419.569999991</v>
      </c>
      <c r="DD149" s="35">
        <f t="shared" si="163"/>
        <v>2603694.4000000032</v>
      </c>
      <c r="DE149" s="35">
        <f t="shared" si="163"/>
        <v>913056.40000000503</v>
      </c>
      <c r="DF149" s="35">
        <f t="shared" si="163"/>
        <v>-4098368.2800000003</v>
      </c>
      <c r="DG149" s="35">
        <f t="shared" si="163"/>
        <v>-5367771.0599999987</v>
      </c>
      <c r="DH149" s="454">
        <f>SUM(CV149:DG149)</f>
        <v>14812836.450000018</v>
      </c>
      <c r="DI149" s="35">
        <f t="shared" ref="DI149:DJ149" si="164">SUM(DI146:DI147)</f>
        <v>4137475.9700000007</v>
      </c>
      <c r="DJ149" s="35">
        <f t="shared" si="164"/>
        <v>2378537.5800000029</v>
      </c>
      <c r="DK149" s="35">
        <f t="shared" ref="DK149:DT149" si="165">SUM(DK146:DK147)</f>
        <v>6885884.6100000078</v>
      </c>
      <c r="DL149" s="35">
        <f t="shared" si="165"/>
        <v>818149.36999999732</v>
      </c>
      <c r="DM149" s="35">
        <f t="shared" si="165"/>
        <v>5054810.6200000094</v>
      </c>
      <c r="DN149" s="35">
        <f t="shared" si="165"/>
        <v>-2736270.8999999939</v>
      </c>
      <c r="DO149" s="35">
        <f>SUM(DO146:DO147)</f>
        <v>5473203.8399999943</v>
      </c>
      <c r="DP149" s="35">
        <f t="shared" si="165"/>
        <v>5878550.7100000037</v>
      </c>
      <c r="DQ149" s="35">
        <f t="shared" si="165"/>
        <v>-8279058.3900000071</v>
      </c>
      <c r="DR149" s="35">
        <f t="shared" si="165"/>
        <v>7445807.0200000014</v>
      </c>
      <c r="DS149" s="35">
        <f t="shared" si="165"/>
        <v>0</v>
      </c>
      <c r="DT149" s="35">
        <f t="shared" si="165"/>
        <v>0</v>
      </c>
      <c r="DU149" s="454">
        <f>SUM(DI149:DT149)</f>
        <v>27057090.430000015</v>
      </c>
    </row>
    <row r="150" spans="1:125" ht="12.75" customHeight="1" thickTop="1">
      <c r="A150" s="2"/>
      <c r="B150" s="12"/>
      <c r="C150" s="4"/>
      <c r="D150" s="4"/>
      <c r="E150" s="4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12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396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12"/>
      <c r="AT150" s="12"/>
      <c r="AU150" s="396"/>
      <c r="AV150" s="4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396"/>
      <c r="BI150" s="12"/>
      <c r="BJ150" s="12"/>
      <c r="BK150" s="12"/>
      <c r="BL150" s="12"/>
      <c r="BM150" s="12"/>
      <c r="BN150" s="12"/>
      <c r="BO150" s="12"/>
      <c r="BP150" s="12"/>
      <c r="BQ150" s="15"/>
      <c r="BR150" s="15"/>
      <c r="BS150" s="12"/>
      <c r="BT150" s="396"/>
      <c r="BU150" s="396"/>
      <c r="BV150" s="396"/>
      <c r="BW150" s="12"/>
      <c r="BX150" s="12"/>
      <c r="BY150" s="396"/>
      <c r="BZ150" s="396"/>
      <c r="CA150" s="396"/>
      <c r="CB150" s="396"/>
      <c r="CC150" s="396"/>
      <c r="CD150" s="396"/>
      <c r="CE150" s="396"/>
      <c r="CF150" s="396"/>
      <c r="CG150" s="396"/>
      <c r="CH150" s="396"/>
      <c r="CI150" s="396"/>
      <c r="CJ150" s="396"/>
      <c r="CK150" s="396"/>
      <c r="CL150" s="396"/>
      <c r="CM150" s="396"/>
      <c r="CN150" s="396"/>
      <c r="CO150" s="396"/>
      <c r="CP150" s="396"/>
      <c r="CQ150" s="396"/>
      <c r="CR150" s="396"/>
      <c r="CS150" s="396"/>
      <c r="CT150" s="396"/>
      <c r="CU150" s="396"/>
      <c r="CV150" s="396"/>
      <c r="CW150" s="396"/>
      <c r="CX150" s="934"/>
      <c r="CY150" s="934"/>
      <c r="CZ150" s="934"/>
      <c r="DA150" s="934"/>
      <c r="DB150" s="767"/>
      <c r="DC150" s="767"/>
      <c r="DD150" s="934"/>
      <c r="DE150" s="934"/>
      <c r="DF150" s="934"/>
      <c r="DG150" s="934"/>
      <c r="DH150" s="396"/>
      <c r="DI150" s="934"/>
      <c r="DJ150" s="934"/>
      <c r="DK150" s="934"/>
      <c r="DL150" s="934"/>
      <c r="DM150" s="934"/>
      <c r="DN150" s="934"/>
      <c r="DO150" s="934"/>
      <c r="DP150" s="934"/>
      <c r="DQ150" s="934"/>
      <c r="DR150" s="934"/>
      <c r="DS150" s="934"/>
      <c r="DT150" s="934"/>
      <c r="DU150" s="396"/>
    </row>
    <row r="151" spans="1:125" ht="15" hidden="1" customHeight="1">
      <c r="A151" s="43" t="s">
        <v>125</v>
      </c>
      <c r="B151" s="12"/>
      <c r="C151" s="4"/>
      <c r="D151" s="4"/>
      <c r="E151" s="4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12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396">
        <v>0</v>
      </c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12">
        <v>0</v>
      </c>
      <c r="AT151" s="12"/>
      <c r="AU151" s="396">
        <v>0</v>
      </c>
      <c r="AV151" s="4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396">
        <v>0</v>
      </c>
      <c r="BI151" s="12"/>
      <c r="BJ151" s="12"/>
      <c r="BK151" s="12"/>
      <c r="BL151" s="12"/>
      <c r="BM151" s="12"/>
      <c r="BN151" s="12"/>
      <c r="BO151" s="12"/>
      <c r="BP151" s="12"/>
      <c r="BQ151" s="15"/>
      <c r="BR151" s="15"/>
      <c r="BS151" s="12"/>
      <c r="BT151" s="396"/>
      <c r="BU151" s="396">
        <f>AX151+AY151</f>
        <v>0</v>
      </c>
      <c r="BV151" s="396"/>
      <c r="BW151" s="12"/>
      <c r="BX151" s="12"/>
      <c r="BY151" s="396"/>
      <c r="BZ151" s="396"/>
      <c r="CA151" s="396"/>
      <c r="CB151" s="396"/>
      <c r="CC151" s="396"/>
      <c r="CD151" s="396"/>
      <c r="CE151" s="396"/>
      <c r="CF151" s="396"/>
      <c r="CG151" s="396"/>
      <c r="CH151" s="396">
        <f>BK151+BL151</f>
        <v>0</v>
      </c>
      <c r="CI151" s="396"/>
      <c r="CJ151" s="396"/>
      <c r="CK151" s="396"/>
      <c r="CL151" s="396"/>
      <c r="CM151" s="396"/>
      <c r="CN151" s="396"/>
      <c r="CO151" s="396"/>
      <c r="CP151" s="396"/>
      <c r="CQ151" s="396"/>
      <c r="CR151" s="396"/>
      <c r="CS151" s="396"/>
      <c r="CT151" s="396"/>
      <c r="CU151" s="396">
        <f>BV151</f>
        <v>0</v>
      </c>
      <c r="CV151" s="396"/>
      <c r="CW151" s="396"/>
      <c r="CX151" s="934"/>
      <c r="CY151" s="934"/>
      <c r="CZ151" s="934"/>
      <c r="DA151" s="934"/>
      <c r="DB151" s="767"/>
      <c r="DC151" s="767"/>
      <c r="DD151" s="934"/>
      <c r="DE151" s="934"/>
      <c r="DF151" s="934"/>
      <c r="DG151" s="934"/>
      <c r="DH151" s="396">
        <f>BX151</f>
        <v>0</v>
      </c>
      <c r="DI151" s="934"/>
      <c r="DJ151" s="934"/>
      <c r="DK151" s="934"/>
      <c r="DL151" s="934"/>
      <c r="DM151" s="934"/>
      <c r="DN151" s="934"/>
      <c r="DO151" s="934"/>
      <c r="DP151" s="934"/>
      <c r="DQ151" s="934"/>
      <c r="DR151" s="934"/>
      <c r="DS151" s="934"/>
      <c r="DT151" s="934"/>
      <c r="DU151" s="396">
        <f>CK151</f>
        <v>0</v>
      </c>
    </row>
    <row r="152" spans="1:125" ht="12.75" hidden="1" customHeight="1">
      <c r="A152" s="44" t="s">
        <v>126</v>
      </c>
      <c r="B152" s="12">
        <v>0</v>
      </c>
      <c r="C152" s="4">
        <v>18911.330000000002</v>
      </c>
      <c r="D152" s="4">
        <v>26027.48</v>
      </c>
      <c r="E152" s="4">
        <v>93553.5</v>
      </c>
      <c r="F152" s="12">
        <v>361946.84</v>
      </c>
      <c r="G152" s="4">
        <v>0</v>
      </c>
      <c r="H152" s="4">
        <v>320.14999999999998</v>
      </c>
      <c r="I152" s="4">
        <v>-99.93</v>
      </c>
      <c r="J152" s="4">
        <v>153.66999999999999</v>
      </c>
      <c r="K152" s="4">
        <v>99.97</v>
      </c>
      <c r="L152" s="4"/>
      <c r="M152" s="4"/>
      <c r="N152" s="4"/>
      <c r="O152" s="4"/>
      <c r="P152" s="4"/>
      <c r="Q152" s="4"/>
      <c r="R152" s="4"/>
      <c r="S152" s="12">
        <v>-3247.7</v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396">
        <v>0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12">
        <v>0</v>
      </c>
      <c r="AT152" s="12"/>
      <c r="AU152" s="396">
        <v>0</v>
      </c>
      <c r="AV152" s="4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396">
        <v>0</v>
      </c>
      <c r="BI152" s="12"/>
      <c r="BJ152" s="12"/>
      <c r="BK152" s="12"/>
      <c r="BL152" s="12"/>
      <c r="BM152" s="12"/>
      <c r="BN152" s="12"/>
      <c r="BO152" s="12"/>
      <c r="BP152" s="12"/>
      <c r="BQ152" s="15"/>
      <c r="BR152" s="15"/>
      <c r="BS152" s="12"/>
      <c r="BT152" s="396"/>
      <c r="BU152" s="396">
        <f>AX152+AY152</f>
        <v>0</v>
      </c>
      <c r="BV152" s="396"/>
      <c r="BW152" s="12"/>
      <c r="BX152" s="12"/>
      <c r="BY152" s="396"/>
      <c r="BZ152" s="396"/>
      <c r="CA152" s="396"/>
      <c r="CB152" s="396"/>
      <c r="CC152" s="396"/>
      <c r="CD152" s="396"/>
      <c r="CE152" s="396"/>
      <c r="CF152" s="396"/>
      <c r="CG152" s="396"/>
      <c r="CH152" s="396">
        <f>BK152+BL152</f>
        <v>0</v>
      </c>
      <c r="CI152" s="396"/>
      <c r="CJ152" s="396"/>
      <c r="CK152" s="396"/>
      <c r="CL152" s="396"/>
      <c r="CM152" s="396"/>
      <c r="CN152" s="396"/>
      <c r="CO152" s="396"/>
      <c r="CP152" s="396"/>
      <c r="CQ152" s="396"/>
      <c r="CR152" s="396"/>
      <c r="CS152" s="396"/>
      <c r="CT152" s="396"/>
      <c r="CU152" s="396">
        <f>BV152</f>
        <v>0</v>
      </c>
      <c r="CV152" s="396"/>
      <c r="CW152" s="396"/>
      <c r="CX152" s="934"/>
      <c r="CY152" s="934"/>
      <c r="CZ152" s="934"/>
      <c r="DA152" s="934"/>
      <c r="DB152" s="767"/>
      <c r="DC152" s="767"/>
      <c r="DD152" s="934"/>
      <c r="DE152" s="934"/>
      <c r="DF152" s="934"/>
      <c r="DG152" s="934"/>
      <c r="DH152" s="396">
        <f>BX152</f>
        <v>0</v>
      </c>
      <c r="DI152" s="934"/>
      <c r="DJ152" s="934"/>
      <c r="DK152" s="934"/>
      <c r="DL152" s="934"/>
      <c r="DM152" s="934"/>
      <c r="DN152" s="934"/>
      <c r="DO152" s="934"/>
      <c r="DP152" s="934"/>
      <c r="DQ152" s="934"/>
      <c r="DR152" s="934"/>
      <c r="DS152" s="934"/>
      <c r="DT152" s="934"/>
      <c r="DU152" s="396">
        <f>CK152</f>
        <v>0</v>
      </c>
    </row>
    <row r="153" spans="1:125" ht="12.75" hidden="1" customHeight="1">
      <c r="A153" s="45"/>
      <c r="B153" s="12">
        <v>-271312.3</v>
      </c>
      <c r="C153" s="4"/>
      <c r="D153" s="4"/>
      <c r="E153" s="4"/>
      <c r="F153" s="12"/>
      <c r="G153" s="4">
        <v>-68897.33</v>
      </c>
      <c r="H153" s="4">
        <v>-8062.42</v>
      </c>
      <c r="I153" s="4">
        <v>-1160.8</v>
      </c>
      <c r="J153" s="4">
        <v>0</v>
      </c>
      <c r="K153" s="4">
        <v>0</v>
      </c>
      <c r="L153" s="4"/>
      <c r="M153" s="4"/>
      <c r="N153" s="4"/>
      <c r="O153" s="4"/>
      <c r="P153" s="4"/>
      <c r="Q153" s="4"/>
      <c r="R153" s="4"/>
      <c r="S153" s="12">
        <v>-155933.04999999999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396">
        <v>0</v>
      </c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12">
        <v>0</v>
      </c>
      <c r="AT153" s="12"/>
      <c r="AU153" s="396">
        <v>0</v>
      </c>
      <c r="AV153" s="4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396">
        <v>0</v>
      </c>
      <c r="BI153" s="12"/>
      <c r="BJ153" s="12"/>
      <c r="BK153" s="12"/>
      <c r="BL153" s="12"/>
      <c r="BM153" s="12"/>
      <c r="BN153" s="12"/>
      <c r="BO153" s="12"/>
      <c r="BP153" s="12"/>
      <c r="BQ153" s="15"/>
      <c r="BR153" s="15"/>
      <c r="BS153" s="12"/>
      <c r="BT153" s="396"/>
      <c r="BU153" s="396">
        <f>AX153+AY153</f>
        <v>0</v>
      </c>
      <c r="BV153" s="396"/>
      <c r="BW153" s="12"/>
      <c r="BX153" s="12"/>
      <c r="BY153" s="396"/>
      <c r="BZ153" s="396"/>
      <c r="CA153" s="396"/>
      <c r="CB153" s="396"/>
      <c r="CC153" s="396"/>
      <c r="CD153" s="396"/>
      <c r="CE153" s="396"/>
      <c r="CF153" s="396"/>
      <c r="CG153" s="396"/>
      <c r="CH153" s="396">
        <f>BK153+BL153</f>
        <v>0</v>
      </c>
      <c r="CI153" s="396"/>
      <c r="CJ153" s="396"/>
      <c r="CK153" s="396"/>
      <c r="CL153" s="396"/>
      <c r="CM153" s="396"/>
      <c r="CN153" s="396"/>
      <c r="CO153" s="396"/>
      <c r="CP153" s="396"/>
      <c r="CQ153" s="396"/>
      <c r="CR153" s="396"/>
      <c r="CS153" s="396"/>
      <c r="CT153" s="396"/>
      <c r="CU153" s="396">
        <f>BV153</f>
        <v>0</v>
      </c>
      <c r="CV153" s="396"/>
      <c r="CW153" s="396"/>
      <c r="CX153" s="934"/>
      <c r="CY153" s="934"/>
      <c r="CZ153" s="934"/>
      <c r="DA153" s="934"/>
      <c r="DB153" s="767"/>
      <c r="DC153" s="767"/>
      <c r="DD153" s="934"/>
      <c r="DE153" s="934"/>
      <c r="DF153" s="934"/>
      <c r="DG153" s="934"/>
      <c r="DH153" s="396">
        <f>BX153</f>
        <v>0</v>
      </c>
      <c r="DI153" s="934"/>
      <c r="DJ153" s="934"/>
      <c r="DK153" s="934"/>
      <c r="DL153" s="934"/>
      <c r="DM153" s="934"/>
      <c r="DN153" s="934"/>
      <c r="DO153" s="934"/>
      <c r="DP153" s="934"/>
      <c r="DQ153" s="934"/>
      <c r="DR153" s="934"/>
      <c r="DS153" s="934"/>
      <c r="DT153" s="934"/>
      <c r="DU153" s="396">
        <f>CK153</f>
        <v>0</v>
      </c>
    </row>
    <row r="154" spans="1:125" ht="12.75" hidden="1" customHeight="1">
      <c r="A154" s="45"/>
      <c r="B154" s="12">
        <v>0</v>
      </c>
      <c r="C154" s="4"/>
      <c r="D154" s="4"/>
      <c r="E154" s="4"/>
      <c r="F154" s="12"/>
      <c r="G154" s="4">
        <v>0</v>
      </c>
      <c r="H154" s="4">
        <v>5526.28</v>
      </c>
      <c r="I154" s="4">
        <v>33129.29</v>
      </c>
      <c r="J154" s="4">
        <v>-15798.19</v>
      </c>
      <c r="K154" s="4">
        <v>-61854.95</v>
      </c>
      <c r="L154" s="4"/>
      <c r="M154" s="4"/>
      <c r="N154" s="4"/>
      <c r="O154" s="4"/>
      <c r="P154" s="4"/>
      <c r="Q154" s="4"/>
      <c r="R154" s="4"/>
      <c r="S154" s="12">
        <v>623454.18999999994</v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396">
        <v>0</v>
      </c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12">
        <v>0</v>
      </c>
      <c r="AT154" s="12"/>
      <c r="AU154" s="396">
        <v>0</v>
      </c>
      <c r="AV154" s="4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396">
        <v>0</v>
      </c>
      <c r="BI154" s="12"/>
      <c r="BJ154" s="12"/>
      <c r="BK154" s="12"/>
      <c r="BL154" s="12"/>
      <c r="BM154" s="12"/>
      <c r="BN154" s="12"/>
      <c r="BO154" s="12"/>
      <c r="BP154" s="12"/>
      <c r="BQ154" s="15"/>
      <c r="BR154" s="15"/>
      <c r="BS154" s="12"/>
      <c r="BT154" s="396"/>
      <c r="BU154" s="396">
        <f>AX154+AY154</f>
        <v>0</v>
      </c>
      <c r="BV154" s="396"/>
      <c r="BW154" s="12"/>
      <c r="BX154" s="12"/>
      <c r="BY154" s="396"/>
      <c r="BZ154" s="396"/>
      <c r="CA154" s="396"/>
      <c r="CB154" s="396"/>
      <c r="CC154" s="396"/>
      <c r="CD154" s="396"/>
      <c r="CE154" s="396"/>
      <c r="CF154" s="396"/>
      <c r="CG154" s="396"/>
      <c r="CH154" s="396">
        <f>BK154+BL154</f>
        <v>0</v>
      </c>
      <c r="CI154" s="396"/>
      <c r="CJ154" s="396"/>
      <c r="CK154" s="396"/>
      <c r="CL154" s="396"/>
      <c r="CM154" s="396"/>
      <c r="CN154" s="396"/>
      <c r="CO154" s="396"/>
      <c r="CP154" s="396"/>
      <c r="CQ154" s="396"/>
      <c r="CR154" s="396"/>
      <c r="CS154" s="396"/>
      <c r="CT154" s="396"/>
      <c r="CU154" s="396">
        <f>BV154</f>
        <v>0</v>
      </c>
      <c r="CV154" s="396"/>
      <c r="CW154" s="396"/>
      <c r="CX154" s="934"/>
      <c r="CY154" s="934"/>
      <c r="CZ154" s="934"/>
      <c r="DA154" s="934"/>
      <c r="DB154" s="767"/>
      <c r="DC154" s="767"/>
      <c r="DD154" s="934"/>
      <c r="DE154" s="934"/>
      <c r="DF154" s="934"/>
      <c r="DG154" s="934"/>
      <c r="DH154" s="396">
        <f>BX154</f>
        <v>0</v>
      </c>
      <c r="DI154" s="934"/>
      <c r="DJ154" s="934"/>
      <c r="DK154" s="934"/>
      <c r="DL154" s="934"/>
      <c r="DM154" s="934"/>
      <c r="DN154" s="934"/>
      <c r="DO154" s="934"/>
      <c r="DP154" s="934"/>
      <c r="DQ154" s="934"/>
      <c r="DR154" s="934"/>
      <c r="DS154" s="934"/>
      <c r="DT154" s="934"/>
      <c r="DU154" s="396">
        <f>CK154</f>
        <v>0</v>
      </c>
    </row>
    <row r="155" spans="1:125" ht="12.75" customHeight="1">
      <c r="A155" s="17" t="s">
        <v>844</v>
      </c>
      <c r="B155" s="18">
        <f>SUM(B152:B154)</f>
        <v>-271312.3</v>
      </c>
      <c r="C155" s="19">
        <f>SUM(C152)</f>
        <v>18911.330000000002</v>
      </c>
      <c r="D155" s="19">
        <f>SUM(D152)</f>
        <v>26027.48</v>
      </c>
      <c r="E155" s="19">
        <f>SUM(E152)</f>
        <v>93553.5</v>
      </c>
      <c r="F155" s="18">
        <f>SUM(F152)</f>
        <v>361946.84</v>
      </c>
      <c r="G155" s="19">
        <v>-68897.33</v>
      </c>
      <c r="H155" s="19">
        <v>-2215.9899999999998</v>
      </c>
      <c r="I155" s="19">
        <v>31710.59</v>
      </c>
      <c r="J155" s="19">
        <f>SUM(J152:J154)</f>
        <v>-15644.52</v>
      </c>
      <c r="K155" s="19">
        <v>-61774.44</v>
      </c>
      <c r="L155" s="19">
        <v>34883.599999999999</v>
      </c>
      <c r="M155" s="19">
        <v>-130166.49</v>
      </c>
      <c r="N155" s="19">
        <v>-216023.31</v>
      </c>
      <c r="O155" s="19">
        <v>153331.75999999998</v>
      </c>
      <c r="P155" s="19">
        <v>588182.19999999995</v>
      </c>
      <c r="Q155" s="19">
        <v>150841.35</v>
      </c>
      <c r="R155" s="19">
        <v>9030.7799999999988</v>
      </c>
      <c r="S155" s="18">
        <v>473258.18999999994</v>
      </c>
      <c r="T155" s="27">
        <v>-73359.88</v>
      </c>
      <c r="U155" s="46">
        <v>-265680.11</v>
      </c>
      <c r="V155" s="46">
        <v>-93918.8</v>
      </c>
      <c r="W155" s="28">
        <v>-351056.93</v>
      </c>
      <c r="X155" s="46">
        <v>146071.04999999999</v>
      </c>
      <c r="Y155" s="46">
        <v>-193483.45</v>
      </c>
      <c r="Z155" s="46">
        <v>-141583.04000000001</v>
      </c>
      <c r="AA155" s="46">
        <v>-265254.7</v>
      </c>
      <c r="AB155" s="46">
        <v>-60787.6</v>
      </c>
      <c r="AC155" s="46">
        <v>-477633.46</v>
      </c>
      <c r="AD155" s="46">
        <v>222401.37</v>
      </c>
      <c r="AE155" s="46">
        <v>-251991.31</v>
      </c>
      <c r="AF155" s="397">
        <v>-1806276.8599999999</v>
      </c>
      <c r="AG155" s="46">
        <v>-187660.85</v>
      </c>
      <c r="AH155" s="46">
        <v>14643.14</v>
      </c>
      <c r="AI155" s="46">
        <v>-160516.62</v>
      </c>
      <c r="AJ155" s="46">
        <v>15854.84</v>
      </c>
      <c r="AK155" s="46">
        <v>-137736.9</v>
      </c>
      <c r="AL155" s="46">
        <v>-74135.98</v>
      </c>
      <c r="AM155" s="46">
        <v>-286484.40000000002</v>
      </c>
      <c r="AN155" s="28">
        <v>12965.31</v>
      </c>
      <c r="AO155" s="28">
        <v>-105796.54</v>
      </c>
      <c r="AP155" s="28">
        <v>-179276.9</v>
      </c>
      <c r="AQ155" s="28">
        <v>-951374.57</v>
      </c>
      <c r="AR155" s="28">
        <v>-1151142.92</v>
      </c>
      <c r="AS155" s="18">
        <v>-3190662.3899999997</v>
      </c>
      <c r="AT155" s="18"/>
      <c r="AU155" s="397">
        <v>-3190662.3899999997</v>
      </c>
      <c r="AV155" s="47">
        <v>-733832.81</v>
      </c>
      <c r="AW155" s="22">
        <v>-672335.26</v>
      </c>
      <c r="AX155" s="22">
        <v>-403631.2</v>
      </c>
      <c r="AY155" s="22">
        <v>-547022.66</v>
      </c>
      <c r="AZ155" s="22">
        <v>-540535.51</v>
      </c>
      <c r="BA155" s="22">
        <v>-468747.63</v>
      </c>
      <c r="BB155" s="22">
        <v>-163793.78</v>
      </c>
      <c r="BC155" s="22">
        <v>-370971.59</v>
      </c>
      <c r="BD155" s="22">
        <v>-142071.75</v>
      </c>
      <c r="BE155" s="22">
        <v>-392686.78</v>
      </c>
      <c r="BF155" s="22">
        <v>337909.58</v>
      </c>
      <c r="BG155" s="22">
        <v>-150743.43</v>
      </c>
      <c r="BH155" s="397">
        <v>-4248462.8199999994</v>
      </c>
      <c r="BI155" s="22">
        <v>-123717.49</v>
      </c>
      <c r="BJ155" s="22">
        <v>-196163.42</v>
      </c>
      <c r="BK155" s="22">
        <v>-146900.28</v>
      </c>
      <c r="BL155" s="22">
        <v>-206851.97</v>
      </c>
      <c r="BM155" s="22">
        <v>-280072.71999999997</v>
      </c>
      <c r="BN155" s="22">
        <v>-92580.87</v>
      </c>
      <c r="BO155" s="22">
        <v>-122995.28</v>
      </c>
      <c r="BP155" s="22">
        <v>-123164.03</v>
      </c>
      <c r="BQ155" s="22">
        <v>-161488</v>
      </c>
      <c r="BR155" s="22">
        <v>192166.63</v>
      </c>
      <c r="BS155" s="18">
        <v>-552342.63</v>
      </c>
      <c r="BT155" s="18">
        <v>-587032.68999999994</v>
      </c>
      <c r="BU155" s="397">
        <f>SUM(BI155:BT155)</f>
        <v>-2401142.75</v>
      </c>
      <c r="BV155" s="397">
        <v>-438956.07</v>
      </c>
      <c r="BW155" s="397">
        <v>-720958.33</v>
      </c>
      <c r="BX155" s="397">
        <v>-573884.1</v>
      </c>
      <c r="BY155" s="397">
        <v>-758595.42</v>
      </c>
      <c r="BZ155" s="397">
        <v>-670681.65</v>
      </c>
      <c r="CA155" s="397">
        <v>-586826.84</v>
      </c>
      <c r="CB155" s="397">
        <v>-604123.30000000005</v>
      </c>
      <c r="CC155" s="397">
        <v>-476009.12</v>
      </c>
      <c r="CD155" s="397">
        <v>-32172.58</v>
      </c>
      <c r="CE155" s="397">
        <v>-178356.13</v>
      </c>
      <c r="CF155" s="397">
        <v>-504728.04</v>
      </c>
      <c r="CG155" s="397">
        <v>-172858.83</v>
      </c>
      <c r="CH155" s="397">
        <f>SUM(BV155:CG155)</f>
        <v>-5718150.4100000001</v>
      </c>
      <c r="CI155" s="397">
        <v>128843.46</v>
      </c>
      <c r="CJ155" s="397">
        <v>-61555.75</v>
      </c>
      <c r="CK155" s="397">
        <v>-154106.85</v>
      </c>
      <c r="CL155" s="397">
        <v>322068.99</v>
      </c>
      <c r="CM155" s="397">
        <v>211617.58</v>
      </c>
      <c r="CN155" s="397">
        <v>-194629.6</v>
      </c>
      <c r="CO155" s="397">
        <v>-13975.36</v>
      </c>
      <c r="CP155" s="397">
        <v>-70153.210000000006</v>
      </c>
      <c r="CQ155" s="397">
        <v>-59268.83</v>
      </c>
      <c r="CR155" s="397">
        <v>87604.58</v>
      </c>
      <c r="CS155" s="397">
        <v>-420812.48</v>
      </c>
      <c r="CT155" s="397">
        <v>-26453.71</v>
      </c>
      <c r="CU155" s="397">
        <f>SUM(CI155:CT155)</f>
        <v>-250821.18000000008</v>
      </c>
      <c r="CV155" s="397">
        <v>79265.33</v>
      </c>
      <c r="CW155" s="397">
        <v>39610.54</v>
      </c>
      <c r="CX155" s="933">
        <v>-29772.19</v>
      </c>
      <c r="CY155" s="933">
        <v>210494.74</v>
      </c>
      <c r="CZ155" s="933">
        <v>-150604.37</v>
      </c>
      <c r="DA155" s="933">
        <v>43655.87</v>
      </c>
      <c r="DB155" s="935">
        <v>38698.910000000003</v>
      </c>
      <c r="DC155" s="935">
        <v>-96915.51</v>
      </c>
      <c r="DD155" s="935">
        <v>-197661.75</v>
      </c>
      <c r="DE155" s="935">
        <v>-213921.73</v>
      </c>
      <c r="DF155" s="935">
        <v>230964.12</v>
      </c>
      <c r="DG155" s="935">
        <v>97611.99</v>
      </c>
      <c r="DH155" s="397">
        <f>SUM(CV155:DG155)</f>
        <v>51425.949999999968</v>
      </c>
      <c r="DI155" s="935">
        <v>-16355.83</v>
      </c>
      <c r="DJ155" s="935">
        <v>-1277490.1200000001</v>
      </c>
      <c r="DK155" s="935">
        <v>-841950.93</v>
      </c>
      <c r="DL155" s="935">
        <v>-951803.07</v>
      </c>
      <c r="DM155" s="935">
        <v>-1037847.09</v>
      </c>
      <c r="DN155" s="935">
        <v>-832931.41</v>
      </c>
      <c r="DO155" s="935">
        <v>-807235.62</v>
      </c>
      <c r="DP155" s="935">
        <v>-931377.59</v>
      </c>
      <c r="DQ155" s="935">
        <v>-898270.11</v>
      </c>
      <c r="DR155" s="935">
        <v>-457462.21</v>
      </c>
      <c r="DS155" s="935"/>
      <c r="DT155" s="935"/>
      <c r="DU155" s="397">
        <f>SUM(DI155:DT155)</f>
        <v>-8052723.9800000004</v>
      </c>
    </row>
    <row r="156" spans="1:125" ht="10.5" customHeight="1">
      <c r="A156" s="2"/>
      <c r="B156" s="12"/>
      <c r="C156" s="4"/>
      <c r="D156" s="4"/>
      <c r="E156" s="4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12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396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12"/>
      <c r="AT156" s="12"/>
      <c r="AU156" s="396"/>
      <c r="AV156" s="4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396"/>
      <c r="BI156" s="12"/>
      <c r="BJ156" s="12"/>
      <c r="BK156" s="12"/>
      <c r="BL156" s="12"/>
      <c r="BM156" s="12"/>
      <c r="BN156" s="12"/>
      <c r="BO156" s="12"/>
      <c r="BP156" s="12"/>
      <c r="BQ156" s="15"/>
      <c r="BR156" s="15"/>
      <c r="BS156" s="12"/>
      <c r="BT156" s="396"/>
      <c r="BU156" s="396"/>
      <c r="BV156" s="396"/>
      <c r="BW156" s="12"/>
      <c r="BX156" s="12"/>
      <c r="BY156" s="396"/>
      <c r="BZ156" s="396"/>
      <c r="CA156" s="396"/>
      <c r="CB156" s="396"/>
      <c r="CC156" s="396"/>
      <c r="CD156" s="396"/>
      <c r="CE156" s="396"/>
      <c r="CF156" s="396"/>
      <c r="CG156" s="396"/>
      <c r="CH156" s="396"/>
      <c r="CI156" s="396"/>
      <c r="CJ156" s="396"/>
      <c r="CK156" s="396"/>
      <c r="CL156" s="396"/>
      <c r="CM156" s="396"/>
      <c r="CN156" s="396"/>
      <c r="CO156" s="396"/>
      <c r="CP156" s="396"/>
      <c r="CQ156" s="396"/>
      <c r="CR156" s="396"/>
      <c r="CS156" s="396"/>
      <c r="CT156" s="396"/>
      <c r="CU156" s="396"/>
      <c r="CV156" s="396"/>
      <c r="CW156" s="396"/>
      <c r="CX156" s="934"/>
      <c r="CY156" s="934"/>
      <c r="CZ156" s="934"/>
      <c r="DA156" s="934"/>
      <c r="DB156" s="767"/>
      <c r="DC156" s="767"/>
      <c r="DD156" s="934"/>
      <c r="DE156" s="934"/>
      <c r="DF156" s="934"/>
      <c r="DG156" s="934"/>
      <c r="DH156" s="396"/>
      <c r="DI156" s="934"/>
      <c r="DJ156" s="934"/>
      <c r="DK156" s="934"/>
      <c r="DL156" s="934"/>
      <c r="DM156" s="934"/>
      <c r="DN156" s="934"/>
      <c r="DO156" s="934"/>
      <c r="DP156" s="934"/>
      <c r="DQ156" s="934"/>
      <c r="DR156" s="934"/>
      <c r="DS156" s="934"/>
      <c r="DT156" s="934"/>
      <c r="DU156" s="396"/>
    </row>
    <row r="157" spans="1:125" ht="10.5" customHeight="1">
      <c r="A157" s="539" t="s">
        <v>742</v>
      </c>
      <c r="B157" s="396"/>
      <c r="C157" s="456"/>
      <c r="D157" s="456"/>
      <c r="E157" s="456"/>
      <c r="F157" s="396"/>
      <c r="G157" s="456"/>
      <c r="H157" s="456"/>
      <c r="I157" s="456"/>
      <c r="J157" s="456"/>
      <c r="K157" s="456"/>
      <c r="L157" s="456"/>
      <c r="M157" s="456"/>
      <c r="N157" s="456"/>
      <c r="O157" s="456"/>
      <c r="P157" s="456"/>
      <c r="Q157" s="456"/>
      <c r="R157" s="456"/>
      <c r="S157" s="396"/>
      <c r="T157" s="456"/>
      <c r="U157" s="456"/>
      <c r="V157" s="456"/>
      <c r="W157" s="456"/>
      <c r="X157" s="456"/>
      <c r="Y157" s="456"/>
      <c r="Z157" s="456"/>
      <c r="AA157" s="456"/>
      <c r="AB157" s="456"/>
      <c r="AC157" s="456"/>
      <c r="AD157" s="456"/>
      <c r="AE157" s="456"/>
      <c r="AF157" s="396"/>
      <c r="AG157" s="456"/>
      <c r="AH157" s="456"/>
      <c r="AI157" s="456"/>
      <c r="AJ157" s="456"/>
      <c r="AK157" s="456"/>
      <c r="AL157" s="456"/>
      <c r="AM157" s="456"/>
      <c r="AN157" s="456"/>
      <c r="AO157" s="456"/>
      <c r="AP157" s="456"/>
      <c r="AQ157" s="456"/>
      <c r="AR157" s="456"/>
      <c r="AS157" s="396"/>
      <c r="AT157" s="396"/>
      <c r="AU157" s="396"/>
      <c r="AV157" s="456"/>
      <c r="AW157" s="396"/>
      <c r="AX157" s="396"/>
      <c r="AY157" s="396"/>
      <c r="AZ157" s="396"/>
      <c r="BA157" s="396"/>
      <c r="BB157" s="396"/>
      <c r="BC157" s="396"/>
      <c r="BD157" s="396"/>
      <c r="BE157" s="396"/>
      <c r="BF157" s="396"/>
      <c r="BG157" s="396"/>
      <c r="BH157" s="396"/>
      <c r="BI157" s="396"/>
      <c r="BJ157" s="396"/>
      <c r="BK157" s="396"/>
      <c r="BL157" s="396"/>
      <c r="BM157" s="396"/>
      <c r="BN157" s="396"/>
      <c r="BO157" s="396"/>
      <c r="BP157" s="396"/>
      <c r="BQ157" s="430"/>
      <c r="BR157" s="430"/>
      <c r="BS157" s="396"/>
      <c r="BT157" s="396"/>
      <c r="BU157" s="396"/>
      <c r="BV157" s="396"/>
      <c r="BW157" s="396"/>
      <c r="BX157" s="396"/>
      <c r="BY157" s="396"/>
      <c r="BZ157" s="396"/>
      <c r="CA157" s="396"/>
      <c r="CB157" s="396"/>
      <c r="CC157" s="396"/>
      <c r="CD157" s="396"/>
      <c r="CE157" s="396"/>
      <c r="CF157" s="396"/>
      <c r="CG157" s="396"/>
      <c r="CH157" s="396"/>
      <c r="CI157" s="396"/>
      <c r="CJ157" s="396"/>
      <c r="CK157" s="396"/>
      <c r="CL157" s="396"/>
      <c r="CM157" s="396"/>
      <c r="CN157" s="396"/>
      <c r="CO157" s="396"/>
      <c r="CP157" s="396"/>
      <c r="CQ157" s="396"/>
      <c r="CR157" s="396"/>
      <c r="CS157" s="396"/>
      <c r="CT157" s="396"/>
      <c r="CU157" s="396"/>
      <c r="CV157" s="430"/>
      <c r="CW157" s="430"/>
      <c r="CX157" s="767"/>
      <c r="CY157" s="767"/>
      <c r="CZ157" s="767"/>
      <c r="DA157" s="767"/>
      <c r="DB157" s="767"/>
      <c r="DC157" s="767"/>
      <c r="DD157" s="934"/>
      <c r="DE157" s="934"/>
      <c r="DF157" s="934"/>
      <c r="DG157" s="934"/>
      <c r="DH157" s="396"/>
      <c r="DI157" s="934"/>
      <c r="DJ157" s="934"/>
      <c r="DK157" s="934"/>
      <c r="DL157" s="934"/>
      <c r="DM157" s="934"/>
      <c r="DN157" s="934"/>
      <c r="DO157" s="934"/>
      <c r="DP157" s="934"/>
      <c r="DQ157" s="934"/>
      <c r="DR157" s="934"/>
      <c r="DS157" s="934"/>
      <c r="DT157" s="934"/>
      <c r="DU157" s="396"/>
    </row>
    <row r="158" spans="1:125" ht="12.75" customHeight="1">
      <c r="A158" s="394" t="s">
        <v>733</v>
      </c>
      <c r="B158" s="12">
        <v>0</v>
      </c>
      <c r="C158" s="4">
        <v>4559.1400000000003</v>
      </c>
      <c r="D158" s="4">
        <v>4559.1499999999996</v>
      </c>
      <c r="E158" s="4">
        <v>4659.07</v>
      </c>
      <c r="F158" s="12">
        <v>29593.64</v>
      </c>
      <c r="G158" s="4">
        <v>5179.8500000000004</v>
      </c>
      <c r="H158" s="4">
        <v>5179.8500000000004</v>
      </c>
      <c r="I158" s="4">
        <v>5398.49</v>
      </c>
      <c r="J158" s="4">
        <v>5398.41</v>
      </c>
      <c r="K158" s="4">
        <v>5398.46</v>
      </c>
      <c r="L158" s="4">
        <v>5398.49</v>
      </c>
      <c r="M158" s="4">
        <v>6210.72</v>
      </c>
      <c r="N158" s="4">
        <v>6139.4</v>
      </c>
      <c r="O158" s="4">
        <v>6263.97</v>
      </c>
      <c r="P158" s="4">
        <f>6263.96+0.18</f>
        <v>6264.14</v>
      </c>
      <c r="Q158" s="4">
        <v>8710.16</v>
      </c>
      <c r="R158" s="4">
        <v>9178.69</v>
      </c>
      <c r="S158" s="12">
        <v>74720.45</v>
      </c>
      <c r="T158" s="4">
        <v>9438.86</v>
      </c>
      <c r="U158" s="4">
        <v>9996</v>
      </c>
      <c r="V158" s="4">
        <v>10497.91</v>
      </c>
      <c r="W158" s="4">
        <v>10497.8</v>
      </c>
      <c r="X158" s="4">
        <v>10515.98</v>
      </c>
      <c r="Y158" s="4">
        <v>10734.9</v>
      </c>
      <c r="Z158" s="4">
        <v>10453.65</v>
      </c>
      <c r="AA158" s="4">
        <v>10797.04</v>
      </c>
      <c r="AB158" s="4">
        <v>10707.06</v>
      </c>
      <c r="AC158" s="4">
        <v>10707.13</v>
      </c>
      <c r="AD158" s="4">
        <v>7026.18</v>
      </c>
      <c r="AE158" s="4">
        <v>7026.26</v>
      </c>
      <c r="AF158" s="396">
        <v>118398.77</v>
      </c>
      <c r="AG158" s="4">
        <v>7125.16</v>
      </c>
      <c r="AH158" s="4">
        <v>7310.23</v>
      </c>
      <c r="AI158" s="4">
        <v>8272.02</v>
      </c>
      <c r="AJ158" s="4">
        <v>9385.5499999999993</v>
      </c>
      <c r="AK158" s="4">
        <v>10912.49</v>
      </c>
      <c r="AL158" s="4">
        <v>15157.95</v>
      </c>
      <c r="AM158" s="4">
        <v>34861.800000000003</v>
      </c>
      <c r="AN158" s="4">
        <v>36519.18</v>
      </c>
      <c r="AO158" s="4">
        <v>37636.959999999999</v>
      </c>
      <c r="AP158" s="4">
        <v>38570.85</v>
      </c>
      <c r="AQ158" s="4">
        <v>39297.85</v>
      </c>
      <c r="AR158" s="4">
        <v>40614.57</v>
      </c>
      <c r="AS158" s="12">
        <v>285664.61</v>
      </c>
      <c r="AT158" s="12"/>
      <c r="AU158" s="396">
        <v>285664.61</v>
      </c>
      <c r="AV158" s="4">
        <v>42318.87</v>
      </c>
      <c r="AW158" s="12">
        <v>42481.71</v>
      </c>
      <c r="AX158" s="12">
        <v>42481.279999999999</v>
      </c>
      <c r="AY158" s="12">
        <v>42480.77</v>
      </c>
      <c r="AZ158" s="12">
        <v>42153.11</v>
      </c>
      <c r="BA158" s="12">
        <v>41643.31</v>
      </c>
      <c r="BB158" s="12">
        <v>41946.080000000002</v>
      </c>
      <c r="BC158" s="12">
        <v>41740.910000000003</v>
      </c>
      <c r="BD158" s="12">
        <v>42410.41</v>
      </c>
      <c r="BE158" s="12">
        <v>42410.11</v>
      </c>
      <c r="BF158" s="12">
        <v>42435.92</v>
      </c>
      <c r="BG158" s="12">
        <v>42794.66</v>
      </c>
      <c r="BH158" s="396">
        <v>507297.14</v>
      </c>
      <c r="BI158" s="12">
        <v>42397.3</v>
      </c>
      <c r="BJ158" s="12">
        <v>43819.28</v>
      </c>
      <c r="BK158" s="12">
        <v>45787.96</v>
      </c>
      <c r="BL158" s="12">
        <v>46306.87</v>
      </c>
      <c r="BM158" s="12">
        <v>55221.9</v>
      </c>
      <c r="BN158" s="12">
        <v>60810.82</v>
      </c>
      <c r="BO158" s="12">
        <v>64697.42</v>
      </c>
      <c r="BP158" s="12">
        <v>66470.66</v>
      </c>
      <c r="BQ158" s="15">
        <v>67284</v>
      </c>
      <c r="BR158" s="15">
        <v>71344.990000000005</v>
      </c>
      <c r="BS158" s="12">
        <v>74345.19</v>
      </c>
      <c r="BT158" s="396">
        <v>83292.399999999994</v>
      </c>
      <c r="BU158" s="396">
        <f>SUM(BI158:BT158)</f>
        <v>721778.78999999992</v>
      </c>
      <c r="BV158" s="396">
        <v>97164.99</v>
      </c>
      <c r="BW158" s="12">
        <v>97491.37</v>
      </c>
      <c r="BX158" s="12">
        <v>98897.2</v>
      </c>
      <c r="BY158" s="396">
        <v>99229.24</v>
      </c>
      <c r="BZ158" s="396">
        <v>101876.43</v>
      </c>
      <c r="CA158" s="396">
        <v>99125.6</v>
      </c>
      <c r="CB158" s="396">
        <v>83511.55</v>
      </c>
      <c r="CC158" s="396">
        <v>85356.23</v>
      </c>
      <c r="CD158" s="396">
        <v>91139.35</v>
      </c>
      <c r="CE158" s="396">
        <v>94348.39</v>
      </c>
      <c r="CF158" s="396">
        <v>97390.22</v>
      </c>
      <c r="CG158" s="396">
        <v>98010.22</v>
      </c>
      <c r="CH158" s="396">
        <f>SUM(BV158:CG158)</f>
        <v>1143540.79</v>
      </c>
      <c r="CI158" s="396">
        <v>99112.98</v>
      </c>
      <c r="CJ158" s="396">
        <v>101826.5</v>
      </c>
      <c r="CK158" s="396">
        <v>106059.38</v>
      </c>
      <c r="CL158" s="396">
        <v>106595.25</v>
      </c>
      <c r="CM158" s="396">
        <v>125920.6</v>
      </c>
      <c r="CN158" s="396">
        <v>133053.16</v>
      </c>
      <c r="CO158" s="396">
        <v>139558.37</v>
      </c>
      <c r="CP158" s="396">
        <v>148223.54999999999</v>
      </c>
      <c r="CQ158" s="396">
        <v>151506.69</v>
      </c>
      <c r="CR158" s="396">
        <v>155027.5</v>
      </c>
      <c r="CS158" s="396">
        <v>154604.21</v>
      </c>
      <c r="CT158" s="396">
        <v>154578.85999999999</v>
      </c>
      <c r="CU158" s="396">
        <f t="shared" ref="CU158:CU164" si="166">SUM(CI158:CT158)</f>
        <v>1576067.0499999998</v>
      </c>
      <c r="CV158" s="430">
        <v>158474.60999999999</v>
      </c>
      <c r="CW158" s="430">
        <v>161743.13</v>
      </c>
      <c r="CX158" s="767">
        <v>167709.5</v>
      </c>
      <c r="CY158" s="767">
        <v>174906.5</v>
      </c>
      <c r="CZ158" s="767">
        <v>179905.58</v>
      </c>
      <c r="DA158" s="767">
        <v>184910.27</v>
      </c>
      <c r="DB158" s="767">
        <v>182651.11</v>
      </c>
      <c r="DC158" s="767">
        <v>193662.8</v>
      </c>
      <c r="DD158" s="934">
        <v>194279.8</v>
      </c>
      <c r="DE158" s="934">
        <v>199706.59</v>
      </c>
      <c r="DF158" s="934">
        <v>209021.87</v>
      </c>
      <c r="DG158" s="934">
        <v>212120.73</v>
      </c>
      <c r="DH158" s="396">
        <f t="shared" ref="DH158:DH165" si="167">SUM(CV158:DG158)</f>
        <v>2219092.4900000002</v>
      </c>
      <c r="DI158" s="934">
        <v>207110.17</v>
      </c>
      <c r="DJ158" s="934">
        <v>347338.71</v>
      </c>
      <c r="DK158" s="934">
        <v>345017.75</v>
      </c>
      <c r="DL158" s="934">
        <v>347864.02</v>
      </c>
      <c r="DM158" s="934">
        <v>352598.4</v>
      </c>
      <c r="DN158" s="934">
        <v>356056.45</v>
      </c>
      <c r="DO158" s="934">
        <v>363298.97</v>
      </c>
      <c r="DP158" s="934">
        <v>364906.92</v>
      </c>
      <c r="DQ158" s="934">
        <v>377487.84</v>
      </c>
      <c r="DR158" s="934">
        <v>377844.81</v>
      </c>
      <c r="DS158" s="934"/>
      <c r="DT158" s="934"/>
      <c r="DU158" s="396">
        <f t="shared" ref="DU158:DU165" si="168">SUM(DI158:DT158)</f>
        <v>3439524.0399999996</v>
      </c>
    </row>
    <row r="159" spans="1:125" ht="12.75" customHeight="1">
      <c r="A159" s="394" t="s">
        <v>737</v>
      </c>
      <c r="B159" s="12">
        <v>0</v>
      </c>
      <c r="C159" s="4">
        <v>15084.84</v>
      </c>
      <c r="D159" s="4">
        <v>16718.64</v>
      </c>
      <c r="E159" s="4">
        <v>18250.54</v>
      </c>
      <c r="F159" s="12">
        <v>134009.19</v>
      </c>
      <c r="G159" s="4">
        <v>19029.810000000001</v>
      </c>
      <c r="H159" s="4">
        <v>19261.41</v>
      </c>
      <c r="I159" s="4">
        <v>19541.87</v>
      </c>
      <c r="J159" s="4">
        <v>19541.91</v>
      </c>
      <c r="K159" s="4">
        <v>22466.49</v>
      </c>
      <c r="L159" s="4">
        <v>22928.76</v>
      </c>
      <c r="M159" s="4">
        <v>24541.7</v>
      </c>
      <c r="N159" s="4">
        <v>25945.83</v>
      </c>
      <c r="O159" s="4">
        <v>26017.13</v>
      </c>
      <c r="P159" s="4">
        <v>26838.74</v>
      </c>
      <c r="Q159" s="4">
        <v>27208.89</v>
      </c>
      <c r="R159" s="4">
        <v>27500.74</v>
      </c>
      <c r="S159" s="12">
        <v>280823.28000000003</v>
      </c>
      <c r="T159" s="4">
        <v>41290.26</v>
      </c>
      <c r="U159" s="4">
        <v>43336</v>
      </c>
      <c r="V159" s="24">
        <v>48360.13</v>
      </c>
      <c r="W159" s="4">
        <v>50311.34</v>
      </c>
      <c r="X159" s="4">
        <v>56899.75</v>
      </c>
      <c r="Y159" s="4">
        <v>64737.29</v>
      </c>
      <c r="Z159" s="4">
        <v>70804.160000000003</v>
      </c>
      <c r="AA159" s="4">
        <v>74660.179999999993</v>
      </c>
      <c r="AB159" s="4">
        <v>76691.740000000005</v>
      </c>
      <c r="AC159" s="4">
        <v>78421.22</v>
      </c>
      <c r="AD159" s="4">
        <v>83990.82</v>
      </c>
      <c r="AE159" s="4">
        <v>90755.51</v>
      </c>
      <c r="AF159" s="396">
        <v>780258.40000000014</v>
      </c>
      <c r="AG159" s="4">
        <v>93207.42</v>
      </c>
      <c r="AH159" s="4">
        <v>93061.59</v>
      </c>
      <c r="AI159" s="4">
        <v>98682.51</v>
      </c>
      <c r="AJ159" s="4">
        <v>101528.9</v>
      </c>
      <c r="AK159" s="4">
        <v>104798.27</v>
      </c>
      <c r="AL159" s="4">
        <v>105409.98</v>
      </c>
      <c r="AM159" s="4">
        <v>109710.33</v>
      </c>
      <c r="AN159" s="4">
        <v>115898.69</v>
      </c>
      <c r="AO159" s="4">
        <v>118836.72</v>
      </c>
      <c r="AP159" s="4">
        <v>128319.98</v>
      </c>
      <c r="AQ159" s="4">
        <v>142314.47</v>
      </c>
      <c r="AR159" s="4">
        <v>146023.49</v>
      </c>
      <c r="AS159" s="12">
        <v>1357792.3499999999</v>
      </c>
      <c r="AT159" s="12"/>
      <c r="AU159" s="396">
        <v>1357792.3499999999</v>
      </c>
      <c r="AV159" s="4">
        <v>145665.60999999999</v>
      </c>
      <c r="AW159" s="12">
        <v>149775.21</v>
      </c>
      <c r="AX159" s="12">
        <v>157065.60000000001</v>
      </c>
      <c r="AY159" s="12">
        <v>229338.93</v>
      </c>
      <c r="AZ159" s="12">
        <v>240187.53</v>
      </c>
      <c r="BA159" s="12">
        <v>253894.64</v>
      </c>
      <c r="BB159" s="12">
        <v>268152.78000000003</v>
      </c>
      <c r="BC159" s="12">
        <v>295899.02</v>
      </c>
      <c r="BD159" s="12">
        <v>297472.95</v>
      </c>
      <c r="BE159" s="12">
        <v>309089.83</v>
      </c>
      <c r="BF159" s="12">
        <v>311758.48</v>
      </c>
      <c r="BG159" s="12">
        <v>330124.96000000002</v>
      </c>
      <c r="BH159" s="396">
        <v>2988425.54</v>
      </c>
      <c r="BI159" s="12">
        <v>330994.73</v>
      </c>
      <c r="BJ159" s="12">
        <v>339061.82</v>
      </c>
      <c r="BK159" s="12">
        <v>350371.87</v>
      </c>
      <c r="BL159" s="12">
        <v>348912.9</v>
      </c>
      <c r="BM159" s="12">
        <v>347717.49</v>
      </c>
      <c r="BN159" s="12">
        <v>387521.06</v>
      </c>
      <c r="BO159" s="12">
        <v>373096.17</v>
      </c>
      <c r="BP159" s="12">
        <v>364561.19</v>
      </c>
      <c r="BQ159" s="15">
        <v>366864</v>
      </c>
      <c r="BR159" s="15">
        <v>412758.04</v>
      </c>
      <c r="BS159" s="12">
        <v>412958.14</v>
      </c>
      <c r="BT159" s="396">
        <v>402467.03</v>
      </c>
      <c r="BU159" s="396">
        <f>SUM(BI159:BT159)</f>
        <v>4437284.4400000004</v>
      </c>
      <c r="BV159" s="396">
        <v>439913.57</v>
      </c>
      <c r="BW159" s="12">
        <v>502620.95</v>
      </c>
      <c r="BX159" s="12">
        <v>552289.5</v>
      </c>
      <c r="BY159" s="396">
        <v>532503.22</v>
      </c>
      <c r="BZ159" s="396">
        <v>558161.54</v>
      </c>
      <c r="CA159" s="396">
        <v>566011.52</v>
      </c>
      <c r="CB159" s="396">
        <v>575577.39</v>
      </c>
      <c r="CC159" s="396">
        <v>595935.14</v>
      </c>
      <c r="CD159" s="396">
        <v>645530.86</v>
      </c>
      <c r="CE159" s="396">
        <v>642090.61</v>
      </c>
      <c r="CF159" s="396">
        <v>647492.84</v>
      </c>
      <c r="CG159" s="396">
        <v>641954.9</v>
      </c>
      <c r="CH159" s="396">
        <f>SUM(BV159:CG159)</f>
        <v>6900082.040000001</v>
      </c>
      <c r="CI159" s="396">
        <v>759572.37</v>
      </c>
      <c r="CJ159" s="396">
        <v>781481.03</v>
      </c>
      <c r="CK159" s="396">
        <v>808852.2</v>
      </c>
      <c r="CL159" s="396">
        <v>840211.27</v>
      </c>
      <c r="CM159" s="396">
        <v>842839.22</v>
      </c>
      <c r="CN159" s="396">
        <v>846750.53</v>
      </c>
      <c r="CO159" s="396">
        <v>855691.09</v>
      </c>
      <c r="CP159" s="396">
        <v>859934.77</v>
      </c>
      <c r="CQ159" s="396">
        <v>918896.06</v>
      </c>
      <c r="CR159" s="396">
        <v>931976.22</v>
      </c>
      <c r="CS159" s="396">
        <v>947822.37</v>
      </c>
      <c r="CT159" s="396">
        <v>980847.43</v>
      </c>
      <c r="CU159" s="396">
        <f t="shared" si="166"/>
        <v>10374874.560000001</v>
      </c>
      <c r="CV159" s="396">
        <v>1026756.02</v>
      </c>
      <c r="CW159" s="396">
        <v>1046725.19</v>
      </c>
      <c r="CX159" s="934">
        <v>1354355.89</v>
      </c>
      <c r="CY159" s="934">
        <v>1380989.82</v>
      </c>
      <c r="CZ159" s="934">
        <v>1499522.73</v>
      </c>
      <c r="DA159" s="934">
        <v>1517332.95</v>
      </c>
      <c r="DB159" s="767">
        <v>1516456.34</v>
      </c>
      <c r="DC159" s="767">
        <v>1516265.2</v>
      </c>
      <c r="DD159" s="934">
        <v>1663850.96</v>
      </c>
      <c r="DE159" s="934">
        <v>1632125.69</v>
      </c>
      <c r="DF159" s="934">
        <v>1633646.87</v>
      </c>
      <c r="DG159" s="934">
        <v>1597424.21</v>
      </c>
      <c r="DH159" s="396">
        <f t="shared" si="167"/>
        <v>17385451.870000001</v>
      </c>
      <c r="DI159" s="934">
        <v>1515778.18</v>
      </c>
      <c r="DJ159" s="934">
        <v>1450947.29</v>
      </c>
      <c r="DK159" s="934">
        <v>1427926.88</v>
      </c>
      <c r="DL159" s="934">
        <v>1418520.18</v>
      </c>
      <c r="DM159" s="934">
        <v>1412037.71</v>
      </c>
      <c r="DN159" s="934">
        <v>1375713.94</v>
      </c>
      <c r="DO159" s="934">
        <v>1366032.02</v>
      </c>
      <c r="DP159" s="934">
        <v>1363330.36</v>
      </c>
      <c r="DQ159" s="934">
        <v>1332781.72</v>
      </c>
      <c r="DR159" s="934">
        <v>1342733.18</v>
      </c>
      <c r="DS159" s="934"/>
      <c r="DT159" s="934"/>
      <c r="DU159" s="396">
        <f>SUM(DI159:DT159)</f>
        <v>14005801.459999999</v>
      </c>
    </row>
    <row r="160" spans="1:125" ht="12.75" customHeight="1">
      <c r="A160" s="394" t="s">
        <v>734</v>
      </c>
      <c r="B160" s="12"/>
      <c r="C160" s="4"/>
      <c r="D160" s="4"/>
      <c r="E160" s="4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12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30"/>
      <c r="AG160" s="4"/>
      <c r="AH160" s="4"/>
      <c r="AI160" s="4"/>
      <c r="AJ160" s="4"/>
      <c r="AK160" s="4"/>
      <c r="AL160" s="4">
        <v>28405</v>
      </c>
      <c r="AM160" s="4">
        <v>28405</v>
      </c>
      <c r="AN160" s="4">
        <v>13663.87</v>
      </c>
      <c r="AO160" s="4">
        <v>23491.29</v>
      </c>
      <c r="AP160" s="4">
        <v>23491.29</v>
      </c>
      <c r="AQ160" s="4">
        <v>23491.29</v>
      </c>
      <c r="AR160" s="4">
        <v>0</v>
      </c>
      <c r="AS160" s="12">
        <v>140947.74000000002</v>
      </c>
      <c r="AT160" s="4">
        <v>889087.99</v>
      </c>
      <c r="AU160" s="430">
        <v>1030035.73</v>
      </c>
      <c r="AV160" s="4">
        <v>23491.29</v>
      </c>
      <c r="AW160" s="12">
        <v>23491.29</v>
      </c>
      <c r="AX160" s="12">
        <v>17214.8</v>
      </c>
      <c r="AY160" s="12">
        <v>16651.47</v>
      </c>
      <c r="AZ160" s="12">
        <v>16214.87</v>
      </c>
      <c r="BA160" s="12">
        <v>15775.38</v>
      </c>
      <c r="BB160" s="12">
        <v>15281.04</v>
      </c>
      <c r="BC160" s="12">
        <v>14783.38</v>
      </c>
      <c r="BD160" s="12">
        <v>14282.37</v>
      </c>
      <c r="BE160" s="12">
        <v>13677.87</v>
      </c>
      <c r="BF160" s="12">
        <v>13069.31</v>
      </c>
      <c r="BG160" s="12">
        <v>12456.66</v>
      </c>
      <c r="BH160" s="430">
        <v>196389.73</v>
      </c>
      <c r="BI160" s="12">
        <v>11839.9</v>
      </c>
      <c r="BJ160" s="12">
        <v>11218.99</v>
      </c>
      <c r="BK160" s="12">
        <v>10593.92</v>
      </c>
      <c r="BL160" s="12">
        <v>9964.64</v>
      </c>
      <c r="BM160" s="12">
        <v>9331.14</v>
      </c>
      <c r="BN160" s="12">
        <v>8693.3799999999992</v>
      </c>
      <c r="BO160" s="12">
        <v>7995.31</v>
      </c>
      <c r="BP160" s="12">
        <v>7292.55</v>
      </c>
      <c r="BQ160" s="15">
        <v>28551</v>
      </c>
      <c r="BR160" s="15">
        <v>28815.54</v>
      </c>
      <c r="BS160" s="12">
        <v>28130.79</v>
      </c>
      <c r="BT160" s="396">
        <v>36418.26</v>
      </c>
      <c r="BU160" s="430">
        <f>SUM(BI160:BT160)</f>
        <v>198845.42</v>
      </c>
      <c r="BV160" s="396">
        <v>38873.65</v>
      </c>
      <c r="BW160" s="12">
        <v>36764.14</v>
      </c>
      <c r="BX160" s="490">
        <v>37089.65</v>
      </c>
      <c r="BY160" s="430">
        <v>35024.68</v>
      </c>
      <c r="BZ160" s="430">
        <v>35279.089999999997</v>
      </c>
      <c r="CA160" s="430">
        <v>34367.949999999997</v>
      </c>
      <c r="CB160" s="430">
        <v>32370.9</v>
      </c>
      <c r="CC160" s="430">
        <v>32516.85</v>
      </c>
      <c r="CD160" s="430">
        <v>30566</v>
      </c>
      <c r="CE160" s="430">
        <v>30638.15</v>
      </c>
      <c r="CF160" s="430">
        <v>29692</v>
      </c>
      <c r="CG160" s="430">
        <v>26420.48</v>
      </c>
      <c r="CH160" s="430">
        <f>SUM(BV160:CG160)</f>
        <v>399603.54</v>
      </c>
      <c r="CI160" s="430">
        <v>22162.080000000002</v>
      </c>
      <c r="CJ160" s="430">
        <v>20628.07</v>
      </c>
      <c r="CK160" s="430">
        <v>35585.129999999997</v>
      </c>
      <c r="CL160" s="430">
        <v>33789.64</v>
      </c>
      <c r="CM160" s="430">
        <v>34234.85</v>
      </c>
      <c r="CN160" s="430">
        <v>33556.699999999997</v>
      </c>
      <c r="CO160" s="430">
        <v>31813.56</v>
      </c>
      <c r="CP160" s="430">
        <v>32179.74</v>
      </c>
      <c r="CQ160" s="430">
        <v>64825.98</v>
      </c>
      <c r="CR160" s="430">
        <v>65290.63</v>
      </c>
      <c r="CS160" s="430">
        <v>63806.95</v>
      </c>
      <c r="CT160" s="913">
        <v>58292.6</v>
      </c>
      <c r="CU160" s="430">
        <f t="shared" si="166"/>
        <v>496165.92999999993</v>
      </c>
      <c r="CV160" s="430">
        <v>56854.92</v>
      </c>
      <c r="CW160" s="430">
        <v>53584.93</v>
      </c>
      <c r="CX160" s="767">
        <v>53863.81</v>
      </c>
      <c r="CY160" s="767">
        <v>50669.56</v>
      </c>
      <c r="CZ160" s="767">
        <v>50830.34</v>
      </c>
      <c r="DA160" s="767">
        <v>49303.33</v>
      </c>
      <c r="DB160" s="767">
        <v>46224.55</v>
      </c>
      <c r="DC160" s="767">
        <v>120661.89</v>
      </c>
      <c r="DD160" s="767">
        <v>97251.46</v>
      </c>
      <c r="DE160" s="767">
        <v>98801.04</v>
      </c>
      <c r="DF160" s="767">
        <v>97123.43</v>
      </c>
      <c r="DG160" s="767">
        <v>86195.15</v>
      </c>
      <c r="DH160" s="396">
        <f t="shared" si="167"/>
        <v>861364.41</v>
      </c>
      <c r="DI160" s="767">
        <v>143991.66</v>
      </c>
      <c r="DJ160" s="767">
        <v>137522.15</v>
      </c>
      <c r="DK160" s="767">
        <v>138965.14000000001</v>
      </c>
      <c r="DL160" s="767">
        <v>131803.65</v>
      </c>
      <c r="DM160" s="767">
        <v>132638.54</v>
      </c>
      <c r="DN160" s="767">
        <v>129106.49</v>
      </c>
      <c r="DO160" s="767">
        <v>122159.56</v>
      </c>
      <c r="DP160" s="767">
        <v>122944.15</v>
      </c>
      <c r="DQ160" s="767">
        <v>115803.79</v>
      </c>
      <c r="DR160" s="767">
        <v>116315.18</v>
      </c>
      <c r="DS160" s="767"/>
      <c r="DT160" s="767"/>
      <c r="DU160" s="396">
        <f t="shared" si="168"/>
        <v>1291250.3099999998</v>
      </c>
    </row>
    <row r="161" spans="1:127" ht="12.75" customHeight="1">
      <c r="A161" s="394" t="s">
        <v>749</v>
      </c>
      <c r="B161" s="396"/>
      <c r="C161" s="456"/>
      <c r="D161" s="456"/>
      <c r="E161" s="456"/>
      <c r="F161" s="396"/>
      <c r="G161" s="456"/>
      <c r="H161" s="456"/>
      <c r="I161" s="456"/>
      <c r="J161" s="456"/>
      <c r="K161" s="456"/>
      <c r="L161" s="456"/>
      <c r="M161" s="456"/>
      <c r="N161" s="456"/>
      <c r="O161" s="456"/>
      <c r="P161" s="456"/>
      <c r="Q161" s="456"/>
      <c r="R161" s="456"/>
      <c r="S161" s="396"/>
      <c r="T161" s="456"/>
      <c r="U161" s="456"/>
      <c r="V161" s="456"/>
      <c r="W161" s="456"/>
      <c r="X161" s="456"/>
      <c r="Y161" s="456"/>
      <c r="Z161" s="456"/>
      <c r="AA161" s="456"/>
      <c r="AB161" s="456"/>
      <c r="AC161" s="456"/>
      <c r="AD161" s="456"/>
      <c r="AE161" s="456"/>
      <c r="AF161" s="430"/>
      <c r="AG161" s="456"/>
      <c r="AH161" s="456"/>
      <c r="AI161" s="456"/>
      <c r="AJ161" s="456"/>
      <c r="AK161" s="456"/>
      <c r="AL161" s="456"/>
      <c r="AM161" s="456"/>
      <c r="AN161" s="456"/>
      <c r="AO161" s="456"/>
      <c r="AP161" s="456"/>
      <c r="AQ161" s="456"/>
      <c r="AR161" s="456"/>
      <c r="AS161" s="396"/>
      <c r="AT161" s="456"/>
      <c r="AU161" s="430"/>
      <c r="AV161" s="456"/>
      <c r="AW161" s="396"/>
      <c r="AX161" s="396"/>
      <c r="AY161" s="396"/>
      <c r="AZ161" s="396"/>
      <c r="BA161" s="396"/>
      <c r="BB161" s="396"/>
      <c r="BC161" s="396"/>
      <c r="BD161" s="396"/>
      <c r="BE161" s="396"/>
      <c r="BF161" s="396"/>
      <c r="BG161" s="396"/>
      <c r="BH161" s="430"/>
      <c r="BI161" s="396"/>
      <c r="BJ161" s="396"/>
      <c r="BK161" s="396"/>
      <c r="BL161" s="396"/>
      <c r="BM161" s="396"/>
      <c r="BN161" s="396"/>
      <c r="BO161" s="396"/>
      <c r="BP161" s="396"/>
      <c r="BQ161" s="430"/>
      <c r="BR161" s="430"/>
      <c r="BS161" s="396"/>
      <c r="BT161" s="396"/>
      <c r="BU161" s="430"/>
      <c r="BV161" s="396"/>
      <c r="BW161" s="396"/>
      <c r="BX161" s="430"/>
      <c r="BY161" s="430"/>
      <c r="BZ161" s="430"/>
      <c r="CA161" s="430"/>
      <c r="CB161" s="430"/>
      <c r="CC161" s="430"/>
      <c r="CD161" s="430"/>
      <c r="CE161" s="430"/>
      <c r="CF161" s="430"/>
      <c r="CG161" s="430"/>
      <c r="CH161" s="430"/>
      <c r="CI161" s="430">
        <f t="shared" ref="CI161:CS161" si="169">SUM(CI162:CI164)</f>
        <v>218185.24</v>
      </c>
      <c r="CJ161" s="430">
        <f t="shared" si="169"/>
        <v>103980.05</v>
      </c>
      <c r="CK161" s="430">
        <f t="shared" si="169"/>
        <v>286796.09000000003</v>
      </c>
      <c r="CL161" s="430">
        <f t="shared" si="169"/>
        <v>120601.92</v>
      </c>
      <c r="CM161" s="430">
        <f t="shared" si="169"/>
        <v>54258.200000000004</v>
      </c>
      <c r="CN161" s="430">
        <f t="shared" si="169"/>
        <v>296439.38</v>
      </c>
      <c r="CO161" s="430">
        <f t="shared" si="169"/>
        <v>400799.1</v>
      </c>
      <c r="CP161" s="430">
        <f t="shared" si="169"/>
        <v>412911.69999999995</v>
      </c>
      <c r="CQ161" s="430">
        <f t="shared" si="169"/>
        <v>565170.55000000005</v>
      </c>
      <c r="CR161" s="430">
        <f t="shared" si="169"/>
        <v>-419246.94999999995</v>
      </c>
      <c r="CS161" s="430">
        <f t="shared" si="169"/>
        <v>55950.59</v>
      </c>
      <c r="CT161" s="430">
        <f t="shared" ref="CT161:DC161" si="170">SUM(CT162:CT164)</f>
        <v>244087.41</v>
      </c>
      <c r="CU161" s="430">
        <f t="shared" si="170"/>
        <v>2339933.2799999998</v>
      </c>
      <c r="CV161" s="430">
        <f t="shared" si="170"/>
        <v>1429460.32</v>
      </c>
      <c r="CW161" s="430">
        <f t="shared" si="170"/>
        <v>1380188.4100000001</v>
      </c>
      <c r="CX161" s="430">
        <f t="shared" si="170"/>
        <v>1489415.84</v>
      </c>
      <c r="CY161" s="430">
        <f t="shared" si="170"/>
        <v>810366.89000000013</v>
      </c>
      <c r="CZ161" s="430">
        <f t="shared" si="170"/>
        <v>1229930.95</v>
      </c>
      <c r="DA161" s="430">
        <f t="shared" si="170"/>
        <v>1147418.96</v>
      </c>
      <c r="DB161" s="430">
        <f t="shared" si="170"/>
        <v>1265211.43</v>
      </c>
      <c r="DC161" s="430">
        <f t="shared" si="170"/>
        <v>1423568.36</v>
      </c>
      <c r="DD161" s="430">
        <f>SUM(DD162:DD164)</f>
        <v>1551953.84</v>
      </c>
      <c r="DE161" s="430">
        <f>SUM(DE162:DE164)</f>
        <v>-184284.33000000007</v>
      </c>
      <c r="DF161" s="430">
        <f>SUM(DF162:DF164)</f>
        <v>55203.010000000009</v>
      </c>
      <c r="DG161" s="430">
        <f>SUM(DG162:DG164)</f>
        <v>1596624.97</v>
      </c>
      <c r="DH161" s="396">
        <f t="shared" si="167"/>
        <v>13195058.65</v>
      </c>
      <c r="DI161" s="430">
        <f>SUM(DI162:DI164)</f>
        <v>1041537.8999999999</v>
      </c>
      <c r="DJ161" s="430">
        <f>SUM(DJ162:DJ164)</f>
        <v>400059.32999999996</v>
      </c>
      <c r="DK161" s="430">
        <f t="shared" ref="DK161:DN161" si="171">SUM(DK162:DK164)</f>
        <v>1111583.3799999999</v>
      </c>
      <c r="DL161" s="902">
        <f t="shared" si="171"/>
        <v>738236.78</v>
      </c>
      <c r="DM161" s="902">
        <f t="shared" si="171"/>
        <v>677674.14999999991</v>
      </c>
      <c r="DN161" s="902">
        <f t="shared" si="171"/>
        <v>830239.27</v>
      </c>
      <c r="DO161" s="902">
        <f t="shared" ref="DO161:DT161" si="172">SUM(DO162:DO164)</f>
        <v>629501.63</v>
      </c>
      <c r="DP161" s="902">
        <f t="shared" si="172"/>
        <v>886777.38</v>
      </c>
      <c r="DQ161" s="902">
        <f t="shared" si="172"/>
        <v>908937.08000000007</v>
      </c>
      <c r="DR161" s="902">
        <f t="shared" si="172"/>
        <v>-2047758.3199999998</v>
      </c>
      <c r="DS161" s="902">
        <f t="shared" si="172"/>
        <v>0</v>
      </c>
      <c r="DT161" s="902">
        <f t="shared" si="172"/>
        <v>0</v>
      </c>
      <c r="DU161" s="396">
        <f t="shared" si="168"/>
        <v>5176788.58</v>
      </c>
      <c r="DW161" s="167"/>
    </row>
    <row r="162" spans="1:127" ht="12.75" hidden="1" customHeight="1" outlineLevel="1">
      <c r="A162" s="394" t="s">
        <v>738</v>
      </c>
      <c r="B162" s="12">
        <v>0</v>
      </c>
      <c r="C162" s="4">
        <v>0</v>
      </c>
      <c r="D162" s="4">
        <v>0</v>
      </c>
      <c r="E162" s="4">
        <v>33530.17</v>
      </c>
      <c r="F162" s="12">
        <v>33530.17</v>
      </c>
      <c r="G162" s="4">
        <v>0</v>
      </c>
      <c r="H162" s="4">
        <v>0</v>
      </c>
      <c r="I162" s="4">
        <v>0</v>
      </c>
      <c r="J162" s="4"/>
      <c r="K162" s="4"/>
      <c r="L162" s="4"/>
      <c r="M162" s="4"/>
      <c r="N162" s="4"/>
      <c r="O162" s="4"/>
      <c r="P162" s="2"/>
      <c r="Q162" s="2"/>
      <c r="R162" s="2">
        <v>149948</v>
      </c>
      <c r="S162" s="12">
        <v>149948</v>
      </c>
      <c r="T162" s="4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4">
        <v>289331.59999999998</v>
      </c>
      <c r="AF162" s="430">
        <v>289331.59999999998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23491.29</v>
      </c>
      <c r="AS162" s="12">
        <v>23491.29</v>
      </c>
      <c r="AT162" s="12"/>
      <c r="AU162" s="430">
        <v>23491.29</v>
      </c>
      <c r="AV162" s="4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194718.39</v>
      </c>
      <c r="BH162" s="430">
        <v>194718.39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5">
        <v>0</v>
      </c>
      <c r="BR162" s="15">
        <v>0</v>
      </c>
      <c r="BS162" s="12">
        <v>0</v>
      </c>
      <c r="BT162" s="396">
        <v>870893.87</v>
      </c>
      <c r="BU162" s="430">
        <f>SUM(BI162:BT162)</f>
        <v>870893.87</v>
      </c>
      <c r="BV162" s="396"/>
      <c r="BW162" s="12">
        <v>108872.8</v>
      </c>
      <c r="BX162" s="490">
        <v>51294.17</v>
      </c>
      <c r="BY162" s="430">
        <v>51294.17</v>
      </c>
      <c r="BZ162" s="430">
        <v>51294.17</v>
      </c>
      <c r="CA162" s="430">
        <v>51294.17</v>
      </c>
      <c r="CB162" s="430">
        <v>51294.17</v>
      </c>
      <c r="CC162" s="430">
        <v>51294.17</v>
      </c>
      <c r="CD162" s="430">
        <v>51294.17</v>
      </c>
      <c r="CE162" s="430">
        <v>51294.17</v>
      </c>
      <c r="CF162" s="430">
        <v>68020.84</v>
      </c>
      <c r="CG162" s="430">
        <v>124710.09</v>
      </c>
      <c r="CH162" s="430">
        <f>SUM(BV162:CG162)</f>
        <v>711957.08999999985</v>
      </c>
      <c r="CI162" s="430">
        <v>43564.05</v>
      </c>
      <c r="CJ162" s="430">
        <v>43564.05</v>
      </c>
      <c r="CK162" s="430">
        <v>43564.05</v>
      </c>
      <c r="CL162" s="430">
        <v>43564.05</v>
      </c>
      <c r="CM162" s="430">
        <v>43564.05</v>
      </c>
      <c r="CN162" s="430">
        <v>43564.05</v>
      </c>
      <c r="CO162" s="430">
        <v>43564.05</v>
      </c>
      <c r="CP162" s="430">
        <v>21775.89</v>
      </c>
      <c r="CQ162" s="430">
        <v>21775.89</v>
      </c>
      <c r="CR162" s="430">
        <v>20504.849999999999</v>
      </c>
      <c r="CS162" s="430">
        <v>20504.849999999999</v>
      </c>
      <c r="CT162" s="913">
        <v>-78794.94</v>
      </c>
      <c r="CU162" s="430">
        <f t="shared" si="166"/>
        <v>310714.88999999996</v>
      </c>
      <c r="CV162" s="430">
        <v>969967.43</v>
      </c>
      <c r="CW162" s="430">
        <v>969967.43</v>
      </c>
      <c r="CX162" s="767">
        <v>969967.43</v>
      </c>
      <c r="CY162" s="767">
        <v>969967.43</v>
      </c>
      <c r="CZ162" s="767">
        <v>871554.08</v>
      </c>
      <c r="DA162" s="767">
        <v>950284.76</v>
      </c>
      <c r="DB162" s="767">
        <v>950284.76</v>
      </c>
      <c r="DC162" s="767">
        <v>950284.76</v>
      </c>
      <c r="DD162" s="767">
        <v>950284.76</v>
      </c>
      <c r="DE162" s="767">
        <v>950284.76</v>
      </c>
      <c r="DF162" s="767">
        <v>950284.76</v>
      </c>
      <c r="DG162" s="767">
        <v>950284.76</v>
      </c>
      <c r="DH162" s="396">
        <f t="shared" si="167"/>
        <v>11403417.119999999</v>
      </c>
      <c r="DI162" s="767">
        <v>496551.11</v>
      </c>
      <c r="DJ162" s="767">
        <v>496551.11</v>
      </c>
      <c r="DK162" s="767">
        <v>496551.11</v>
      </c>
      <c r="DL162" s="767">
        <v>496551.11</v>
      </c>
      <c r="DM162" s="767">
        <v>496551.11</v>
      </c>
      <c r="DN162" s="767">
        <v>350237.11</v>
      </c>
      <c r="DO162" s="767">
        <v>350237.11</v>
      </c>
      <c r="DP162" s="767">
        <v>350237.11</v>
      </c>
      <c r="DQ162" s="767">
        <v>350237.11</v>
      </c>
      <c r="DR162" s="767">
        <v>350237.11</v>
      </c>
      <c r="DS162" s="767"/>
      <c r="DT162" s="767"/>
      <c r="DU162" s="396">
        <f t="shared" si="168"/>
        <v>4233941.0999999996</v>
      </c>
    </row>
    <row r="163" spans="1:127" ht="12.75" hidden="1" customHeight="1" outlineLevel="1">
      <c r="A163" s="394" t="s">
        <v>739</v>
      </c>
      <c r="B163" s="396"/>
      <c r="C163" s="456"/>
      <c r="D163" s="456"/>
      <c r="E163" s="456"/>
      <c r="F163" s="396"/>
      <c r="G163" s="456"/>
      <c r="H163" s="456"/>
      <c r="I163" s="456"/>
      <c r="J163" s="456"/>
      <c r="K163" s="456"/>
      <c r="L163" s="456"/>
      <c r="M163" s="456"/>
      <c r="N163" s="456"/>
      <c r="O163" s="456"/>
      <c r="P163" s="394"/>
      <c r="Q163" s="394"/>
      <c r="R163" s="394"/>
      <c r="S163" s="396"/>
      <c r="T163" s="456"/>
      <c r="U163" s="394"/>
      <c r="V163" s="394"/>
      <c r="W163" s="394"/>
      <c r="X163" s="394"/>
      <c r="Y163" s="394"/>
      <c r="Z163" s="394"/>
      <c r="AA163" s="394"/>
      <c r="AB163" s="394"/>
      <c r="AC163" s="394"/>
      <c r="AD163" s="394"/>
      <c r="AE163" s="456"/>
      <c r="AF163" s="430"/>
      <c r="AG163" s="456"/>
      <c r="AH163" s="456"/>
      <c r="AI163" s="456"/>
      <c r="AJ163" s="456"/>
      <c r="AK163" s="456"/>
      <c r="AL163" s="456"/>
      <c r="AM163" s="456"/>
      <c r="AN163" s="456"/>
      <c r="AO163" s="456"/>
      <c r="AP163" s="456"/>
      <c r="AQ163" s="456"/>
      <c r="AR163" s="456"/>
      <c r="AS163" s="396"/>
      <c r="AT163" s="396"/>
      <c r="AU163" s="430"/>
      <c r="AV163" s="456"/>
      <c r="AW163" s="396"/>
      <c r="AX163" s="396"/>
      <c r="AY163" s="396"/>
      <c r="AZ163" s="396"/>
      <c r="BA163" s="396"/>
      <c r="BB163" s="396"/>
      <c r="BC163" s="396"/>
      <c r="BD163" s="396"/>
      <c r="BE163" s="396"/>
      <c r="BF163" s="396"/>
      <c r="BG163" s="396"/>
      <c r="BH163" s="430"/>
      <c r="BI163" s="396"/>
      <c r="BJ163" s="396"/>
      <c r="BK163" s="396"/>
      <c r="BL163" s="396"/>
      <c r="BM163" s="396"/>
      <c r="BN163" s="396"/>
      <c r="BO163" s="396"/>
      <c r="BP163" s="396"/>
      <c r="BQ163" s="430"/>
      <c r="BR163" s="430"/>
      <c r="BS163" s="396"/>
      <c r="BT163" s="396"/>
      <c r="BU163" s="430"/>
      <c r="BV163" s="396"/>
      <c r="BW163" s="396"/>
      <c r="BX163" s="430"/>
      <c r="BY163" s="430"/>
      <c r="BZ163" s="430"/>
      <c r="CA163" s="430"/>
      <c r="CB163" s="430"/>
      <c r="CC163" s="430"/>
      <c r="CD163" s="430"/>
      <c r="CE163" s="430"/>
      <c r="CF163" s="430"/>
      <c r="CG163" s="430"/>
      <c r="CH163" s="430"/>
      <c r="CI163" s="430">
        <v>0</v>
      </c>
      <c r="CJ163" s="430">
        <v>0</v>
      </c>
      <c r="CK163" s="430">
        <v>0</v>
      </c>
      <c r="CL163" s="430">
        <v>0</v>
      </c>
      <c r="CM163" s="430">
        <v>0</v>
      </c>
      <c r="CN163" s="430">
        <v>0</v>
      </c>
      <c r="CO163" s="430">
        <v>196276.15</v>
      </c>
      <c r="CP163" s="430">
        <v>196276.15</v>
      </c>
      <c r="CQ163" s="430">
        <v>196276.15</v>
      </c>
      <c r="CR163" s="430">
        <v>196276.15</v>
      </c>
      <c r="CS163" s="430">
        <v>196276.15</v>
      </c>
      <c r="CT163" s="913">
        <v>105060.37</v>
      </c>
      <c r="CU163" s="430">
        <f t="shared" si="166"/>
        <v>1086441.1200000001</v>
      </c>
      <c r="CV163" s="430">
        <v>158627.95000000001</v>
      </c>
      <c r="CW163" s="430">
        <v>172585.7</v>
      </c>
      <c r="CX163" s="767">
        <v>171265.37</v>
      </c>
      <c r="CY163" s="767">
        <v>114302.66</v>
      </c>
      <c r="CZ163" s="767">
        <v>196257.29</v>
      </c>
      <c r="DA163" s="767">
        <v>117226.24000000001</v>
      </c>
      <c r="DB163" s="767">
        <v>117226.24000000001</v>
      </c>
      <c r="DC163" s="767">
        <v>189843.84</v>
      </c>
      <c r="DD163" s="767">
        <v>231057.36</v>
      </c>
      <c r="DE163" s="767">
        <v>261424.89</v>
      </c>
      <c r="DF163" s="767">
        <v>-1161741.03</v>
      </c>
      <c r="DG163" s="767">
        <v>142812</v>
      </c>
      <c r="DH163" s="396">
        <f t="shared" si="167"/>
        <v>710888.51</v>
      </c>
      <c r="DI163" s="767">
        <v>61217.48</v>
      </c>
      <c r="DJ163" s="767">
        <v>-2018.39</v>
      </c>
      <c r="DK163" s="767">
        <v>624.19000000000005</v>
      </c>
      <c r="DL163" s="767">
        <v>71312.160000000003</v>
      </c>
      <c r="DM163" s="767">
        <v>108649.56</v>
      </c>
      <c r="DN163" s="767">
        <v>139776</v>
      </c>
      <c r="DO163" s="767">
        <v>28237.45</v>
      </c>
      <c r="DP163" s="767">
        <v>88989.74</v>
      </c>
      <c r="DQ163" s="767">
        <v>66083.33</v>
      </c>
      <c r="DR163" s="767">
        <v>4486.51</v>
      </c>
      <c r="DS163" s="767"/>
      <c r="DT163" s="767"/>
      <c r="DU163" s="396">
        <f t="shared" si="168"/>
        <v>567358.03</v>
      </c>
    </row>
    <row r="164" spans="1:127" ht="12.75" hidden="1" customHeight="1" outlineLevel="1">
      <c r="A164" s="394" t="s">
        <v>740</v>
      </c>
      <c r="B164" s="12">
        <v>0</v>
      </c>
      <c r="C164" s="4">
        <v>0</v>
      </c>
      <c r="D164" s="4">
        <v>0</v>
      </c>
      <c r="E164" s="4">
        <v>41053.300000000003</v>
      </c>
      <c r="F164" s="12">
        <v>41053.300000000003</v>
      </c>
      <c r="G164" s="4">
        <v>9652.36</v>
      </c>
      <c r="H164" s="4">
        <v>9652.36</v>
      </c>
      <c r="I164" s="4">
        <v>9652.36</v>
      </c>
      <c r="J164" s="4">
        <v>19733.5</v>
      </c>
      <c r="K164" s="4">
        <v>11300.18</v>
      </c>
      <c r="L164" s="4">
        <v>11502.08</v>
      </c>
      <c r="M164" s="4">
        <v>9044.76</v>
      </c>
      <c r="N164" s="4">
        <v>4695.43</v>
      </c>
      <c r="O164" s="4">
        <v>-1574.76</v>
      </c>
      <c r="P164" s="4">
        <v>-32343.1</v>
      </c>
      <c r="Q164" s="4">
        <v>-4470.47</v>
      </c>
      <c r="R164" s="4">
        <v>12773.06</v>
      </c>
      <c r="S164" s="12">
        <v>59617.760000000002</v>
      </c>
      <c r="T164" s="4">
        <v>24757.35</v>
      </c>
      <c r="U164" s="4">
        <v>16692</v>
      </c>
      <c r="V164" s="4">
        <v>18903.2</v>
      </c>
      <c r="W164" s="4">
        <v>31201.25</v>
      </c>
      <c r="X164" s="4">
        <v>-28094.17</v>
      </c>
      <c r="Y164" s="4">
        <v>7889.87</v>
      </c>
      <c r="Z164" s="4">
        <v>35874.370000000003</v>
      </c>
      <c r="AA164" s="4">
        <v>14050.68</v>
      </c>
      <c r="AB164" s="4">
        <v>227.35</v>
      </c>
      <c r="AC164" s="4">
        <v>-19419.04</v>
      </c>
      <c r="AD164" s="4">
        <v>8502.74</v>
      </c>
      <c r="AE164" s="4">
        <v>22944.69</v>
      </c>
      <c r="AF164" s="430">
        <v>133530.28999999998</v>
      </c>
      <c r="AG164" s="4">
        <v>44891.77</v>
      </c>
      <c r="AH164" s="4">
        <v>41315.699999999997</v>
      </c>
      <c r="AI164" s="4">
        <v>30808.400000000001</v>
      </c>
      <c r="AJ164" s="4">
        <v>23507.26</v>
      </c>
      <c r="AK164" s="4">
        <v>17615.599999999999</v>
      </c>
      <c r="AL164" s="4">
        <v>-14932.16</v>
      </c>
      <c r="AM164" s="4">
        <v>38453.35</v>
      </c>
      <c r="AN164" s="4">
        <v>7955.74</v>
      </c>
      <c r="AO164" s="4">
        <v>60887.37</v>
      </c>
      <c r="AP164" s="4">
        <v>-21622.71</v>
      </c>
      <c r="AQ164" s="4">
        <v>-76416.87</v>
      </c>
      <c r="AR164" s="4">
        <v>101584.85</v>
      </c>
      <c r="AS164" s="12">
        <v>254048.30000000002</v>
      </c>
      <c r="AT164" s="12"/>
      <c r="AU164" s="430">
        <v>254048.30000000002</v>
      </c>
      <c r="AV164" s="4">
        <v>102318.74</v>
      </c>
      <c r="AW164" s="12">
        <v>72924.12</v>
      </c>
      <c r="AX164" s="12">
        <v>123513.58</v>
      </c>
      <c r="AY164" s="12">
        <v>40093.199999999997</v>
      </c>
      <c r="AZ164" s="12">
        <v>77227.710000000006</v>
      </c>
      <c r="BA164" s="12">
        <v>51075.48</v>
      </c>
      <c r="BB164" s="12">
        <v>4045.75</v>
      </c>
      <c r="BC164" s="12">
        <v>3664.82</v>
      </c>
      <c r="BD164" s="12">
        <v>87254.71</v>
      </c>
      <c r="BE164" s="12">
        <v>-284856.62</v>
      </c>
      <c r="BF164" s="12">
        <v>-30353.38</v>
      </c>
      <c r="BG164" s="12">
        <v>2659.7</v>
      </c>
      <c r="BH164" s="430">
        <v>249567.81</v>
      </c>
      <c r="BI164" s="12">
        <v>154767.72</v>
      </c>
      <c r="BJ164" s="12">
        <v>30554.959999999999</v>
      </c>
      <c r="BK164" s="12">
        <v>25032.07</v>
      </c>
      <c r="BL164" s="12">
        <v>-60133.85</v>
      </c>
      <c r="BM164" s="12">
        <v>-34272.31</v>
      </c>
      <c r="BN164" s="12">
        <v>93044.45</v>
      </c>
      <c r="BO164" s="12">
        <v>20362.18</v>
      </c>
      <c r="BP164" s="12">
        <v>98156.55</v>
      </c>
      <c r="BQ164" s="15">
        <v>-124359</v>
      </c>
      <c r="BR164" s="15">
        <v>-246869.09</v>
      </c>
      <c r="BS164" s="12">
        <v>28695</v>
      </c>
      <c r="BT164" s="396">
        <v>168266</v>
      </c>
      <c r="BU164" s="430">
        <f>SUM(BI164:BT164)</f>
        <v>153244.67999999996</v>
      </c>
      <c r="BV164" s="396">
        <v>171267.71</v>
      </c>
      <c r="BW164" s="12">
        <v>110875.22</v>
      </c>
      <c r="BX164" s="12">
        <v>-3556.62</v>
      </c>
      <c r="BY164" s="396">
        <v>105419.32</v>
      </c>
      <c r="BZ164" s="396">
        <v>122946.56</v>
      </c>
      <c r="CA164" s="396">
        <v>126523.48</v>
      </c>
      <c r="CB164" s="396">
        <v>228052.34</v>
      </c>
      <c r="CC164" s="430">
        <v>121104.79</v>
      </c>
      <c r="CD164" s="430">
        <v>224054.94</v>
      </c>
      <c r="CE164" s="430">
        <v>-436680.29</v>
      </c>
      <c r="CF164" s="430">
        <v>-321829</v>
      </c>
      <c r="CG164" s="430">
        <v>337413.29</v>
      </c>
      <c r="CH164" s="430">
        <f>SUM(BV164:CG164)</f>
        <v>785591.74</v>
      </c>
      <c r="CI164" s="430">
        <v>174621.19</v>
      </c>
      <c r="CJ164" s="430">
        <v>60416</v>
      </c>
      <c r="CK164" s="430">
        <v>243232.04</v>
      </c>
      <c r="CL164" s="430">
        <v>77037.87</v>
      </c>
      <c r="CM164" s="430">
        <v>10694.15</v>
      </c>
      <c r="CN164" s="430">
        <v>252875.33</v>
      </c>
      <c r="CO164" s="430">
        <v>160958.9</v>
      </c>
      <c r="CP164" s="430">
        <v>194859.66</v>
      </c>
      <c r="CQ164" s="430">
        <v>347118.51</v>
      </c>
      <c r="CR164" s="430">
        <v>-636027.94999999995</v>
      </c>
      <c r="CS164" s="430">
        <v>-160830.41</v>
      </c>
      <c r="CT164" s="913">
        <v>217821.98</v>
      </c>
      <c r="CU164" s="430">
        <f t="shared" si="166"/>
        <v>942777.2699999999</v>
      </c>
      <c r="CV164" s="430">
        <v>300864.94</v>
      </c>
      <c r="CW164" s="430">
        <v>237635.28</v>
      </c>
      <c r="CX164" s="767">
        <v>348183.03999999998</v>
      </c>
      <c r="CY164" s="767">
        <v>-273903.2</v>
      </c>
      <c r="CZ164" s="767">
        <v>162119.57999999999</v>
      </c>
      <c r="DA164" s="767">
        <v>79907.960000000006</v>
      </c>
      <c r="DB164" s="767">
        <v>197700.43</v>
      </c>
      <c r="DC164" s="767">
        <v>283439.76</v>
      </c>
      <c r="DD164" s="767">
        <v>370611.72</v>
      </c>
      <c r="DE164" s="767">
        <v>-1395993.98</v>
      </c>
      <c r="DF164" s="767">
        <v>266659.28000000003</v>
      </c>
      <c r="DG164" s="767">
        <v>503528.21</v>
      </c>
      <c r="DH164" s="396">
        <f t="shared" si="167"/>
        <v>1080753.02</v>
      </c>
      <c r="DI164" s="767">
        <v>483769.31</v>
      </c>
      <c r="DJ164" s="767">
        <v>-94473.39</v>
      </c>
      <c r="DK164" s="767">
        <v>614408.07999999996</v>
      </c>
      <c r="DL164" s="767">
        <v>170373.51</v>
      </c>
      <c r="DM164" s="767">
        <v>72473.48</v>
      </c>
      <c r="DN164" s="767">
        <v>340226.16</v>
      </c>
      <c r="DO164" s="767">
        <v>251027.07</v>
      </c>
      <c r="DP164" s="767">
        <v>447550.53</v>
      </c>
      <c r="DQ164" s="767">
        <v>492616.64</v>
      </c>
      <c r="DR164" s="767">
        <v>-2402481.94</v>
      </c>
      <c r="DS164" s="767"/>
      <c r="DT164" s="767"/>
      <c r="DU164" s="396">
        <f t="shared" si="168"/>
        <v>375489.45000000019</v>
      </c>
    </row>
    <row r="165" spans="1:127" ht="12.75" customHeight="1" collapsed="1">
      <c r="A165" s="394" t="s">
        <v>741</v>
      </c>
      <c r="B165" s="12"/>
      <c r="C165" s="4"/>
      <c r="D165" s="4"/>
      <c r="E165" s="4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>
        <v>18339.98</v>
      </c>
      <c r="R165" s="4">
        <v>-21000</v>
      </c>
      <c r="S165" s="12">
        <v>-2660.02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396"/>
      <c r="AG165" s="4"/>
      <c r="AH165" s="4"/>
      <c r="AI165" s="4"/>
      <c r="AJ165" s="4"/>
      <c r="AK165" s="4">
        <v>16732.07</v>
      </c>
      <c r="AL165" s="4">
        <v>0</v>
      </c>
      <c r="AM165" s="4">
        <v>0</v>
      </c>
      <c r="AN165" s="4">
        <v>-103.32</v>
      </c>
      <c r="AO165" s="4">
        <v>0</v>
      </c>
      <c r="AP165" s="4">
        <v>0</v>
      </c>
      <c r="AQ165" s="4">
        <v>1751.05</v>
      </c>
      <c r="AR165" s="4">
        <v>0</v>
      </c>
      <c r="AS165" s="12">
        <v>18379.8</v>
      </c>
      <c r="AT165" s="12"/>
      <c r="AU165" s="396">
        <v>18379.8</v>
      </c>
      <c r="AV165" s="4">
        <v>0</v>
      </c>
      <c r="AW165" s="12">
        <v>0</v>
      </c>
      <c r="AX165" s="12">
        <v>-277992.48</v>
      </c>
      <c r="AY165" s="12">
        <v>0</v>
      </c>
      <c r="AZ165" s="12">
        <v>0</v>
      </c>
      <c r="BA165" s="12">
        <v>-5764.4</v>
      </c>
      <c r="BB165" s="12">
        <v>206.22</v>
      </c>
      <c r="BC165" s="12">
        <v>0</v>
      </c>
      <c r="BD165" s="12">
        <v>0</v>
      </c>
      <c r="BE165" s="12"/>
      <c r="BF165" s="12">
        <v>0</v>
      </c>
      <c r="BG165" s="12">
        <v>0</v>
      </c>
      <c r="BH165" s="396">
        <v>-283550.66000000003</v>
      </c>
      <c r="BI165" s="12">
        <v>0</v>
      </c>
      <c r="BJ165" s="12">
        <v>0</v>
      </c>
      <c r="BK165" s="12">
        <v>0</v>
      </c>
      <c r="BL165" s="12">
        <v>-1684</v>
      </c>
      <c r="BM165" s="12">
        <v>-479.13</v>
      </c>
      <c r="BN165" s="12">
        <v>0</v>
      </c>
      <c r="BO165" s="12">
        <v>-741.58</v>
      </c>
      <c r="BP165" s="12">
        <v>0</v>
      </c>
      <c r="BQ165" s="15">
        <v>0</v>
      </c>
      <c r="BR165" s="15">
        <v>0</v>
      </c>
      <c r="BS165" s="12">
        <v>-106036.75</v>
      </c>
      <c r="BT165" s="396">
        <v>0</v>
      </c>
      <c r="BU165" s="396">
        <f>SUM(BI165:BT165)</f>
        <v>-108941.46</v>
      </c>
      <c r="BV165" s="396"/>
      <c r="BW165" s="12">
        <v>-15259.89</v>
      </c>
      <c r="BX165" s="12">
        <v>3388.09</v>
      </c>
      <c r="BY165" s="396">
        <v>1354.14</v>
      </c>
      <c r="BZ165" s="396">
        <v>0</v>
      </c>
      <c r="CA165" s="396">
        <v>33223.26</v>
      </c>
      <c r="CB165" s="396">
        <v>-29999.9</v>
      </c>
      <c r="CC165" s="396">
        <v>499.86</v>
      </c>
      <c r="CD165" s="396">
        <v>8176.2</v>
      </c>
      <c r="CE165" s="396">
        <v>0</v>
      </c>
      <c r="CF165" s="396">
        <v>0</v>
      </c>
      <c r="CG165" s="396">
        <v>0</v>
      </c>
      <c r="CH165" s="396">
        <f>SUM(BV165:CG165)</f>
        <v>1381.7600000000002</v>
      </c>
      <c r="CI165" s="396">
        <v>8052.02</v>
      </c>
      <c r="CJ165" s="396">
        <v>14699</v>
      </c>
      <c r="CK165" s="396">
        <v>0</v>
      </c>
      <c r="CL165" s="396">
        <v>-57.29</v>
      </c>
      <c r="CM165" s="396">
        <v>-933.74</v>
      </c>
      <c r="CN165" s="396">
        <v>3729.13</v>
      </c>
      <c r="CO165" s="396">
        <v>37761.769999999997</v>
      </c>
      <c r="CP165" s="396">
        <v>1993.53</v>
      </c>
      <c r="CQ165" s="396">
        <v>62964.86</v>
      </c>
      <c r="CR165" s="396">
        <v>0</v>
      </c>
      <c r="CS165" s="396">
        <v>13786.28</v>
      </c>
      <c r="CT165" s="396">
        <v>53719.96</v>
      </c>
      <c r="CU165" s="396">
        <f>SUM(CI165:CT165)</f>
        <v>195715.52</v>
      </c>
      <c r="CV165" s="396">
        <v>5847.57</v>
      </c>
      <c r="CW165" s="396">
        <v>0</v>
      </c>
      <c r="CX165" s="934">
        <v>0</v>
      </c>
      <c r="CY165" s="934">
        <v>0</v>
      </c>
      <c r="CZ165" s="934">
        <v>2148.02</v>
      </c>
      <c r="DA165" s="934">
        <v>1241.04</v>
      </c>
      <c r="DB165" s="767">
        <v>0</v>
      </c>
      <c r="DC165" s="767">
        <v>-812259.39</v>
      </c>
      <c r="DD165" s="934">
        <v>-189</v>
      </c>
      <c r="DE165" s="934">
        <v>0</v>
      </c>
      <c r="DF165" s="934">
        <v>12062.13</v>
      </c>
      <c r="DG165" s="934">
        <v>161564.91</v>
      </c>
      <c r="DH165" s="396">
        <f t="shared" si="167"/>
        <v>-629584.72</v>
      </c>
      <c r="DI165" s="934">
        <v>5744.64</v>
      </c>
      <c r="DJ165" s="934">
        <v>52942.14</v>
      </c>
      <c r="DK165" s="934">
        <v>57837.65</v>
      </c>
      <c r="DL165" s="934">
        <v>5551.02</v>
      </c>
      <c r="DM165" s="934">
        <v>11873.03</v>
      </c>
      <c r="DN165" s="934">
        <v>77602.52</v>
      </c>
      <c r="DO165" s="934">
        <v>0</v>
      </c>
      <c r="DP165" s="934"/>
      <c r="DQ165" s="934"/>
      <c r="DR165" s="934">
        <v>3348.29</v>
      </c>
      <c r="DS165" s="934"/>
      <c r="DT165" s="934"/>
      <c r="DU165" s="396">
        <f t="shared" si="168"/>
        <v>214899.29</v>
      </c>
    </row>
    <row r="166" spans="1:127" s="222" customFormat="1" ht="10.5" customHeight="1">
      <c r="A166" s="17" t="s">
        <v>744</v>
      </c>
      <c r="B166" s="18"/>
      <c r="C166" s="19"/>
      <c r="D166" s="19"/>
      <c r="E166" s="19"/>
      <c r="F166" s="18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8"/>
      <c r="T166" s="20">
        <f t="shared" ref="T166:CE166" si="173">SUM(T158:T165)</f>
        <v>75486.47</v>
      </c>
      <c r="U166" s="19">
        <f t="shared" si="173"/>
        <v>70024</v>
      </c>
      <c r="V166" s="19">
        <f t="shared" si="173"/>
        <v>77761.239999999991</v>
      </c>
      <c r="W166" s="19">
        <f t="shared" si="173"/>
        <v>92010.39</v>
      </c>
      <c r="X166" s="19">
        <f t="shared" si="173"/>
        <v>39321.56</v>
      </c>
      <c r="Y166" s="19">
        <f t="shared" si="173"/>
        <v>83362.06</v>
      </c>
      <c r="Z166" s="19">
        <f t="shared" si="173"/>
        <v>117132.18</v>
      </c>
      <c r="AA166" s="19">
        <f t="shared" si="173"/>
        <v>99507.9</v>
      </c>
      <c r="AB166" s="19">
        <f t="shared" si="173"/>
        <v>87626.150000000009</v>
      </c>
      <c r="AC166" s="19">
        <f t="shared" si="173"/>
        <v>69709.31</v>
      </c>
      <c r="AD166" s="19">
        <f t="shared" si="173"/>
        <v>99519.74</v>
      </c>
      <c r="AE166" s="19">
        <f t="shared" si="173"/>
        <v>410058.06</v>
      </c>
      <c r="AF166" s="397">
        <f t="shared" si="173"/>
        <v>1321519.06</v>
      </c>
      <c r="AG166" s="19">
        <f t="shared" si="173"/>
        <v>145224.35</v>
      </c>
      <c r="AH166" s="19">
        <f t="shared" si="173"/>
        <v>141687.51999999999</v>
      </c>
      <c r="AI166" s="19">
        <f t="shared" si="173"/>
        <v>137762.93</v>
      </c>
      <c r="AJ166" s="19">
        <f t="shared" si="173"/>
        <v>134421.71</v>
      </c>
      <c r="AK166" s="19">
        <f t="shared" si="173"/>
        <v>150058.43000000002</v>
      </c>
      <c r="AL166" s="19">
        <f t="shared" si="173"/>
        <v>134040.76999999999</v>
      </c>
      <c r="AM166" s="19">
        <f t="shared" si="173"/>
        <v>211430.48</v>
      </c>
      <c r="AN166" s="19">
        <f t="shared" si="173"/>
        <v>173934.15999999997</v>
      </c>
      <c r="AO166" s="19">
        <f t="shared" si="173"/>
        <v>240852.34</v>
      </c>
      <c r="AP166" s="19">
        <f t="shared" si="173"/>
        <v>168759.41</v>
      </c>
      <c r="AQ166" s="19">
        <f t="shared" si="173"/>
        <v>130437.79000000002</v>
      </c>
      <c r="AR166" s="19">
        <f t="shared" si="173"/>
        <v>311714.2</v>
      </c>
      <c r="AS166" s="18">
        <f t="shared" si="173"/>
        <v>2080324.09</v>
      </c>
      <c r="AT166" s="19">
        <f t="shared" si="173"/>
        <v>889087.99</v>
      </c>
      <c r="AU166" s="397">
        <f t="shared" si="173"/>
        <v>2969412.0799999996</v>
      </c>
      <c r="AV166" s="19">
        <f t="shared" si="173"/>
        <v>313794.51</v>
      </c>
      <c r="AW166" s="18">
        <f t="shared" si="173"/>
        <v>288672.32999999996</v>
      </c>
      <c r="AX166" s="18">
        <f t="shared" si="173"/>
        <v>62282.780000000028</v>
      </c>
      <c r="AY166" s="18">
        <f t="shared" si="173"/>
        <v>328564.37000000005</v>
      </c>
      <c r="AZ166" s="18">
        <f t="shared" si="173"/>
        <v>375783.22000000003</v>
      </c>
      <c r="BA166" s="18">
        <f t="shared" si="173"/>
        <v>356624.41</v>
      </c>
      <c r="BB166" s="18">
        <f t="shared" si="173"/>
        <v>329631.87</v>
      </c>
      <c r="BC166" s="18">
        <f t="shared" si="173"/>
        <v>356088.13000000006</v>
      </c>
      <c r="BD166" s="18">
        <f t="shared" si="173"/>
        <v>441420.44</v>
      </c>
      <c r="BE166" s="18">
        <f t="shared" si="173"/>
        <v>80321.19</v>
      </c>
      <c r="BF166" s="18">
        <f t="shared" si="173"/>
        <v>336910.32999999996</v>
      </c>
      <c r="BG166" s="18">
        <f t="shared" si="173"/>
        <v>582754.36999999988</v>
      </c>
      <c r="BH166" s="397">
        <f t="shared" si="173"/>
        <v>3852847.95</v>
      </c>
      <c r="BI166" s="18">
        <f t="shared" si="173"/>
        <v>539999.65</v>
      </c>
      <c r="BJ166" s="18">
        <f t="shared" si="173"/>
        <v>424655.05</v>
      </c>
      <c r="BK166" s="18">
        <f t="shared" si="173"/>
        <v>431785.82</v>
      </c>
      <c r="BL166" s="18">
        <f t="shared" si="173"/>
        <v>343366.56000000006</v>
      </c>
      <c r="BM166" s="18">
        <f t="shared" si="173"/>
        <v>377519.09</v>
      </c>
      <c r="BN166" s="18">
        <f t="shared" si="173"/>
        <v>550069.71</v>
      </c>
      <c r="BO166" s="18">
        <f t="shared" si="173"/>
        <v>465409.49999999994</v>
      </c>
      <c r="BP166" s="18">
        <f t="shared" si="173"/>
        <v>536480.94999999995</v>
      </c>
      <c r="BQ166" s="18">
        <f t="shared" si="173"/>
        <v>338340</v>
      </c>
      <c r="BR166" s="18">
        <f t="shared" si="173"/>
        <v>266049.48</v>
      </c>
      <c r="BS166" s="18">
        <f t="shared" si="173"/>
        <v>438092.37</v>
      </c>
      <c r="BT166" s="18">
        <f t="shared" si="173"/>
        <v>1561337.56</v>
      </c>
      <c r="BU166" s="397">
        <f t="shared" si="173"/>
        <v>6273105.7400000002</v>
      </c>
      <c r="BV166" s="18">
        <f t="shared" si="173"/>
        <v>747219.92</v>
      </c>
      <c r="BW166" s="18">
        <f t="shared" si="173"/>
        <v>841364.59000000008</v>
      </c>
      <c r="BX166" s="18">
        <f t="shared" si="173"/>
        <v>739401.99</v>
      </c>
      <c r="BY166" s="18">
        <f t="shared" si="173"/>
        <v>824824.77000000014</v>
      </c>
      <c r="BZ166" s="18">
        <f t="shared" si="173"/>
        <v>869557.79</v>
      </c>
      <c r="CA166" s="18">
        <f t="shared" si="173"/>
        <v>910545.98</v>
      </c>
      <c r="CB166" s="18">
        <f t="shared" si="173"/>
        <v>940806.45000000007</v>
      </c>
      <c r="CC166" s="18">
        <f t="shared" si="173"/>
        <v>886707.04</v>
      </c>
      <c r="CD166" s="18">
        <f t="shared" si="173"/>
        <v>1050761.52</v>
      </c>
      <c r="CE166" s="18">
        <f t="shared" si="173"/>
        <v>381691.03000000009</v>
      </c>
      <c r="CF166" s="18">
        <f>SUM(CF158:CF165)</f>
        <v>520766.89999999991</v>
      </c>
      <c r="CG166" s="18">
        <f>SUM(CG158:CG165)</f>
        <v>1228508.98</v>
      </c>
      <c r="CH166" s="397">
        <f>SUM(CH158:CH165)</f>
        <v>9942156.9600000009</v>
      </c>
      <c r="CI166" s="18">
        <f t="shared" ref="CI166:CU166" si="174">SUM(CI158:CI165)-CI161</f>
        <v>1107084.69</v>
      </c>
      <c r="CJ166" s="18">
        <f t="shared" si="174"/>
        <v>1022614.6499999999</v>
      </c>
      <c r="CK166" s="18">
        <f t="shared" si="174"/>
        <v>1237292.8</v>
      </c>
      <c r="CL166" s="18">
        <f t="shared" si="174"/>
        <v>1101140.79</v>
      </c>
      <c r="CM166" s="18">
        <f t="shared" si="174"/>
        <v>1056319.1299999999</v>
      </c>
      <c r="CN166" s="18">
        <f t="shared" si="174"/>
        <v>1313528.8999999999</v>
      </c>
      <c r="CO166" s="18">
        <f t="shared" si="174"/>
        <v>1465623.8900000001</v>
      </c>
      <c r="CP166" s="18">
        <f t="shared" si="174"/>
        <v>1455243.2899999998</v>
      </c>
      <c r="CQ166" s="18">
        <f t="shared" si="174"/>
        <v>1763364.14</v>
      </c>
      <c r="CR166" s="18">
        <f t="shared" si="174"/>
        <v>733047.39999999991</v>
      </c>
      <c r="CS166" s="18">
        <f t="shared" si="174"/>
        <v>1235970.4000000001</v>
      </c>
      <c r="CT166" s="18">
        <f t="shared" si="174"/>
        <v>1491526.26</v>
      </c>
      <c r="CU166" s="397">
        <f t="shared" si="174"/>
        <v>14982756.339999998</v>
      </c>
      <c r="CV166" s="397">
        <f t="shared" ref="CV166:DA166" si="175">SUM(CV158:CV165)-CV161</f>
        <v>2677393.4400000004</v>
      </c>
      <c r="CW166" s="397">
        <f t="shared" si="175"/>
        <v>2642241.66</v>
      </c>
      <c r="CX166" s="397">
        <f t="shared" si="175"/>
        <v>3065345.04</v>
      </c>
      <c r="CY166" s="397">
        <f t="shared" si="175"/>
        <v>2416932.7700000005</v>
      </c>
      <c r="CZ166" s="397">
        <f t="shared" si="175"/>
        <v>2962337.62</v>
      </c>
      <c r="DA166" s="397">
        <f t="shared" si="175"/>
        <v>2900206.55</v>
      </c>
      <c r="DB166" s="22">
        <f t="shared" ref="DB166:DH166" si="176">SUM(DB158:DB165)-DB161</f>
        <v>3010543.4300000006</v>
      </c>
      <c r="DC166" s="22">
        <f t="shared" si="176"/>
        <v>2441898.8599999994</v>
      </c>
      <c r="DD166" s="22">
        <f t="shared" si="176"/>
        <v>3507147.0600000005</v>
      </c>
      <c r="DE166" s="22">
        <f t="shared" si="176"/>
        <v>1746348.9900000002</v>
      </c>
      <c r="DF166" s="22">
        <f t="shared" si="176"/>
        <v>2007057.3100000003</v>
      </c>
      <c r="DG166" s="22">
        <f t="shared" si="176"/>
        <v>3653929.9699999997</v>
      </c>
      <c r="DH166" s="397">
        <f t="shared" si="176"/>
        <v>33031382.700000003</v>
      </c>
      <c r="DI166" s="22">
        <f>SUM(DI158:DI165)-DI161</f>
        <v>2914162.55</v>
      </c>
      <c r="DJ166" s="22">
        <f>SUM(DJ158:DJ165)-DJ161</f>
        <v>2388809.6199999996</v>
      </c>
      <c r="DK166" s="22">
        <f t="shared" ref="DK166:DU166" si="177">SUM(DK158:DK165)-DK161</f>
        <v>3081330.8</v>
      </c>
      <c r="DL166" s="22">
        <f t="shared" si="177"/>
        <v>2641975.6500000004</v>
      </c>
      <c r="DM166" s="22">
        <f t="shared" si="177"/>
        <v>2586821.8299999996</v>
      </c>
      <c r="DN166" s="22">
        <f t="shared" si="177"/>
        <v>2768718.67</v>
      </c>
      <c r="DO166" s="22">
        <f>SUM(DO158:DO165)-DO161</f>
        <v>2480992.1800000002</v>
      </c>
      <c r="DP166" s="22">
        <f t="shared" si="177"/>
        <v>2737958.8100000005</v>
      </c>
      <c r="DQ166" s="22">
        <f t="shared" si="177"/>
        <v>2735010.43</v>
      </c>
      <c r="DR166" s="22">
        <f t="shared" si="177"/>
        <v>-207516.85999999987</v>
      </c>
      <c r="DS166" s="22">
        <f t="shared" si="177"/>
        <v>0</v>
      </c>
      <c r="DT166" s="22">
        <f t="shared" si="177"/>
        <v>0</v>
      </c>
      <c r="DU166" s="397">
        <f t="shared" si="177"/>
        <v>24128263.68</v>
      </c>
    </row>
    <row r="167" spans="1:127" ht="10.5" customHeight="1">
      <c r="A167" s="394"/>
      <c r="B167" s="396"/>
      <c r="C167" s="456"/>
      <c r="D167" s="456"/>
      <c r="E167" s="456"/>
      <c r="F167" s="396"/>
      <c r="G167" s="456"/>
      <c r="H167" s="456"/>
      <c r="I167" s="456"/>
      <c r="J167" s="456"/>
      <c r="K167" s="456"/>
      <c r="L167" s="456"/>
      <c r="M167" s="456"/>
      <c r="N167" s="456"/>
      <c r="O167" s="456"/>
      <c r="P167" s="456"/>
      <c r="Q167" s="456"/>
      <c r="R167" s="456"/>
      <c r="S167" s="396"/>
      <c r="T167" s="456"/>
      <c r="U167" s="456"/>
      <c r="V167" s="456"/>
      <c r="W167" s="456"/>
      <c r="X167" s="456"/>
      <c r="Y167" s="456"/>
      <c r="Z167" s="456"/>
      <c r="AA167" s="456"/>
      <c r="AB167" s="456"/>
      <c r="AC167" s="456"/>
      <c r="AD167" s="456"/>
      <c r="AE167" s="456"/>
      <c r="AF167" s="396"/>
      <c r="AG167" s="456"/>
      <c r="AH167" s="456"/>
      <c r="AI167" s="456"/>
      <c r="AJ167" s="456"/>
      <c r="AK167" s="456"/>
      <c r="AL167" s="456"/>
      <c r="AM167" s="456"/>
      <c r="AN167" s="456"/>
      <c r="AO167" s="456"/>
      <c r="AP167" s="456"/>
      <c r="AQ167" s="456"/>
      <c r="AR167" s="456"/>
      <c r="AS167" s="396"/>
      <c r="AT167" s="396"/>
      <c r="AU167" s="396"/>
      <c r="AV167" s="456"/>
      <c r="AW167" s="396"/>
      <c r="AX167" s="396"/>
      <c r="AY167" s="396"/>
      <c r="AZ167" s="396"/>
      <c r="BA167" s="396"/>
      <c r="BB167" s="396"/>
      <c r="BC167" s="396"/>
      <c r="BD167" s="396"/>
      <c r="BE167" s="396"/>
      <c r="BF167" s="396"/>
      <c r="BG167" s="396"/>
      <c r="BH167" s="396"/>
      <c r="BI167" s="396"/>
      <c r="BJ167" s="396"/>
      <c r="BK167" s="396"/>
      <c r="BL167" s="396"/>
      <c r="BM167" s="396"/>
      <c r="BN167" s="396"/>
      <c r="BO167" s="396"/>
      <c r="BP167" s="396"/>
      <c r="BQ167" s="430"/>
      <c r="BR167" s="430"/>
      <c r="BS167" s="396"/>
      <c r="BT167" s="396"/>
      <c r="BU167" s="396"/>
      <c r="BV167" s="396"/>
      <c r="BW167" s="396"/>
      <c r="BX167" s="396"/>
      <c r="BY167" s="396"/>
      <c r="BZ167" s="396"/>
      <c r="CA167" s="396"/>
      <c r="CB167" s="396"/>
      <c r="CC167" s="396"/>
      <c r="CD167" s="396"/>
      <c r="CE167" s="396"/>
      <c r="CF167" s="396"/>
      <c r="CG167" s="396"/>
      <c r="CH167" s="396"/>
      <c r="CI167" s="396"/>
      <c r="CJ167" s="396"/>
      <c r="CK167" s="396"/>
      <c r="CL167" s="396"/>
      <c r="CM167" s="396"/>
      <c r="CN167" s="396"/>
      <c r="CO167" s="396"/>
      <c r="CP167" s="396"/>
      <c r="CQ167" s="396"/>
      <c r="CR167" s="396"/>
      <c r="CS167" s="396"/>
      <c r="CT167" s="396"/>
      <c r="CU167" s="396"/>
      <c r="CV167" s="396"/>
      <c r="CW167" s="396"/>
      <c r="CX167" s="934"/>
      <c r="CY167" s="934"/>
      <c r="CZ167" s="934"/>
      <c r="DA167" s="934"/>
      <c r="DB167" s="767"/>
      <c r="DC167" s="767"/>
      <c r="DD167" s="934"/>
      <c r="DE167" s="934"/>
      <c r="DF167" s="934"/>
      <c r="DG167" s="934"/>
      <c r="DH167" s="396"/>
      <c r="DI167" s="934"/>
      <c r="DJ167" s="934"/>
      <c r="DK167" s="934"/>
      <c r="DL167" s="934"/>
      <c r="DM167" s="934"/>
      <c r="DN167" s="934"/>
      <c r="DO167" s="934"/>
      <c r="DP167" s="934"/>
      <c r="DQ167" s="934"/>
      <c r="DR167" s="934"/>
      <c r="DS167" s="934"/>
      <c r="DT167" s="934"/>
      <c r="DU167" s="396"/>
    </row>
    <row r="168" spans="1:127" ht="10.5" customHeight="1">
      <c r="A168" s="539" t="s">
        <v>743</v>
      </c>
      <c r="B168" s="396"/>
      <c r="C168" s="456"/>
      <c r="D168" s="456"/>
      <c r="E168" s="456"/>
      <c r="F168" s="396"/>
      <c r="G168" s="456"/>
      <c r="H168" s="456"/>
      <c r="I168" s="456"/>
      <c r="J168" s="456"/>
      <c r="K168" s="456"/>
      <c r="L168" s="456"/>
      <c r="M168" s="456"/>
      <c r="N168" s="456"/>
      <c r="O168" s="456"/>
      <c r="P168" s="456"/>
      <c r="Q168" s="456"/>
      <c r="R168" s="456"/>
      <c r="S168" s="396"/>
      <c r="T168" s="456"/>
      <c r="U168" s="456"/>
      <c r="V168" s="456"/>
      <c r="W168" s="456"/>
      <c r="X168" s="456"/>
      <c r="Y168" s="456"/>
      <c r="Z168" s="456"/>
      <c r="AA168" s="456"/>
      <c r="AB168" s="456"/>
      <c r="AC168" s="456"/>
      <c r="AD168" s="456"/>
      <c r="AE168" s="456"/>
      <c r="AF168" s="396"/>
      <c r="AG168" s="456"/>
      <c r="AH168" s="456"/>
      <c r="AI168" s="456"/>
      <c r="AJ168" s="456"/>
      <c r="AK168" s="456"/>
      <c r="AL168" s="456"/>
      <c r="AM168" s="456"/>
      <c r="AN168" s="456"/>
      <c r="AO168" s="456"/>
      <c r="AP168" s="456"/>
      <c r="AQ168" s="456"/>
      <c r="AR168" s="456"/>
      <c r="AS168" s="396"/>
      <c r="AT168" s="396"/>
      <c r="AU168" s="396"/>
      <c r="AV168" s="456"/>
      <c r="AW168" s="396"/>
      <c r="AX168" s="396"/>
      <c r="AY168" s="396"/>
      <c r="AZ168" s="396"/>
      <c r="BA168" s="396"/>
      <c r="BB168" s="396"/>
      <c r="BC168" s="396"/>
      <c r="BD168" s="396"/>
      <c r="BE168" s="396"/>
      <c r="BF168" s="396"/>
      <c r="BG168" s="396"/>
      <c r="BH168" s="396"/>
      <c r="BI168" s="396"/>
      <c r="BJ168" s="396"/>
      <c r="BK168" s="396"/>
      <c r="BL168" s="396"/>
      <c r="BM168" s="396"/>
      <c r="BN168" s="396"/>
      <c r="BO168" s="396"/>
      <c r="BP168" s="396"/>
      <c r="BQ168" s="430"/>
      <c r="BR168" s="430"/>
      <c r="BS168" s="396"/>
      <c r="BT168" s="396"/>
      <c r="BU168" s="396"/>
      <c r="BV168" s="396"/>
      <c r="BW168" s="396"/>
      <c r="BX168" s="396"/>
      <c r="BY168" s="396"/>
      <c r="BZ168" s="396"/>
      <c r="CA168" s="396"/>
      <c r="CB168" s="396"/>
      <c r="CC168" s="396"/>
      <c r="CD168" s="396"/>
      <c r="CE168" s="396"/>
      <c r="CF168" s="396"/>
      <c r="CG168" s="396"/>
      <c r="CH168" s="396"/>
      <c r="CI168" s="396"/>
      <c r="CJ168" s="396"/>
      <c r="CK168" s="396"/>
      <c r="CL168" s="396"/>
      <c r="CM168" s="396"/>
      <c r="CN168" s="396"/>
      <c r="CO168" s="396"/>
      <c r="CP168" s="396"/>
      <c r="CQ168" s="396"/>
      <c r="CR168" s="396"/>
      <c r="CS168" s="396"/>
      <c r="CT168" s="396"/>
      <c r="CU168" s="396"/>
      <c r="CV168" s="396"/>
      <c r="CW168" s="396"/>
      <c r="CX168" s="934"/>
      <c r="CY168" s="934"/>
      <c r="CZ168" s="934"/>
      <c r="DA168" s="934"/>
      <c r="DB168" s="767"/>
      <c r="DC168" s="767"/>
      <c r="DD168" s="934"/>
      <c r="DE168" s="934"/>
      <c r="DF168" s="934"/>
      <c r="DG168" s="934"/>
      <c r="DH168" s="396"/>
      <c r="DI168" s="934"/>
      <c r="DJ168" s="934"/>
      <c r="DK168" s="934"/>
      <c r="DL168" s="934"/>
      <c r="DM168" s="934"/>
      <c r="DN168" s="934"/>
      <c r="DO168" s="934"/>
      <c r="DP168" s="934"/>
      <c r="DQ168" s="934"/>
      <c r="DR168" s="934"/>
      <c r="DS168" s="934"/>
      <c r="DT168" s="934"/>
      <c r="DU168" s="396"/>
    </row>
    <row r="169" spans="1:127" ht="12.75" customHeight="1">
      <c r="A169" s="40" t="s">
        <v>681</v>
      </c>
      <c r="B169" s="396"/>
      <c r="C169" s="456"/>
      <c r="D169" s="456"/>
      <c r="E169" s="456"/>
      <c r="F169" s="396"/>
      <c r="G169" s="456"/>
      <c r="H169" s="456"/>
      <c r="I169" s="456"/>
      <c r="J169" s="456"/>
      <c r="K169" s="456"/>
      <c r="L169" s="456"/>
      <c r="M169" s="456"/>
      <c r="N169" s="456"/>
      <c r="O169" s="456"/>
      <c r="P169" s="456"/>
      <c r="Q169" s="456"/>
      <c r="R169" s="456"/>
      <c r="S169" s="396"/>
      <c r="T169" s="456"/>
      <c r="U169" s="456"/>
      <c r="V169" s="456"/>
      <c r="W169" s="456"/>
      <c r="X169" s="456"/>
      <c r="Y169" s="456"/>
      <c r="Z169" s="456"/>
      <c r="AA169" s="456"/>
      <c r="AB169" s="456"/>
      <c r="AC169" s="456"/>
      <c r="AD169" s="456"/>
      <c r="AE169" s="456"/>
      <c r="AF169" s="430"/>
      <c r="AG169" s="456"/>
      <c r="AH169" s="456"/>
      <c r="AI169" s="456"/>
      <c r="AJ169" s="456"/>
      <c r="AK169" s="456"/>
      <c r="AL169" s="456"/>
      <c r="AM169" s="456"/>
      <c r="AN169" s="456"/>
      <c r="AO169" s="456"/>
      <c r="AP169" s="456"/>
      <c r="AQ169" s="456"/>
      <c r="AR169" s="456"/>
      <c r="AS169" s="396"/>
      <c r="AT169" s="456"/>
      <c r="AU169" s="430"/>
      <c r="AV169" s="456"/>
      <c r="AW169" s="396"/>
      <c r="AX169" s="396"/>
      <c r="AY169" s="396"/>
      <c r="AZ169" s="396"/>
      <c r="BA169" s="396"/>
      <c r="BB169" s="396"/>
      <c r="BC169" s="396"/>
      <c r="BD169" s="396"/>
      <c r="BE169" s="396"/>
      <c r="BF169" s="396"/>
      <c r="BG169" s="396"/>
      <c r="BH169" s="430"/>
      <c r="BI169" s="396"/>
      <c r="BJ169" s="396"/>
      <c r="BK169" s="396"/>
      <c r="BL169" s="396"/>
      <c r="BM169" s="396"/>
      <c r="BN169" s="396"/>
      <c r="BO169" s="396"/>
      <c r="BP169" s="396"/>
      <c r="BQ169" s="430"/>
      <c r="BR169" s="430"/>
      <c r="BS169" s="396"/>
      <c r="BT169" s="396"/>
      <c r="BU169" s="430"/>
      <c r="BV169" s="396"/>
      <c r="BW169" s="396"/>
      <c r="BX169" s="396"/>
      <c r="BY169" s="396"/>
      <c r="BZ169" s="396"/>
      <c r="CA169" s="396"/>
      <c r="CB169" s="396"/>
      <c r="CC169" s="396"/>
      <c r="CD169" s="396"/>
      <c r="CE169" s="396"/>
      <c r="CF169" s="396"/>
      <c r="CG169" s="396"/>
      <c r="CH169" s="430"/>
      <c r="CI169" s="396">
        <v>0</v>
      </c>
      <c r="CJ169" s="396">
        <v>0</v>
      </c>
      <c r="CK169" s="396">
        <v>0</v>
      </c>
      <c r="CL169" s="396">
        <v>483214.46</v>
      </c>
      <c r="CM169" s="396">
        <v>483214.45</v>
      </c>
      <c r="CN169" s="396">
        <v>483214.47</v>
      </c>
      <c r="CO169" s="396">
        <v>483214.46</v>
      </c>
      <c r="CP169" s="396">
        <v>483214.45</v>
      </c>
      <c r="CQ169" s="396">
        <v>486166.71</v>
      </c>
      <c r="CR169" s="396">
        <v>486166.73</v>
      </c>
      <c r="CS169" s="396">
        <v>486166.7</v>
      </c>
      <c r="CT169" s="396">
        <v>486166.72</v>
      </c>
      <c r="CU169" s="430">
        <f>SUM(CI169:CT169)</f>
        <v>4360739.1500000004</v>
      </c>
      <c r="CV169" s="430">
        <v>486166.72</v>
      </c>
      <c r="CW169" s="430">
        <v>486166.7</v>
      </c>
      <c r="CX169" s="767">
        <v>488526.04</v>
      </c>
      <c r="CY169" s="767">
        <v>563319.30000000005</v>
      </c>
      <c r="CZ169" s="767">
        <v>898383.58</v>
      </c>
      <c r="DA169" s="767">
        <v>908698.77</v>
      </c>
      <c r="DB169" s="767">
        <v>913683.46</v>
      </c>
      <c r="DC169" s="767">
        <v>954645.36</v>
      </c>
      <c r="DD169" s="934">
        <v>984822.62</v>
      </c>
      <c r="DE169" s="934">
        <v>1058886.48</v>
      </c>
      <c r="DF169" s="934">
        <v>1118876.43</v>
      </c>
      <c r="DG169" s="934">
        <v>1174356.3700000001</v>
      </c>
      <c r="DH169" s="396">
        <f t="shared" ref="DH169:DH170" si="178">SUM(CV169:DG169)</f>
        <v>10036531.830000002</v>
      </c>
      <c r="DI169" s="934">
        <v>1196390.79</v>
      </c>
      <c r="DJ169" s="934">
        <v>1196390.75</v>
      </c>
      <c r="DK169" s="934">
        <v>1194846.7</v>
      </c>
      <c r="DL169" s="934">
        <v>1194846.6499999999</v>
      </c>
      <c r="DM169" s="934">
        <v>1194846.6499999999</v>
      </c>
      <c r="DN169" s="934">
        <v>1194846.6399999999</v>
      </c>
      <c r="DO169" s="934">
        <v>1194846.73</v>
      </c>
      <c r="DP169" s="934">
        <v>1194041.81</v>
      </c>
      <c r="DQ169" s="934">
        <v>1206128.19</v>
      </c>
      <c r="DR169" s="934">
        <v>1215159.1100000001</v>
      </c>
      <c r="DS169" s="934"/>
      <c r="DT169" s="934"/>
      <c r="DU169" s="396">
        <f t="shared" ref="DU169:DU170" si="179">SUM(DI169:DT169)</f>
        <v>11982344.02</v>
      </c>
    </row>
    <row r="170" spans="1:127" ht="12.75" customHeight="1">
      <c r="A170" s="455" t="s">
        <v>688</v>
      </c>
      <c r="B170" s="396"/>
      <c r="C170" s="456"/>
      <c r="D170" s="456"/>
      <c r="E170" s="456"/>
      <c r="F170" s="396"/>
      <c r="G170" s="456"/>
      <c r="H170" s="456"/>
      <c r="I170" s="456"/>
      <c r="J170" s="456"/>
      <c r="K170" s="456"/>
      <c r="L170" s="456"/>
      <c r="M170" s="456"/>
      <c r="N170" s="456"/>
      <c r="O170" s="456"/>
      <c r="P170" s="456"/>
      <c r="Q170" s="456"/>
      <c r="R170" s="456"/>
      <c r="S170" s="396"/>
      <c r="T170" s="456"/>
      <c r="U170" s="456"/>
      <c r="V170" s="456"/>
      <c r="W170" s="456"/>
      <c r="X170" s="456"/>
      <c r="Y170" s="456"/>
      <c r="Z170" s="456"/>
      <c r="AA170" s="456"/>
      <c r="AB170" s="456"/>
      <c r="AC170" s="456"/>
      <c r="AD170" s="456"/>
      <c r="AE170" s="456"/>
      <c r="AF170" s="430"/>
      <c r="AG170" s="456"/>
      <c r="AH170" s="456"/>
      <c r="AI170" s="456"/>
      <c r="AJ170" s="456"/>
      <c r="AK170" s="456"/>
      <c r="AL170" s="456"/>
      <c r="AM170" s="456"/>
      <c r="AN170" s="456"/>
      <c r="AO170" s="456"/>
      <c r="AP170" s="456"/>
      <c r="AQ170" s="456"/>
      <c r="AR170" s="456"/>
      <c r="AS170" s="396"/>
      <c r="AT170" s="456"/>
      <c r="AU170" s="430"/>
      <c r="AV170" s="456"/>
      <c r="AW170" s="396"/>
      <c r="AX170" s="396"/>
      <c r="AY170" s="396"/>
      <c r="AZ170" s="396"/>
      <c r="BA170" s="396"/>
      <c r="BB170" s="396"/>
      <c r="BC170" s="396"/>
      <c r="BD170" s="396"/>
      <c r="BE170" s="396"/>
      <c r="BF170" s="396"/>
      <c r="BG170" s="396"/>
      <c r="BH170" s="430"/>
      <c r="BI170" s="396"/>
      <c r="BJ170" s="396"/>
      <c r="BK170" s="396"/>
      <c r="BL170" s="396"/>
      <c r="BM170" s="396"/>
      <c r="BN170" s="396"/>
      <c r="BO170" s="396"/>
      <c r="BP170" s="396"/>
      <c r="BQ170" s="430"/>
      <c r="BR170" s="430"/>
      <c r="BS170" s="396"/>
      <c r="BT170" s="396"/>
      <c r="BU170" s="430"/>
      <c r="BV170" s="396"/>
      <c r="BW170" s="396"/>
      <c r="BX170" s="396"/>
      <c r="BY170" s="396"/>
      <c r="BZ170" s="396"/>
      <c r="CA170" s="396"/>
      <c r="CB170" s="396"/>
      <c r="CC170" s="396"/>
      <c r="CD170" s="396"/>
      <c r="CE170" s="396"/>
      <c r="CF170" s="396"/>
      <c r="CG170" s="396"/>
      <c r="CH170" s="430"/>
      <c r="CI170" s="396">
        <v>0</v>
      </c>
      <c r="CJ170" s="396">
        <v>5129.13</v>
      </c>
      <c r="CK170" s="396">
        <v>8848.18</v>
      </c>
      <c r="CL170" s="396">
        <v>8401.7199999999993</v>
      </c>
      <c r="CM170" s="396">
        <v>8512.43</v>
      </c>
      <c r="CN170" s="396">
        <v>8343.81</v>
      </c>
      <c r="CO170" s="396">
        <v>7910.4</v>
      </c>
      <c r="CP170" s="396">
        <v>8001.43</v>
      </c>
      <c r="CQ170" s="396">
        <v>16118.87</v>
      </c>
      <c r="CR170" s="396">
        <v>16234.4</v>
      </c>
      <c r="CS170" s="396">
        <v>15865.6</v>
      </c>
      <c r="CT170" s="396">
        <v>14494.34</v>
      </c>
      <c r="CU170" s="430">
        <f>SUM(CI170:CT170)</f>
        <v>117860.31</v>
      </c>
      <c r="CV170" s="430">
        <v>18951.64</v>
      </c>
      <c r="CW170" s="430">
        <v>17861.650000000001</v>
      </c>
      <c r="CX170" s="767">
        <v>17954.61</v>
      </c>
      <c r="CY170" s="767">
        <v>16889.87</v>
      </c>
      <c r="CZ170" s="767">
        <v>16943.45</v>
      </c>
      <c r="DA170" s="767">
        <v>16434.45</v>
      </c>
      <c r="DB170" s="767">
        <v>15408.19</v>
      </c>
      <c r="DC170" s="767">
        <v>15401.77</v>
      </c>
      <c r="DD170" s="934">
        <v>32417</v>
      </c>
      <c r="DE170" s="934">
        <v>32933.68</v>
      </c>
      <c r="DF170" s="934">
        <v>32374</v>
      </c>
      <c r="DG170" s="934">
        <v>28732</v>
      </c>
      <c r="DH170" s="396">
        <f t="shared" si="178"/>
        <v>262302.31</v>
      </c>
      <c r="DI170" s="934">
        <v>30968</v>
      </c>
      <c r="DJ170" s="934">
        <v>29576</v>
      </c>
      <c r="DK170" s="934">
        <v>29887</v>
      </c>
      <c r="DL170" s="934">
        <v>28346</v>
      </c>
      <c r="DM170" s="934">
        <v>28526</v>
      </c>
      <c r="DN170" s="934">
        <v>27767</v>
      </c>
      <c r="DO170" s="934">
        <v>26273</v>
      </c>
      <c r="DP170" s="934">
        <v>26441</v>
      </c>
      <c r="DQ170" s="934">
        <v>24905</v>
      </c>
      <c r="DR170" s="934">
        <v>25015</v>
      </c>
      <c r="DS170" s="934"/>
      <c r="DT170" s="934"/>
      <c r="DU170" s="396">
        <f t="shared" si="179"/>
        <v>277704</v>
      </c>
    </row>
    <row r="171" spans="1:127" ht="10.5" hidden="1" customHeight="1">
      <c r="A171" s="394" t="s">
        <v>735</v>
      </c>
      <c r="B171" s="396"/>
      <c r="C171" s="456"/>
      <c r="D171" s="456"/>
      <c r="E171" s="456"/>
      <c r="F171" s="396"/>
      <c r="G171" s="456"/>
      <c r="H171" s="456"/>
      <c r="I171" s="456"/>
      <c r="J171" s="456"/>
      <c r="K171" s="456"/>
      <c r="L171" s="456"/>
      <c r="M171" s="456"/>
      <c r="N171" s="456"/>
      <c r="O171" s="456"/>
      <c r="P171" s="456"/>
      <c r="Q171" s="456"/>
      <c r="R171" s="456"/>
      <c r="S171" s="396"/>
      <c r="T171" s="456"/>
      <c r="U171" s="456"/>
      <c r="V171" s="456"/>
      <c r="W171" s="456"/>
      <c r="X171" s="456"/>
      <c r="Y171" s="456"/>
      <c r="Z171" s="456"/>
      <c r="AA171" s="456"/>
      <c r="AB171" s="456"/>
      <c r="AC171" s="456"/>
      <c r="AD171" s="456"/>
      <c r="AE171" s="456"/>
      <c r="AF171" s="396"/>
      <c r="AG171" s="456"/>
      <c r="AH171" s="456"/>
      <c r="AI171" s="456"/>
      <c r="AJ171" s="456"/>
      <c r="AK171" s="456"/>
      <c r="AL171" s="456"/>
      <c r="AM171" s="456"/>
      <c r="AN171" s="456"/>
      <c r="AO171" s="456"/>
      <c r="AP171" s="456"/>
      <c r="AQ171" s="456"/>
      <c r="AR171" s="456"/>
      <c r="AS171" s="396"/>
      <c r="AT171" s="396"/>
      <c r="AU171" s="396"/>
      <c r="AV171" s="456"/>
      <c r="AW171" s="396"/>
      <c r="AX171" s="396"/>
      <c r="AY171" s="396"/>
      <c r="AZ171" s="396"/>
      <c r="BA171" s="396"/>
      <c r="BB171" s="396"/>
      <c r="BC171" s="396"/>
      <c r="BD171" s="396"/>
      <c r="BE171" s="396"/>
      <c r="BF171" s="396"/>
      <c r="BG171" s="396"/>
      <c r="BH171" s="396"/>
      <c r="BI171" s="396"/>
      <c r="BJ171" s="396"/>
      <c r="BK171" s="396"/>
      <c r="BL171" s="396"/>
      <c r="BM171" s="396"/>
      <c r="BN171" s="396"/>
      <c r="BO171" s="396"/>
      <c r="BP171" s="396"/>
      <c r="BQ171" s="430"/>
      <c r="BR171" s="430"/>
      <c r="BS171" s="396"/>
      <c r="BT171" s="396"/>
      <c r="BU171" s="396"/>
      <c r="BV171" s="396"/>
      <c r="BW171" s="396"/>
      <c r="BX171" s="396"/>
      <c r="BY171" s="396"/>
      <c r="BZ171" s="396"/>
      <c r="CA171" s="396"/>
      <c r="CB171" s="396"/>
      <c r="CC171" s="396"/>
      <c r="CD171" s="396"/>
      <c r="CE171" s="396"/>
      <c r="CF171" s="396"/>
      <c r="CG171" s="396"/>
      <c r="CH171" s="396"/>
      <c r="CI171" s="396"/>
      <c r="CJ171" s="396"/>
      <c r="CK171" s="396"/>
      <c r="CL171" s="396"/>
      <c r="CM171" s="396"/>
      <c r="CN171" s="396"/>
      <c r="CO171" s="396"/>
      <c r="CP171" s="396"/>
      <c r="CQ171" s="396"/>
      <c r="CR171" s="396"/>
      <c r="CS171" s="396"/>
      <c r="CT171" s="396"/>
      <c r="CU171" s="396"/>
      <c r="CV171" s="396"/>
      <c r="CW171" s="396"/>
      <c r="CX171" s="934"/>
      <c r="CY171" s="934"/>
      <c r="CZ171" s="934"/>
      <c r="DA171" s="934"/>
      <c r="DB171" s="767"/>
      <c r="DC171" s="767"/>
      <c r="DD171" s="934"/>
      <c r="DE171" s="934"/>
      <c r="DF171" s="934"/>
      <c r="DG171" s="934"/>
      <c r="DH171" s="396"/>
      <c r="DI171" s="934"/>
      <c r="DJ171" s="934"/>
      <c r="DK171" s="934"/>
      <c r="DL171" s="934"/>
      <c r="DM171" s="934"/>
      <c r="DN171" s="934"/>
      <c r="DO171" s="934"/>
      <c r="DP171" s="934"/>
      <c r="DQ171" s="934"/>
      <c r="DR171" s="934"/>
      <c r="DS171" s="934"/>
      <c r="DT171" s="934"/>
      <c r="DU171" s="396"/>
    </row>
    <row r="172" spans="1:127" ht="10.5" hidden="1" customHeight="1">
      <c r="A172" s="394" t="s">
        <v>127</v>
      </c>
      <c r="B172" s="396"/>
      <c r="C172" s="456"/>
      <c r="D172" s="456"/>
      <c r="E172" s="456"/>
      <c r="F172" s="396"/>
      <c r="G172" s="456"/>
      <c r="H172" s="456"/>
      <c r="I172" s="456"/>
      <c r="J172" s="456"/>
      <c r="K172" s="456"/>
      <c r="L172" s="456"/>
      <c r="M172" s="456"/>
      <c r="N172" s="456"/>
      <c r="O172" s="456"/>
      <c r="P172" s="456"/>
      <c r="Q172" s="456"/>
      <c r="R172" s="456"/>
      <c r="S172" s="396"/>
      <c r="T172" s="456"/>
      <c r="U172" s="456"/>
      <c r="V172" s="456"/>
      <c r="W172" s="456"/>
      <c r="X172" s="456"/>
      <c r="Y172" s="456"/>
      <c r="Z172" s="456"/>
      <c r="AA172" s="456"/>
      <c r="AB172" s="456"/>
      <c r="AC172" s="456"/>
      <c r="AD172" s="456"/>
      <c r="AE172" s="456"/>
      <c r="AF172" s="396"/>
      <c r="AG172" s="456"/>
      <c r="AH172" s="456"/>
      <c r="AI172" s="456"/>
      <c r="AJ172" s="456"/>
      <c r="AK172" s="456"/>
      <c r="AL172" s="456"/>
      <c r="AM172" s="456"/>
      <c r="AN172" s="456"/>
      <c r="AO172" s="456"/>
      <c r="AP172" s="456"/>
      <c r="AQ172" s="456"/>
      <c r="AR172" s="456"/>
      <c r="AS172" s="396"/>
      <c r="AT172" s="396"/>
      <c r="AU172" s="396"/>
      <c r="AV172" s="456"/>
      <c r="AW172" s="396"/>
      <c r="AX172" s="396"/>
      <c r="AY172" s="396"/>
      <c r="AZ172" s="396"/>
      <c r="BA172" s="396"/>
      <c r="BB172" s="396"/>
      <c r="BC172" s="396"/>
      <c r="BD172" s="396"/>
      <c r="BE172" s="396"/>
      <c r="BF172" s="396"/>
      <c r="BG172" s="396"/>
      <c r="BH172" s="396"/>
      <c r="BI172" s="396"/>
      <c r="BJ172" s="396"/>
      <c r="BK172" s="396"/>
      <c r="BL172" s="396"/>
      <c r="BM172" s="396"/>
      <c r="BN172" s="396"/>
      <c r="BO172" s="396"/>
      <c r="BP172" s="396"/>
      <c r="BQ172" s="430"/>
      <c r="BR172" s="430"/>
      <c r="BS172" s="396"/>
      <c r="BT172" s="396"/>
      <c r="BU172" s="396"/>
      <c r="BV172" s="396"/>
      <c r="BW172" s="396"/>
      <c r="BX172" s="396"/>
      <c r="BY172" s="396"/>
      <c r="BZ172" s="396"/>
      <c r="CA172" s="396"/>
      <c r="CB172" s="396"/>
      <c r="CC172" s="396"/>
      <c r="CD172" s="396"/>
      <c r="CE172" s="396"/>
      <c r="CF172" s="396"/>
      <c r="CG172" s="396"/>
      <c r="CH172" s="396"/>
      <c r="CI172" s="396"/>
      <c r="CJ172" s="396"/>
      <c r="CK172" s="396"/>
      <c r="CL172" s="396"/>
      <c r="CM172" s="396"/>
      <c r="CN172" s="396"/>
      <c r="CO172" s="396"/>
      <c r="CP172" s="396"/>
      <c r="CQ172" s="396"/>
      <c r="CR172" s="396"/>
      <c r="CS172" s="396"/>
      <c r="CT172" s="396"/>
      <c r="CU172" s="396"/>
      <c r="CV172" s="396"/>
      <c r="CW172" s="396"/>
      <c r="CX172" s="934"/>
      <c r="CY172" s="934"/>
      <c r="CZ172" s="934"/>
      <c r="DA172" s="934"/>
      <c r="DB172" s="767"/>
      <c r="DC172" s="767"/>
      <c r="DD172" s="934"/>
      <c r="DE172" s="934"/>
      <c r="DF172" s="934"/>
      <c r="DG172" s="934"/>
      <c r="DH172" s="396"/>
      <c r="DI172" s="934"/>
      <c r="DJ172" s="934"/>
      <c r="DK172" s="934"/>
      <c r="DL172" s="934"/>
      <c r="DM172" s="934"/>
      <c r="DN172" s="934"/>
      <c r="DO172" s="934"/>
      <c r="DP172" s="934"/>
      <c r="DQ172" s="934"/>
      <c r="DR172" s="934"/>
      <c r="DS172" s="934"/>
      <c r="DT172" s="934"/>
      <c r="DU172" s="396"/>
    </row>
    <row r="173" spans="1:127" ht="10.5" customHeight="1">
      <c r="A173" s="17" t="s">
        <v>745</v>
      </c>
      <c r="B173" s="18"/>
      <c r="C173" s="19"/>
      <c r="D173" s="19"/>
      <c r="E173" s="19"/>
      <c r="F173" s="18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8"/>
      <c r="T173" s="20">
        <f t="shared" ref="T173:CE173" si="180">SUM(T169:T170)</f>
        <v>0</v>
      </c>
      <c r="U173" s="19">
        <f t="shared" si="180"/>
        <v>0</v>
      </c>
      <c r="V173" s="19">
        <f t="shared" si="180"/>
        <v>0</v>
      </c>
      <c r="W173" s="19">
        <f t="shared" si="180"/>
        <v>0</v>
      </c>
      <c r="X173" s="19">
        <f t="shared" si="180"/>
        <v>0</v>
      </c>
      <c r="Y173" s="19">
        <f t="shared" si="180"/>
        <v>0</v>
      </c>
      <c r="Z173" s="19">
        <f t="shared" si="180"/>
        <v>0</v>
      </c>
      <c r="AA173" s="19">
        <f t="shared" si="180"/>
        <v>0</v>
      </c>
      <c r="AB173" s="19">
        <f t="shared" si="180"/>
        <v>0</v>
      </c>
      <c r="AC173" s="19">
        <f t="shared" si="180"/>
        <v>0</v>
      </c>
      <c r="AD173" s="19">
        <f t="shared" si="180"/>
        <v>0</v>
      </c>
      <c r="AE173" s="19">
        <f t="shared" si="180"/>
        <v>0</v>
      </c>
      <c r="AF173" s="397">
        <f t="shared" si="180"/>
        <v>0</v>
      </c>
      <c r="AG173" s="19">
        <f t="shared" si="180"/>
        <v>0</v>
      </c>
      <c r="AH173" s="19">
        <f t="shared" si="180"/>
        <v>0</v>
      </c>
      <c r="AI173" s="19">
        <f t="shared" si="180"/>
        <v>0</v>
      </c>
      <c r="AJ173" s="19">
        <f t="shared" si="180"/>
        <v>0</v>
      </c>
      <c r="AK173" s="19">
        <f t="shared" si="180"/>
        <v>0</v>
      </c>
      <c r="AL173" s="19">
        <f t="shared" si="180"/>
        <v>0</v>
      </c>
      <c r="AM173" s="19">
        <f t="shared" si="180"/>
        <v>0</v>
      </c>
      <c r="AN173" s="19">
        <f t="shared" si="180"/>
        <v>0</v>
      </c>
      <c r="AO173" s="19">
        <f t="shared" si="180"/>
        <v>0</v>
      </c>
      <c r="AP173" s="19">
        <f t="shared" si="180"/>
        <v>0</v>
      </c>
      <c r="AQ173" s="19">
        <f t="shared" si="180"/>
        <v>0</v>
      </c>
      <c r="AR173" s="19">
        <f t="shared" si="180"/>
        <v>0</v>
      </c>
      <c r="AS173" s="18">
        <f t="shared" si="180"/>
        <v>0</v>
      </c>
      <c r="AT173" s="19">
        <f t="shared" si="180"/>
        <v>0</v>
      </c>
      <c r="AU173" s="397">
        <f t="shared" si="180"/>
        <v>0</v>
      </c>
      <c r="AV173" s="19">
        <f t="shared" si="180"/>
        <v>0</v>
      </c>
      <c r="AW173" s="18">
        <f t="shared" si="180"/>
        <v>0</v>
      </c>
      <c r="AX173" s="18">
        <f t="shared" si="180"/>
        <v>0</v>
      </c>
      <c r="AY173" s="18">
        <f t="shared" si="180"/>
        <v>0</v>
      </c>
      <c r="AZ173" s="18">
        <f t="shared" si="180"/>
        <v>0</v>
      </c>
      <c r="BA173" s="18">
        <f t="shared" si="180"/>
        <v>0</v>
      </c>
      <c r="BB173" s="18">
        <f t="shared" si="180"/>
        <v>0</v>
      </c>
      <c r="BC173" s="18">
        <f t="shared" si="180"/>
        <v>0</v>
      </c>
      <c r="BD173" s="18">
        <f t="shared" si="180"/>
        <v>0</v>
      </c>
      <c r="BE173" s="18">
        <f t="shared" si="180"/>
        <v>0</v>
      </c>
      <c r="BF173" s="18">
        <f t="shared" si="180"/>
        <v>0</v>
      </c>
      <c r="BG173" s="18">
        <f t="shared" si="180"/>
        <v>0</v>
      </c>
      <c r="BH173" s="397">
        <f t="shared" si="180"/>
        <v>0</v>
      </c>
      <c r="BI173" s="18">
        <f t="shared" si="180"/>
        <v>0</v>
      </c>
      <c r="BJ173" s="18">
        <f t="shared" si="180"/>
        <v>0</v>
      </c>
      <c r="BK173" s="18">
        <f t="shared" si="180"/>
        <v>0</v>
      </c>
      <c r="BL173" s="18">
        <f t="shared" si="180"/>
        <v>0</v>
      </c>
      <c r="BM173" s="18">
        <f t="shared" si="180"/>
        <v>0</v>
      </c>
      <c r="BN173" s="18">
        <f t="shared" si="180"/>
        <v>0</v>
      </c>
      <c r="BO173" s="18">
        <f t="shared" si="180"/>
        <v>0</v>
      </c>
      <c r="BP173" s="18">
        <f t="shared" si="180"/>
        <v>0</v>
      </c>
      <c r="BQ173" s="18">
        <f t="shared" si="180"/>
        <v>0</v>
      </c>
      <c r="BR173" s="18">
        <f t="shared" si="180"/>
        <v>0</v>
      </c>
      <c r="BS173" s="18">
        <f t="shared" si="180"/>
        <v>0</v>
      </c>
      <c r="BT173" s="18">
        <f t="shared" si="180"/>
        <v>0</v>
      </c>
      <c r="BU173" s="397">
        <f t="shared" si="180"/>
        <v>0</v>
      </c>
      <c r="BV173" s="18">
        <f t="shared" si="180"/>
        <v>0</v>
      </c>
      <c r="BW173" s="18">
        <f t="shared" si="180"/>
        <v>0</v>
      </c>
      <c r="BX173" s="18">
        <f t="shared" si="180"/>
        <v>0</v>
      </c>
      <c r="BY173" s="18">
        <f t="shared" si="180"/>
        <v>0</v>
      </c>
      <c r="BZ173" s="18">
        <f t="shared" si="180"/>
        <v>0</v>
      </c>
      <c r="CA173" s="18">
        <f t="shared" si="180"/>
        <v>0</v>
      </c>
      <c r="CB173" s="18">
        <f t="shared" si="180"/>
        <v>0</v>
      </c>
      <c r="CC173" s="18">
        <f t="shared" si="180"/>
        <v>0</v>
      </c>
      <c r="CD173" s="18">
        <f t="shared" si="180"/>
        <v>0</v>
      </c>
      <c r="CE173" s="18">
        <f t="shared" si="180"/>
        <v>0</v>
      </c>
      <c r="CF173" s="18">
        <f t="shared" ref="CF173:CS173" si="181">SUM(CF169:CF170)</f>
        <v>0</v>
      </c>
      <c r="CG173" s="18">
        <f t="shared" si="181"/>
        <v>0</v>
      </c>
      <c r="CH173" s="397">
        <f t="shared" si="181"/>
        <v>0</v>
      </c>
      <c r="CI173" s="18">
        <f t="shared" si="181"/>
        <v>0</v>
      </c>
      <c r="CJ173" s="18">
        <f t="shared" si="181"/>
        <v>5129.13</v>
      </c>
      <c r="CK173" s="18">
        <f t="shared" si="181"/>
        <v>8848.18</v>
      </c>
      <c r="CL173" s="18">
        <f t="shared" si="181"/>
        <v>491616.18</v>
      </c>
      <c r="CM173" s="18">
        <f t="shared" si="181"/>
        <v>491726.88</v>
      </c>
      <c r="CN173" s="18">
        <f t="shared" si="181"/>
        <v>491558.27999999997</v>
      </c>
      <c r="CO173" s="18">
        <f t="shared" si="181"/>
        <v>491124.86000000004</v>
      </c>
      <c r="CP173" s="18">
        <f t="shared" si="181"/>
        <v>491215.88</v>
      </c>
      <c r="CQ173" s="18">
        <f t="shared" si="181"/>
        <v>502285.58</v>
      </c>
      <c r="CR173" s="18">
        <f t="shared" si="181"/>
        <v>502401.13</v>
      </c>
      <c r="CS173" s="18">
        <f t="shared" si="181"/>
        <v>502032.3</v>
      </c>
      <c r="CT173" s="18">
        <f t="shared" ref="CT173:CZ173" si="182">SUM(CT169:CT170)</f>
        <v>500661.06</v>
      </c>
      <c r="CU173" s="397">
        <f t="shared" si="182"/>
        <v>4478599.46</v>
      </c>
      <c r="CV173" s="397">
        <f t="shared" si="182"/>
        <v>505118.36</v>
      </c>
      <c r="CW173" s="397">
        <f t="shared" si="182"/>
        <v>504028.35000000003</v>
      </c>
      <c r="CX173" s="397">
        <f t="shared" si="182"/>
        <v>506480.64999999997</v>
      </c>
      <c r="CY173" s="397">
        <f t="shared" si="182"/>
        <v>580209.17000000004</v>
      </c>
      <c r="CZ173" s="397">
        <f t="shared" si="182"/>
        <v>915327.02999999991</v>
      </c>
      <c r="DA173" s="397">
        <f t="shared" ref="DA173:DI173" si="183">SUM(DA169:DA170)</f>
        <v>925133.22</v>
      </c>
      <c r="DB173" s="22">
        <f t="shared" si="183"/>
        <v>929091.64999999991</v>
      </c>
      <c r="DC173" s="22">
        <f t="shared" si="183"/>
        <v>970047.13</v>
      </c>
      <c r="DD173" s="22">
        <f t="shared" si="183"/>
        <v>1017239.62</v>
      </c>
      <c r="DE173" s="22">
        <f t="shared" si="183"/>
        <v>1091820.1599999999</v>
      </c>
      <c r="DF173" s="22">
        <f t="shared" ref="DF173:DG173" si="184">SUM(DF169:DF170)</f>
        <v>1151250.43</v>
      </c>
      <c r="DG173" s="22">
        <f t="shared" si="184"/>
        <v>1203088.3700000001</v>
      </c>
      <c r="DH173" s="397">
        <f t="shared" si="183"/>
        <v>10298834.140000002</v>
      </c>
      <c r="DI173" s="22">
        <f t="shared" si="183"/>
        <v>1227358.79</v>
      </c>
      <c r="DJ173" s="22">
        <f t="shared" ref="DJ173:DU173" si="185">SUM(DJ169:DJ170)</f>
        <v>1225966.75</v>
      </c>
      <c r="DK173" s="22">
        <f t="shared" si="185"/>
        <v>1224733.7</v>
      </c>
      <c r="DL173" s="22">
        <f t="shared" si="185"/>
        <v>1223192.6499999999</v>
      </c>
      <c r="DM173" s="22">
        <f t="shared" si="185"/>
        <v>1223372.6499999999</v>
      </c>
      <c r="DN173" s="22">
        <f t="shared" si="185"/>
        <v>1222613.6399999999</v>
      </c>
      <c r="DO173" s="22">
        <f>SUM(DO169:DO170)</f>
        <v>1221119.73</v>
      </c>
      <c r="DP173" s="22">
        <f t="shared" si="185"/>
        <v>1220482.81</v>
      </c>
      <c r="DQ173" s="22">
        <f t="shared" si="185"/>
        <v>1231033.19</v>
      </c>
      <c r="DR173" s="22">
        <f t="shared" si="185"/>
        <v>1240174.1100000001</v>
      </c>
      <c r="DS173" s="22">
        <f t="shared" si="185"/>
        <v>0</v>
      </c>
      <c r="DT173" s="22">
        <f t="shared" si="185"/>
        <v>0</v>
      </c>
      <c r="DU173" s="397">
        <f t="shared" si="185"/>
        <v>12260048.02</v>
      </c>
    </row>
    <row r="174" spans="1:127" ht="10.5" customHeight="1">
      <c r="A174" s="539"/>
      <c r="B174" s="762"/>
      <c r="C174" s="434"/>
      <c r="D174" s="434"/>
      <c r="E174" s="434"/>
      <c r="F174" s="762"/>
      <c r="G174" s="434"/>
      <c r="H174" s="434"/>
      <c r="I174" s="434"/>
      <c r="J174" s="434"/>
      <c r="K174" s="434"/>
      <c r="L174" s="434"/>
      <c r="M174" s="434"/>
      <c r="N174" s="434"/>
      <c r="O174" s="434"/>
      <c r="P174" s="434"/>
      <c r="Q174" s="434"/>
      <c r="R174" s="434"/>
      <c r="S174" s="762"/>
      <c r="T174" s="434"/>
      <c r="U174" s="434"/>
      <c r="V174" s="434"/>
      <c r="W174" s="434"/>
      <c r="X174" s="434"/>
      <c r="Y174" s="434"/>
      <c r="Z174" s="434"/>
      <c r="AA174" s="434"/>
      <c r="AB174" s="434"/>
      <c r="AC174" s="434"/>
      <c r="AD174" s="434"/>
      <c r="AE174" s="434"/>
      <c r="AF174" s="762"/>
      <c r="AG174" s="434"/>
      <c r="AH174" s="434"/>
      <c r="AI174" s="434"/>
      <c r="AJ174" s="434"/>
      <c r="AK174" s="434"/>
      <c r="AL174" s="434"/>
      <c r="AM174" s="434"/>
      <c r="AN174" s="434"/>
      <c r="AO174" s="434"/>
      <c r="AP174" s="434"/>
      <c r="AQ174" s="434"/>
      <c r="AR174" s="434"/>
      <c r="AS174" s="762"/>
      <c r="AT174" s="434"/>
      <c r="AU174" s="762"/>
      <c r="AV174" s="434"/>
      <c r="AW174" s="762"/>
      <c r="AX174" s="762"/>
      <c r="AY174" s="762"/>
      <c r="AZ174" s="762"/>
      <c r="BA174" s="762"/>
      <c r="BB174" s="762"/>
      <c r="BC174" s="762"/>
      <c r="BD174" s="762"/>
      <c r="BE174" s="762"/>
      <c r="BF174" s="762"/>
      <c r="BG174" s="762"/>
      <c r="BH174" s="762"/>
      <c r="BI174" s="762"/>
      <c r="BJ174" s="762"/>
      <c r="BK174" s="762"/>
      <c r="BL174" s="762"/>
      <c r="BM174" s="762"/>
      <c r="BN174" s="762"/>
      <c r="BO174" s="762"/>
      <c r="BP174" s="762"/>
      <c r="BQ174" s="762"/>
      <c r="BR174" s="762"/>
      <c r="BS174" s="762"/>
      <c r="BT174" s="762"/>
      <c r="BU174" s="762"/>
      <c r="BV174" s="762"/>
      <c r="BW174" s="762"/>
      <c r="BX174" s="762"/>
      <c r="BY174" s="762"/>
      <c r="BZ174" s="762"/>
      <c r="CA174" s="762"/>
      <c r="CB174" s="762"/>
      <c r="CC174" s="762"/>
      <c r="CD174" s="762"/>
      <c r="CE174" s="762"/>
      <c r="CF174" s="762"/>
      <c r="CG174" s="762"/>
      <c r="CH174" s="762"/>
      <c r="CI174" s="762"/>
      <c r="CJ174" s="762"/>
      <c r="CK174" s="762"/>
      <c r="CL174" s="762"/>
      <c r="CM174" s="762"/>
      <c r="CN174" s="762"/>
      <c r="CO174" s="762"/>
      <c r="CP174" s="762"/>
      <c r="CQ174" s="762"/>
      <c r="CR174" s="762"/>
      <c r="CS174" s="762"/>
      <c r="CT174" s="762"/>
      <c r="CU174" s="762"/>
      <c r="CV174" s="762"/>
      <c r="CW174" s="762"/>
      <c r="CX174" s="762"/>
      <c r="CY174" s="930"/>
      <c r="CZ174" s="930"/>
      <c r="DA174" s="930"/>
      <c r="DB174" s="967"/>
      <c r="DC174" s="967"/>
      <c r="DD174" s="967"/>
      <c r="DE174" s="967"/>
      <c r="DF174" s="967"/>
      <c r="DG174" s="967"/>
      <c r="DH174" s="762"/>
      <c r="DI174" s="967"/>
      <c r="DJ174" s="967"/>
      <c r="DK174" s="967"/>
      <c r="DL174" s="967"/>
      <c r="DM174" s="967"/>
      <c r="DN174" s="967"/>
      <c r="DO174" s="967"/>
      <c r="DP174" s="967"/>
      <c r="DQ174" s="967"/>
      <c r="DR174" s="967"/>
      <c r="DS174" s="967"/>
      <c r="DT174" s="967"/>
      <c r="DU174" s="762"/>
    </row>
    <row r="175" spans="1:127" ht="12.75" hidden="1" customHeight="1">
      <c r="A175" s="13" t="s">
        <v>127</v>
      </c>
      <c r="B175" s="12"/>
      <c r="C175" s="4"/>
      <c r="D175" s="4"/>
      <c r="E175" s="4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12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396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12"/>
      <c r="AT175" s="12"/>
      <c r="AU175" s="396"/>
      <c r="AV175" s="4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396"/>
      <c r="BI175" s="12"/>
      <c r="BJ175" s="12"/>
      <c r="BK175" s="12"/>
      <c r="BL175" s="12"/>
      <c r="BM175" s="12"/>
      <c r="BN175" s="12"/>
      <c r="BO175" s="12"/>
      <c r="BP175" s="12"/>
      <c r="BQ175" s="15"/>
      <c r="BR175" s="15"/>
      <c r="BS175" s="12"/>
      <c r="BT175" s="396"/>
      <c r="BU175" s="396"/>
      <c r="BV175" s="396"/>
      <c r="BW175" s="12"/>
      <c r="BX175" s="12"/>
      <c r="BY175" s="396"/>
      <c r="BZ175" s="396"/>
      <c r="CA175" s="396"/>
      <c r="CB175" s="396"/>
      <c r="CC175" s="396"/>
      <c r="CD175" s="396"/>
      <c r="CE175" s="396"/>
      <c r="CF175" s="396"/>
      <c r="CG175" s="396"/>
      <c r="CH175" s="396"/>
      <c r="CI175" s="396"/>
      <c r="CJ175" s="396"/>
      <c r="CK175" s="396"/>
      <c r="CL175" s="396"/>
      <c r="CM175" s="396"/>
      <c r="CN175" s="396"/>
      <c r="CO175" s="396"/>
      <c r="CP175" s="396"/>
      <c r="CQ175" s="396"/>
      <c r="CR175" s="396"/>
      <c r="CS175" s="396"/>
      <c r="CT175" s="396"/>
      <c r="CU175" s="396"/>
      <c r="CV175" s="396"/>
      <c r="CW175" s="396"/>
      <c r="CX175" s="396"/>
      <c r="CY175" s="934"/>
      <c r="CZ175" s="934"/>
      <c r="DA175" s="934"/>
      <c r="DB175" s="767"/>
      <c r="DC175" s="767"/>
      <c r="DD175" s="767"/>
      <c r="DE175" s="767"/>
      <c r="DF175" s="767"/>
      <c r="DG175" s="767"/>
      <c r="DH175" s="396"/>
      <c r="DI175" s="767"/>
      <c r="DJ175" s="767"/>
      <c r="DK175" s="767"/>
      <c r="DL175" s="767"/>
      <c r="DM175" s="767"/>
      <c r="DN175" s="767"/>
      <c r="DO175" s="767"/>
      <c r="DP175" s="767"/>
      <c r="DQ175" s="767"/>
      <c r="DR175" s="767"/>
      <c r="DS175" s="767"/>
      <c r="DT175" s="767"/>
      <c r="DU175" s="396"/>
    </row>
    <row r="176" spans="1:127" ht="11.25" hidden="1" customHeight="1">
      <c r="A176" s="2"/>
      <c r="B176" s="12"/>
      <c r="C176" s="4"/>
      <c r="D176" s="4"/>
      <c r="E176" s="4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12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396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12"/>
      <c r="AT176" s="12"/>
      <c r="AU176" s="396"/>
      <c r="AV176" s="4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396"/>
      <c r="BI176" s="12"/>
      <c r="BJ176" s="12"/>
      <c r="BK176" s="12"/>
      <c r="BL176" s="12"/>
      <c r="BM176" s="12"/>
      <c r="BN176" s="12"/>
      <c r="BO176" s="12"/>
      <c r="BP176" s="12"/>
      <c r="BQ176" s="15"/>
      <c r="BR176" s="15"/>
      <c r="BS176" s="12"/>
      <c r="BT176" s="396"/>
      <c r="BU176" s="396"/>
      <c r="BV176" s="396"/>
      <c r="BW176" s="12"/>
      <c r="BX176" s="12"/>
      <c r="BY176" s="396"/>
      <c r="BZ176" s="396"/>
      <c r="CA176" s="396"/>
      <c r="CB176" s="396"/>
      <c r="CC176" s="396"/>
      <c r="CD176" s="396"/>
      <c r="CE176" s="396"/>
      <c r="CF176" s="396"/>
      <c r="CG176" s="396"/>
      <c r="CH176" s="396"/>
      <c r="CI176" s="396"/>
      <c r="CJ176" s="396"/>
      <c r="CK176" s="396"/>
      <c r="CL176" s="396"/>
      <c r="CM176" s="396"/>
      <c r="CN176" s="396"/>
      <c r="CO176" s="396"/>
      <c r="CP176" s="396"/>
      <c r="CQ176" s="396"/>
      <c r="CR176" s="396"/>
      <c r="CS176" s="396"/>
      <c r="CT176" s="396"/>
      <c r="CU176" s="396"/>
      <c r="CV176" s="396"/>
      <c r="CW176" s="396"/>
      <c r="CX176" s="396"/>
      <c r="CY176" s="934"/>
      <c r="CZ176" s="934"/>
      <c r="DA176" s="934"/>
      <c r="DB176" s="767"/>
      <c r="DC176" s="767"/>
      <c r="DD176" s="767"/>
      <c r="DE176" s="767"/>
      <c r="DF176" s="767"/>
      <c r="DG176" s="767"/>
      <c r="DH176" s="396"/>
      <c r="DI176" s="767"/>
      <c r="DJ176" s="767"/>
      <c r="DK176" s="767"/>
      <c r="DL176" s="767"/>
      <c r="DM176" s="767"/>
      <c r="DN176" s="767"/>
      <c r="DO176" s="767"/>
      <c r="DP176" s="767"/>
      <c r="DQ176" s="767"/>
      <c r="DR176" s="767"/>
      <c r="DS176" s="767"/>
      <c r="DT176" s="767"/>
      <c r="DU176" s="396"/>
    </row>
    <row r="177" spans="1:125" ht="12.75" hidden="1" customHeight="1">
      <c r="A177" s="13" t="s">
        <v>128</v>
      </c>
      <c r="B177" s="12"/>
      <c r="C177" s="4"/>
      <c r="D177" s="4"/>
      <c r="E177" s="4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12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396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12"/>
      <c r="AT177" s="12"/>
      <c r="AU177" s="396"/>
      <c r="AV177" s="4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396"/>
      <c r="BI177" s="12"/>
      <c r="BJ177" s="12"/>
      <c r="BK177" s="12"/>
      <c r="BL177" s="12"/>
      <c r="BM177" s="12"/>
      <c r="BN177" s="12"/>
      <c r="BO177" s="12"/>
      <c r="BP177" s="12"/>
      <c r="BQ177" s="15"/>
      <c r="BR177" s="15"/>
      <c r="BS177" s="12"/>
      <c r="BT177" s="396"/>
      <c r="BU177" s="396"/>
      <c r="BV177" s="396"/>
      <c r="BW177" s="12"/>
      <c r="BX177" s="12"/>
      <c r="BY177" s="396"/>
      <c r="BZ177" s="396"/>
      <c r="CA177" s="396"/>
      <c r="CB177" s="396"/>
      <c r="CC177" s="396"/>
      <c r="CD177" s="396"/>
      <c r="CE177" s="396"/>
      <c r="CF177" s="396"/>
      <c r="CG177" s="396"/>
      <c r="CH177" s="396"/>
      <c r="CI177" s="396"/>
      <c r="CJ177" s="396"/>
      <c r="CK177" s="396"/>
      <c r="CL177" s="396"/>
      <c r="CM177" s="396"/>
      <c r="CN177" s="396"/>
      <c r="CO177" s="396"/>
      <c r="CP177" s="396"/>
      <c r="CQ177" s="396"/>
      <c r="CR177" s="396"/>
      <c r="CS177" s="396"/>
      <c r="CT177" s="396"/>
      <c r="CU177" s="396"/>
      <c r="CV177" s="396"/>
      <c r="CW177" s="396"/>
      <c r="CX177" s="396"/>
      <c r="CY177" s="934"/>
      <c r="CZ177" s="934"/>
      <c r="DA177" s="934"/>
      <c r="DB177" s="767"/>
      <c r="DC177" s="767"/>
      <c r="DD177" s="767"/>
      <c r="DE177" s="767"/>
      <c r="DF177" s="767"/>
      <c r="DG177" s="767"/>
      <c r="DH177" s="396"/>
      <c r="DI177" s="767"/>
      <c r="DJ177" s="767"/>
      <c r="DK177" s="767"/>
      <c r="DL177" s="767"/>
      <c r="DM177" s="767"/>
      <c r="DN177" s="767"/>
      <c r="DO177" s="767"/>
      <c r="DP177" s="767"/>
      <c r="DQ177" s="767"/>
      <c r="DR177" s="767"/>
      <c r="DS177" s="767"/>
      <c r="DT177" s="767"/>
      <c r="DU177" s="396"/>
    </row>
    <row r="178" spans="1:125" ht="12.75" hidden="1" customHeight="1">
      <c r="A178" s="17" t="s">
        <v>129</v>
      </c>
      <c r="B178" s="18">
        <f t="shared" ref="B178:T178" si="186">SUM(B159:B177)</f>
        <v>0</v>
      </c>
      <c r="C178" s="19">
        <f t="shared" si="186"/>
        <v>15084.84</v>
      </c>
      <c r="D178" s="19">
        <f t="shared" si="186"/>
        <v>16718.64</v>
      </c>
      <c r="E178" s="19">
        <f t="shared" si="186"/>
        <v>92834.010000000009</v>
      </c>
      <c r="F178" s="18">
        <f t="shared" si="186"/>
        <v>208592.65999999997</v>
      </c>
      <c r="G178" s="19">
        <f t="shared" si="186"/>
        <v>28682.170000000002</v>
      </c>
      <c r="H178" s="19">
        <f t="shared" si="186"/>
        <v>28913.77</v>
      </c>
      <c r="I178" s="19">
        <f t="shared" si="186"/>
        <v>29194.23</v>
      </c>
      <c r="J178" s="19">
        <f t="shared" si="186"/>
        <v>39275.410000000003</v>
      </c>
      <c r="K178" s="19">
        <f t="shared" si="186"/>
        <v>33766.67</v>
      </c>
      <c r="L178" s="19">
        <f t="shared" si="186"/>
        <v>34430.839999999997</v>
      </c>
      <c r="M178" s="19">
        <f t="shared" si="186"/>
        <v>33586.46</v>
      </c>
      <c r="N178" s="19">
        <f t="shared" si="186"/>
        <v>30641.260000000002</v>
      </c>
      <c r="O178" s="19">
        <f t="shared" si="186"/>
        <v>24442.370000000003</v>
      </c>
      <c r="P178" s="19">
        <f t="shared" si="186"/>
        <v>-5504.3599999999969</v>
      </c>
      <c r="Q178" s="19">
        <f t="shared" si="186"/>
        <v>41078.399999999994</v>
      </c>
      <c r="R178" s="19">
        <f t="shared" si="186"/>
        <v>169221.8</v>
      </c>
      <c r="S178" s="18">
        <f t="shared" si="186"/>
        <v>487729.02</v>
      </c>
      <c r="T178" s="20">
        <f t="shared" si="186"/>
        <v>141534.08000000002</v>
      </c>
      <c r="U178" s="19">
        <v>70024</v>
      </c>
      <c r="V178" s="19">
        <f>+V159+V158-V164</f>
        <v>39954.839999999997</v>
      </c>
      <c r="W178" s="19">
        <f t="shared" ref="W178:AE178" si="187">SUM(W159:W177)</f>
        <v>173522.97999999998</v>
      </c>
      <c r="X178" s="19">
        <f t="shared" si="187"/>
        <v>68127.14</v>
      </c>
      <c r="Y178" s="19">
        <f t="shared" si="187"/>
        <v>155989.22</v>
      </c>
      <c r="Z178" s="19">
        <f t="shared" si="187"/>
        <v>223810.71</v>
      </c>
      <c r="AA178" s="19">
        <f t="shared" si="187"/>
        <v>188218.75999999998</v>
      </c>
      <c r="AB178" s="19">
        <f t="shared" si="187"/>
        <v>164545.24000000002</v>
      </c>
      <c r="AC178" s="19">
        <f t="shared" si="187"/>
        <v>128711.48999999999</v>
      </c>
      <c r="AD178" s="19">
        <f t="shared" si="187"/>
        <v>192013.30000000002</v>
      </c>
      <c r="AE178" s="19">
        <f t="shared" si="187"/>
        <v>813089.86</v>
      </c>
      <c r="AF178" s="397">
        <v>1283712.6600000001</v>
      </c>
      <c r="AG178" s="19">
        <v>145224.35</v>
      </c>
      <c r="AH178" s="19">
        <v>141687.51999999999</v>
      </c>
      <c r="AI178" s="19">
        <v>137762.93</v>
      </c>
      <c r="AJ178" s="19">
        <v>134421.71</v>
      </c>
      <c r="AK178" s="19">
        <v>150058.43000000002</v>
      </c>
      <c r="AL178" s="19">
        <v>134040.76999999999</v>
      </c>
      <c r="AM178" s="19">
        <v>211430.48</v>
      </c>
      <c r="AN178" s="19">
        <v>173934.15999999997</v>
      </c>
      <c r="AO178" s="19">
        <v>240852.34</v>
      </c>
      <c r="AP178" s="19">
        <v>168759.41</v>
      </c>
      <c r="AQ178" s="19">
        <v>130437.79000000002</v>
      </c>
      <c r="AR178" s="19">
        <v>311714.2</v>
      </c>
      <c r="AS178" s="18">
        <v>2080324.09</v>
      </c>
      <c r="AT178" s="19">
        <v>889087.99</v>
      </c>
      <c r="AU178" s="397">
        <v>2969412.08</v>
      </c>
      <c r="AV178" s="19">
        <v>313794.51</v>
      </c>
      <c r="AW178" s="18">
        <v>288672.32999999996</v>
      </c>
      <c r="AX178" s="18">
        <v>62282.780000000028</v>
      </c>
      <c r="AY178" s="18">
        <v>328564.37000000005</v>
      </c>
      <c r="AZ178" s="18">
        <v>375783.22000000003</v>
      </c>
      <c r="BA178" s="18">
        <v>356624.41</v>
      </c>
      <c r="BB178" s="18">
        <v>329631.87</v>
      </c>
      <c r="BC178" s="18">
        <v>356088.13000000006</v>
      </c>
      <c r="BD178" s="18">
        <v>441420.44</v>
      </c>
      <c r="BE178" s="18">
        <v>80321.19</v>
      </c>
      <c r="BF178" s="18">
        <v>336910.32999999996</v>
      </c>
      <c r="BG178" s="18">
        <v>582754.36999999988</v>
      </c>
      <c r="BH178" s="397">
        <v>3852847.9499999993</v>
      </c>
      <c r="BI178" s="18">
        <f t="shared" ref="BI178:BT178" si="188">SUM(BI159:BI177)</f>
        <v>1037602</v>
      </c>
      <c r="BJ178" s="18">
        <f t="shared" si="188"/>
        <v>805490.82000000007</v>
      </c>
      <c r="BK178" s="18">
        <f t="shared" si="188"/>
        <v>817783.67999999993</v>
      </c>
      <c r="BL178" s="18">
        <f t="shared" si="188"/>
        <v>640426.25000000012</v>
      </c>
      <c r="BM178" s="18">
        <f t="shared" si="188"/>
        <v>699816.28</v>
      </c>
      <c r="BN178" s="18">
        <f t="shared" si="188"/>
        <v>1039328.6</v>
      </c>
      <c r="BO178" s="18">
        <f t="shared" si="188"/>
        <v>866121.57999999984</v>
      </c>
      <c r="BP178" s="18">
        <f t="shared" si="188"/>
        <v>1006491.24</v>
      </c>
      <c r="BQ178" s="22">
        <f t="shared" si="188"/>
        <v>609396</v>
      </c>
      <c r="BR178" s="22">
        <f t="shared" si="188"/>
        <v>460753.97</v>
      </c>
      <c r="BS178" s="18">
        <f t="shared" si="188"/>
        <v>801839.55</v>
      </c>
      <c r="BT178" s="18">
        <f t="shared" si="188"/>
        <v>3039382.72</v>
      </c>
      <c r="BU178" s="397">
        <f>SUM(BI178:BT178)</f>
        <v>11824432.690000001</v>
      </c>
      <c r="BV178" s="18">
        <f t="shared" ref="BV178:CG178" si="189">SUM(BV159:BV177)</f>
        <v>1397274.85</v>
      </c>
      <c r="BW178" s="18">
        <f t="shared" si="189"/>
        <v>1585237.81</v>
      </c>
      <c r="BX178" s="18">
        <f t="shared" si="189"/>
        <v>1379906.78</v>
      </c>
      <c r="BY178" s="18">
        <f t="shared" si="189"/>
        <v>1550420.3000000003</v>
      </c>
      <c r="BZ178" s="18">
        <f t="shared" si="189"/>
        <v>1637239.1500000001</v>
      </c>
      <c r="CA178" s="18">
        <f t="shared" si="189"/>
        <v>1721966.3599999999</v>
      </c>
      <c r="CB178" s="18">
        <f t="shared" si="189"/>
        <v>1798101.35</v>
      </c>
      <c r="CC178" s="18">
        <f t="shared" si="189"/>
        <v>1688057.85</v>
      </c>
      <c r="CD178" s="18">
        <f t="shared" si="189"/>
        <v>2010383.69</v>
      </c>
      <c r="CE178" s="18">
        <f t="shared" si="189"/>
        <v>669033.67000000016</v>
      </c>
      <c r="CF178" s="18">
        <f t="shared" si="189"/>
        <v>944143.57999999984</v>
      </c>
      <c r="CG178" s="18">
        <f t="shared" si="189"/>
        <v>2359007.7400000002</v>
      </c>
      <c r="CH178" s="397">
        <f>SUM(BV178:CG178)</f>
        <v>18740773.129999999</v>
      </c>
      <c r="CI178" s="18">
        <f t="shared" ref="CI178:CT178" si="190">SUM(CI159:CI177)</f>
        <v>2333241.6399999997</v>
      </c>
      <c r="CJ178" s="18">
        <f t="shared" si="190"/>
        <v>2057641.1099999999</v>
      </c>
      <c r="CK178" s="18">
        <f t="shared" si="190"/>
        <v>2673018.6700000004</v>
      </c>
      <c r="CL178" s="18">
        <f t="shared" si="190"/>
        <v>3199520.6100000003</v>
      </c>
      <c r="CM178" s="18">
        <f t="shared" si="190"/>
        <v>3024429.62</v>
      </c>
      <c r="CN178" s="18">
        <f t="shared" si="190"/>
        <v>3773560.5799999991</v>
      </c>
      <c r="CO178" s="18">
        <f t="shared" si="190"/>
        <v>4174738.2299999995</v>
      </c>
      <c r="CP178" s="18">
        <f t="shared" si="190"/>
        <v>4157606.4899999998</v>
      </c>
      <c r="CQ178" s="18">
        <f t="shared" si="190"/>
        <v>4944963.3</v>
      </c>
      <c r="CR178" s="18">
        <f t="shared" si="190"/>
        <v>1896622.6099999999</v>
      </c>
      <c r="CS178" s="18">
        <f t="shared" si="190"/>
        <v>3377351.7800000003</v>
      </c>
      <c r="CT178" s="18">
        <f t="shared" si="190"/>
        <v>4073883.19</v>
      </c>
      <c r="CU178" s="397">
        <f>SUM(CI178:CT178)</f>
        <v>39686577.829999998</v>
      </c>
      <c r="CV178" s="397">
        <f>SUM(CV159:CV177)</f>
        <v>7636009.3099999996</v>
      </c>
      <c r="CW178" s="397"/>
      <c r="CX178" s="397"/>
      <c r="CY178" s="933"/>
      <c r="CZ178" s="933"/>
      <c r="DA178" s="933"/>
      <c r="DB178" s="935"/>
      <c r="DC178" s="935"/>
      <c r="DD178" s="935"/>
      <c r="DE178" s="935"/>
      <c r="DF178" s="935"/>
      <c r="DG178" s="935"/>
      <c r="DH178" s="397">
        <f>SUM(CV178:DE178)</f>
        <v>7636009.3099999996</v>
      </c>
      <c r="DI178" s="935"/>
      <c r="DJ178" s="935"/>
      <c r="DK178" s="935"/>
      <c r="DL178" s="935"/>
      <c r="DM178" s="935"/>
      <c r="DN178" s="935"/>
      <c r="DO178" s="935"/>
      <c r="DP178" s="935"/>
      <c r="DQ178" s="935"/>
      <c r="DR178" s="935"/>
      <c r="DS178" s="935"/>
      <c r="DT178" s="935"/>
      <c r="DU178" s="397">
        <f>SUM(DI178:DR178)</f>
        <v>0</v>
      </c>
    </row>
    <row r="179" spans="1:125" ht="9.75" hidden="1" customHeight="1">
      <c r="A179" s="2"/>
      <c r="B179" s="12"/>
      <c r="C179" s="4"/>
      <c r="D179" s="4"/>
      <c r="E179" s="4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12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396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12"/>
      <c r="AT179" s="12"/>
      <c r="AU179" s="396"/>
      <c r="AV179" s="4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396"/>
      <c r="BI179" s="12"/>
      <c r="BJ179" s="12"/>
      <c r="BK179" s="12"/>
      <c r="BL179" s="12"/>
      <c r="BM179" s="12"/>
      <c r="BN179" s="12"/>
      <c r="BO179" s="12"/>
      <c r="BP179" s="12"/>
      <c r="BQ179" s="15"/>
      <c r="BR179" s="15"/>
      <c r="BS179" s="12"/>
      <c r="BT179" s="396"/>
      <c r="BU179" s="396"/>
      <c r="BV179" s="396"/>
      <c r="BW179" s="12"/>
      <c r="BX179" s="12"/>
      <c r="BY179" s="396"/>
      <c r="BZ179" s="396"/>
      <c r="CA179" s="396"/>
      <c r="CB179" s="396"/>
      <c r="CC179" s="396"/>
      <c r="CD179" s="396"/>
      <c r="CE179" s="396"/>
      <c r="CF179" s="396"/>
      <c r="CG179" s="396"/>
      <c r="CH179" s="396"/>
      <c r="CI179" s="396"/>
      <c r="CJ179" s="396"/>
      <c r="CK179" s="396"/>
      <c r="CL179" s="396"/>
      <c r="CM179" s="396"/>
      <c r="CN179" s="396"/>
      <c r="CO179" s="396"/>
      <c r="CP179" s="396"/>
      <c r="CQ179" s="396"/>
      <c r="CR179" s="396"/>
      <c r="CS179" s="396"/>
      <c r="CT179" s="396"/>
      <c r="CU179" s="396"/>
      <c r="CV179" s="396"/>
      <c r="CW179" s="396"/>
      <c r="CX179" s="396"/>
      <c r="CY179" s="934"/>
      <c r="CZ179" s="934"/>
      <c r="DA179" s="934"/>
      <c r="DB179" s="767"/>
      <c r="DC179" s="767"/>
      <c r="DD179" s="767"/>
      <c r="DE179" s="767"/>
      <c r="DF179" s="767"/>
      <c r="DG179" s="767"/>
      <c r="DH179" s="396"/>
      <c r="DI179" s="767"/>
      <c r="DJ179" s="767"/>
      <c r="DK179" s="767"/>
      <c r="DL179" s="767"/>
      <c r="DM179" s="767"/>
      <c r="DN179" s="767"/>
      <c r="DO179" s="767"/>
      <c r="DP179" s="767"/>
      <c r="DQ179" s="767"/>
      <c r="DR179" s="767"/>
      <c r="DS179" s="767"/>
      <c r="DT179" s="767"/>
      <c r="DU179" s="396"/>
    </row>
    <row r="180" spans="1:125" ht="12.75" customHeight="1" thickBot="1">
      <c r="A180" s="29" t="s">
        <v>130</v>
      </c>
      <c r="B180" s="30">
        <f>(0+(0)+(B178)+(B184))-(0)</f>
        <v>0</v>
      </c>
      <c r="C180" s="31">
        <f t="shared" ref="C180:R180" si="191">(0+(0)+(C178))-(0)</f>
        <v>15084.84</v>
      </c>
      <c r="D180" s="31">
        <f t="shared" si="191"/>
        <v>16718.64</v>
      </c>
      <c r="E180" s="31">
        <f t="shared" si="191"/>
        <v>92834.010000000009</v>
      </c>
      <c r="F180" s="30">
        <f t="shared" si="191"/>
        <v>208592.65999999997</v>
      </c>
      <c r="G180" s="31">
        <f t="shared" si="191"/>
        <v>28682.170000000002</v>
      </c>
      <c r="H180" s="31">
        <f t="shared" si="191"/>
        <v>28913.77</v>
      </c>
      <c r="I180" s="31">
        <f t="shared" si="191"/>
        <v>29194.23</v>
      </c>
      <c r="J180" s="31">
        <f t="shared" si="191"/>
        <v>39275.410000000003</v>
      </c>
      <c r="K180" s="31">
        <f t="shared" si="191"/>
        <v>33766.67</v>
      </c>
      <c r="L180" s="31">
        <f t="shared" si="191"/>
        <v>34430.839999999997</v>
      </c>
      <c r="M180" s="31">
        <f t="shared" si="191"/>
        <v>33586.46</v>
      </c>
      <c r="N180" s="31">
        <f t="shared" si="191"/>
        <v>30641.260000000002</v>
      </c>
      <c r="O180" s="31">
        <f t="shared" si="191"/>
        <v>24442.370000000003</v>
      </c>
      <c r="P180" s="31">
        <f t="shared" si="191"/>
        <v>-5504.3599999999969</v>
      </c>
      <c r="Q180" s="31">
        <f t="shared" si="191"/>
        <v>41078.399999999994</v>
      </c>
      <c r="R180" s="31">
        <f t="shared" si="191"/>
        <v>169221.8</v>
      </c>
      <c r="S180" s="30">
        <f>S178</f>
        <v>487729.02</v>
      </c>
      <c r="T180" s="32">
        <f>T178</f>
        <v>141534.08000000002</v>
      </c>
      <c r="U180" s="31">
        <f t="shared" ref="U180:AE180" si="192">+U178</f>
        <v>70024</v>
      </c>
      <c r="V180" s="31">
        <f t="shared" si="192"/>
        <v>39954.839999999997</v>
      </c>
      <c r="W180" s="31">
        <f t="shared" si="192"/>
        <v>173522.97999999998</v>
      </c>
      <c r="X180" s="31">
        <f t="shared" si="192"/>
        <v>68127.14</v>
      </c>
      <c r="Y180" s="31">
        <f t="shared" si="192"/>
        <v>155989.22</v>
      </c>
      <c r="Z180" s="31">
        <f t="shared" si="192"/>
        <v>223810.71</v>
      </c>
      <c r="AA180" s="31">
        <f t="shared" si="192"/>
        <v>188218.75999999998</v>
      </c>
      <c r="AB180" s="31">
        <f t="shared" si="192"/>
        <v>164545.24000000002</v>
      </c>
      <c r="AC180" s="31">
        <f t="shared" si="192"/>
        <v>128711.48999999999</v>
      </c>
      <c r="AD180" s="31">
        <f t="shared" si="192"/>
        <v>192013.30000000002</v>
      </c>
      <c r="AE180" s="31">
        <f t="shared" si="192"/>
        <v>813089.86</v>
      </c>
      <c r="AF180" s="454">
        <v>1283712.6600000001</v>
      </c>
      <c r="AG180" s="31">
        <v>145224.35</v>
      </c>
      <c r="AH180" s="31">
        <v>141687.51999999999</v>
      </c>
      <c r="AI180" s="31">
        <v>137762.93</v>
      </c>
      <c r="AJ180" s="31">
        <v>134421.71</v>
      </c>
      <c r="AK180" s="31">
        <v>150058.43000000002</v>
      </c>
      <c r="AL180" s="31">
        <v>134040.76999999999</v>
      </c>
      <c r="AM180" s="31">
        <v>211430.48</v>
      </c>
      <c r="AN180" s="31">
        <v>173934.15999999997</v>
      </c>
      <c r="AO180" s="31">
        <v>240852.34</v>
      </c>
      <c r="AP180" s="31">
        <v>168759.41</v>
      </c>
      <c r="AQ180" s="31">
        <v>130437.79000000002</v>
      </c>
      <c r="AR180" s="31">
        <v>311714.2</v>
      </c>
      <c r="AS180" s="30">
        <v>2080324.09</v>
      </c>
      <c r="AT180" s="31">
        <v>889087.99</v>
      </c>
      <c r="AU180" s="454">
        <v>2969412.08</v>
      </c>
      <c r="AV180" s="31">
        <v>313794.51</v>
      </c>
      <c r="AW180" s="30">
        <v>288672.32999999996</v>
      </c>
      <c r="AX180" s="30">
        <v>62282.780000000028</v>
      </c>
      <c r="AY180" s="30">
        <v>328564.37000000005</v>
      </c>
      <c r="AZ180" s="30">
        <v>375783.22000000003</v>
      </c>
      <c r="BA180" s="30">
        <v>356624.41</v>
      </c>
      <c r="BB180" s="30">
        <v>329631.87</v>
      </c>
      <c r="BC180" s="30">
        <v>356088.13000000006</v>
      </c>
      <c r="BD180" s="30">
        <v>441420.44</v>
      </c>
      <c r="BE180" s="30">
        <v>80321.19</v>
      </c>
      <c r="BF180" s="30">
        <v>336910.32999999996</v>
      </c>
      <c r="BG180" s="30">
        <v>582754.36999999988</v>
      </c>
      <c r="BH180" s="454">
        <v>3852847.9499999993</v>
      </c>
      <c r="BI180" s="30">
        <f t="shared" ref="BI180:BS180" si="193">+BI178</f>
        <v>1037602</v>
      </c>
      <c r="BJ180" s="30">
        <f t="shared" si="193"/>
        <v>805490.82000000007</v>
      </c>
      <c r="BK180" s="30">
        <f t="shared" si="193"/>
        <v>817783.67999999993</v>
      </c>
      <c r="BL180" s="30">
        <f t="shared" si="193"/>
        <v>640426.25000000012</v>
      </c>
      <c r="BM180" s="30">
        <f t="shared" si="193"/>
        <v>699816.28</v>
      </c>
      <c r="BN180" s="30">
        <f t="shared" si="193"/>
        <v>1039328.6</v>
      </c>
      <c r="BO180" s="30">
        <f t="shared" si="193"/>
        <v>866121.57999999984</v>
      </c>
      <c r="BP180" s="30">
        <f t="shared" si="193"/>
        <v>1006491.24</v>
      </c>
      <c r="BQ180" s="35">
        <f t="shared" si="193"/>
        <v>609396</v>
      </c>
      <c r="BR180" s="35">
        <f t="shared" si="193"/>
        <v>460753.97</v>
      </c>
      <c r="BS180" s="30">
        <f t="shared" si="193"/>
        <v>801839.55</v>
      </c>
      <c r="BT180" s="30">
        <f>+BT178</f>
        <v>3039382.72</v>
      </c>
      <c r="BU180" s="454">
        <f>SUM(BI180:BT180)</f>
        <v>11824432.690000001</v>
      </c>
      <c r="BV180" s="30">
        <f>+BV178</f>
        <v>1397274.85</v>
      </c>
      <c r="BW180" s="30">
        <f>+BW178</f>
        <v>1585237.81</v>
      </c>
      <c r="BX180" s="30">
        <f t="shared" ref="BX180:CK180" si="194">+BX178</f>
        <v>1379906.78</v>
      </c>
      <c r="BY180" s="30">
        <f t="shared" si="194"/>
        <v>1550420.3000000003</v>
      </c>
      <c r="BZ180" s="30">
        <f t="shared" si="194"/>
        <v>1637239.1500000001</v>
      </c>
      <c r="CA180" s="30">
        <f t="shared" si="194"/>
        <v>1721966.3599999999</v>
      </c>
      <c r="CB180" s="30">
        <f t="shared" si="194"/>
        <v>1798101.35</v>
      </c>
      <c r="CC180" s="30">
        <f t="shared" si="194"/>
        <v>1688057.85</v>
      </c>
      <c r="CD180" s="30">
        <f t="shared" si="194"/>
        <v>2010383.69</v>
      </c>
      <c r="CE180" s="30">
        <f t="shared" si="194"/>
        <v>669033.67000000016</v>
      </c>
      <c r="CF180" s="30">
        <f t="shared" si="194"/>
        <v>944143.57999999984</v>
      </c>
      <c r="CG180" s="30">
        <f t="shared" si="194"/>
        <v>2359007.7400000002</v>
      </c>
      <c r="CH180" s="454">
        <f>SUM(BV180:CG180)</f>
        <v>18740773.129999999</v>
      </c>
      <c r="CI180" s="30">
        <f t="shared" si="194"/>
        <v>2333241.6399999997</v>
      </c>
      <c r="CJ180" s="30">
        <f t="shared" si="194"/>
        <v>2057641.1099999999</v>
      </c>
      <c r="CK180" s="30">
        <f t="shared" si="194"/>
        <v>2673018.6700000004</v>
      </c>
      <c r="CL180" s="30">
        <f t="shared" ref="CL180:CT180" si="195">+CL178</f>
        <v>3199520.6100000003</v>
      </c>
      <c r="CM180" s="30">
        <f t="shared" si="195"/>
        <v>3024429.62</v>
      </c>
      <c r="CN180" s="30">
        <f t="shared" si="195"/>
        <v>3773560.5799999991</v>
      </c>
      <c r="CO180" s="30">
        <f t="shared" si="195"/>
        <v>4174738.2299999995</v>
      </c>
      <c r="CP180" s="30">
        <f t="shared" si="195"/>
        <v>4157606.4899999998</v>
      </c>
      <c r="CQ180" s="30">
        <f t="shared" si="195"/>
        <v>4944963.3</v>
      </c>
      <c r="CR180" s="30">
        <f t="shared" si="195"/>
        <v>1896622.6099999999</v>
      </c>
      <c r="CS180" s="30">
        <f t="shared" si="195"/>
        <v>3377351.7800000003</v>
      </c>
      <c r="CT180" s="30">
        <f t="shared" si="195"/>
        <v>4073883.19</v>
      </c>
      <c r="CU180" s="454">
        <f>SUM(CI180:CT180)</f>
        <v>39686577.829999998</v>
      </c>
      <c r="CV180" s="454">
        <f t="shared" ref="CV180:DB180" si="196">CV166+CV173</f>
        <v>3182511.8000000003</v>
      </c>
      <c r="CW180" s="454">
        <f t="shared" si="196"/>
        <v>3146270.0100000002</v>
      </c>
      <c r="CX180" s="454">
        <f t="shared" si="196"/>
        <v>3571825.69</v>
      </c>
      <c r="CY180" s="454">
        <f t="shared" si="196"/>
        <v>2997141.9400000004</v>
      </c>
      <c r="CZ180" s="454">
        <f t="shared" si="196"/>
        <v>3877664.65</v>
      </c>
      <c r="DA180" s="454">
        <f t="shared" si="196"/>
        <v>3825339.7699999996</v>
      </c>
      <c r="DB180" s="35">
        <f t="shared" si="196"/>
        <v>3939635.0800000005</v>
      </c>
      <c r="DC180" s="35">
        <f t="shared" ref="DC180:DE180" si="197">DC166+DC173</f>
        <v>3411945.9899999993</v>
      </c>
      <c r="DD180" s="35">
        <f t="shared" ref="DD180" si="198">DD166+DD173</f>
        <v>4524386.6800000006</v>
      </c>
      <c r="DE180" s="35">
        <f t="shared" si="197"/>
        <v>2838169.1500000004</v>
      </c>
      <c r="DF180" s="35">
        <f t="shared" ref="DF180:DG180" si="199">DF166+DF173</f>
        <v>3158307.74</v>
      </c>
      <c r="DG180" s="35">
        <f t="shared" si="199"/>
        <v>4857018.34</v>
      </c>
      <c r="DH180" s="454">
        <f>SUM(CV180:DG180)</f>
        <v>43330216.840000004</v>
      </c>
      <c r="DI180" s="35">
        <f t="shared" ref="DI180:DJ180" si="200">DI166+DI173</f>
        <v>4141521.34</v>
      </c>
      <c r="DJ180" s="35">
        <f t="shared" si="200"/>
        <v>3614776.3699999996</v>
      </c>
      <c r="DK180" s="35">
        <f t="shared" ref="DK180:DT180" si="201">DK166+DK173</f>
        <v>4306064.5</v>
      </c>
      <c r="DL180" s="35">
        <f t="shared" si="201"/>
        <v>3865168.3000000003</v>
      </c>
      <c r="DM180" s="35">
        <f t="shared" si="201"/>
        <v>3810194.4799999995</v>
      </c>
      <c r="DN180" s="35">
        <f t="shared" si="201"/>
        <v>3991332.3099999996</v>
      </c>
      <c r="DO180" s="35">
        <f>DO166+DO173</f>
        <v>3702111.91</v>
      </c>
      <c r="DP180" s="35">
        <f t="shared" si="201"/>
        <v>3958441.6200000006</v>
      </c>
      <c r="DQ180" s="35">
        <f t="shared" si="201"/>
        <v>3966043.62</v>
      </c>
      <c r="DR180" s="35">
        <f t="shared" si="201"/>
        <v>1032657.2500000002</v>
      </c>
      <c r="DS180" s="35">
        <f t="shared" si="201"/>
        <v>0</v>
      </c>
      <c r="DT180" s="35">
        <f t="shared" si="201"/>
        <v>0</v>
      </c>
      <c r="DU180" s="454">
        <f>SUM(DI180:DT180)</f>
        <v>36388311.699999996</v>
      </c>
    </row>
    <row r="181" spans="1:125" ht="15" customHeight="1" thickTop="1">
      <c r="AF181" s="938"/>
      <c r="AU181" s="938"/>
      <c r="BH181" s="938"/>
      <c r="BU181" s="938"/>
      <c r="CH181" s="938"/>
      <c r="CU181" s="938"/>
      <c r="CV181" s="938"/>
      <c r="CW181" s="938"/>
      <c r="CX181" s="938"/>
      <c r="CY181" s="938"/>
      <c r="CZ181" s="938"/>
      <c r="DA181" s="938"/>
      <c r="DB181" s="938"/>
      <c r="DC181" s="938"/>
      <c r="DD181" s="938"/>
      <c r="DE181" s="938"/>
      <c r="DF181" s="938"/>
      <c r="DG181" s="938"/>
      <c r="DH181" s="938"/>
      <c r="DI181" s="938"/>
      <c r="DJ181" s="938"/>
      <c r="DK181" s="938"/>
      <c r="DL181" s="938"/>
      <c r="DM181" s="938"/>
      <c r="DN181" s="938"/>
      <c r="DO181" s="938"/>
      <c r="DP181" s="938"/>
      <c r="DQ181" s="938"/>
      <c r="DR181" s="938"/>
      <c r="DS181" s="938"/>
      <c r="DT181" s="938"/>
      <c r="DU181" s="938"/>
    </row>
    <row r="182" spans="1:125" ht="12.75" customHeight="1">
      <c r="A182" s="13" t="s">
        <v>131</v>
      </c>
      <c r="B182" s="12"/>
      <c r="C182" s="4"/>
      <c r="D182" s="4"/>
      <c r="E182" s="4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12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396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12"/>
      <c r="AT182" s="12"/>
      <c r="AU182" s="396"/>
      <c r="AV182" s="4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396"/>
      <c r="BI182" s="12"/>
      <c r="BJ182" s="12"/>
      <c r="BK182" s="12"/>
      <c r="BL182" s="12"/>
      <c r="BM182" s="12"/>
      <c r="BN182" s="12"/>
      <c r="BO182" s="12"/>
      <c r="BP182" s="12"/>
      <c r="BQ182" s="15"/>
      <c r="BR182" s="15"/>
      <c r="BS182" s="12"/>
      <c r="BT182" s="396"/>
      <c r="BU182" s="396"/>
      <c r="BV182" s="396"/>
      <c r="BW182" s="12"/>
      <c r="BX182" s="12"/>
      <c r="BY182" s="396"/>
      <c r="BZ182" s="396"/>
      <c r="CA182" s="396"/>
      <c r="CB182" s="396"/>
      <c r="CC182" s="396"/>
      <c r="CD182" s="396"/>
      <c r="CE182" s="396"/>
      <c r="CF182" s="396"/>
      <c r="CG182" s="396"/>
      <c r="CH182" s="396"/>
      <c r="CI182" s="396"/>
      <c r="CJ182" s="396"/>
      <c r="CK182" s="396"/>
      <c r="CL182" s="396"/>
      <c r="CM182" s="396"/>
      <c r="CN182" s="396"/>
      <c r="CO182" s="396"/>
      <c r="CP182" s="396"/>
      <c r="CQ182" s="396"/>
      <c r="CR182" s="396"/>
      <c r="CS182" s="396"/>
      <c r="CT182" s="396"/>
      <c r="CU182" s="396"/>
      <c r="CV182" s="396"/>
      <c r="CW182" s="396"/>
      <c r="CX182" s="934"/>
      <c r="CY182" s="934"/>
      <c r="CZ182" s="934"/>
      <c r="DA182" s="938"/>
      <c r="DB182" s="938"/>
      <c r="DC182" s="938"/>
      <c r="DD182" s="938"/>
      <c r="DE182" s="934"/>
      <c r="DF182" s="934"/>
      <c r="DG182" s="934"/>
      <c r="DH182" s="396"/>
      <c r="DI182" s="934"/>
      <c r="DJ182" s="934"/>
      <c r="DK182" s="934"/>
      <c r="DL182" s="934"/>
      <c r="DM182" s="934"/>
      <c r="DN182" s="934"/>
      <c r="DO182" s="934"/>
      <c r="DP182" s="934"/>
      <c r="DQ182" s="934"/>
      <c r="DR182" s="934"/>
      <c r="DS182" s="934"/>
      <c r="DT182" s="934"/>
      <c r="DU182" s="396"/>
    </row>
    <row r="183" spans="1:125" ht="12.75" customHeight="1">
      <c r="A183" s="2" t="s">
        <v>132</v>
      </c>
      <c r="B183" s="12">
        <v>0</v>
      </c>
      <c r="C183" s="4"/>
      <c r="D183" s="4"/>
      <c r="E183" s="4">
        <v>236189.68</v>
      </c>
      <c r="F183" s="12">
        <f>E183</f>
        <v>236189.68</v>
      </c>
      <c r="G183" s="4">
        <v>-57332</v>
      </c>
      <c r="H183" s="4">
        <v>-57332</v>
      </c>
      <c r="I183" s="4">
        <f>-57332+0.54</f>
        <v>-57331.46</v>
      </c>
      <c r="J183" s="4">
        <f>-57332+0.2</f>
        <v>-57331.8</v>
      </c>
      <c r="K183" s="4">
        <f>-49650-0.43</f>
        <v>-49650.43</v>
      </c>
      <c r="L183" s="4">
        <v>-16387.38</v>
      </c>
      <c r="M183" s="4"/>
      <c r="N183" s="4"/>
      <c r="O183" s="4"/>
      <c r="P183" s="4"/>
      <c r="Q183" s="4"/>
      <c r="R183" s="4">
        <v>234150.06</v>
      </c>
      <c r="S183" s="12">
        <f>SUM(G183:R183)</f>
        <v>-61215.010000000009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-91483.5</v>
      </c>
      <c r="AF183" s="396">
        <v>-91483.5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12">
        <v>0</v>
      </c>
      <c r="AT183" s="4">
        <v>-257401.05</v>
      </c>
      <c r="AU183" s="396">
        <v>-257401.05</v>
      </c>
      <c r="AV183" s="4">
        <v>-1054950.96</v>
      </c>
      <c r="AW183" s="12">
        <v>-1158331.77</v>
      </c>
      <c r="AX183" s="12">
        <v>-355594.11</v>
      </c>
      <c r="AY183" s="12">
        <v>-685530.83</v>
      </c>
      <c r="AZ183" s="12">
        <v>-280769.36</v>
      </c>
      <c r="BA183" s="12">
        <v>176853.59</v>
      </c>
      <c r="BB183" s="12">
        <v>-177758.69</v>
      </c>
      <c r="BC183" s="12">
        <v>735142.54</v>
      </c>
      <c r="BD183" s="12">
        <v>-233263.64</v>
      </c>
      <c r="BE183" s="12">
        <v>366320.33</v>
      </c>
      <c r="BF183" s="12">
        <v>740144.64000000001</v>
      </c>
      <c r="BG183" s="12">
        <v>295820.12</v>
      </c>
      <c r="BH183" s="396">
        <v>-1631918.1399999997</v>
      </c>
      <c r="BI183" s="12">
        <v>-29542.46</v>
      </c>
      <c r="BJ183" s="12">
        <v>-126309.65</v>
      </c>
      <c r="BK183" s="12">
        <v>-167214.93</v>
      </c>
      <c r="BL183" s="12">
        <v>-93974.76</v>
      </c>
      <c r="BM183" s="12">
        <v>-44808.72</v>
      </c>
      <c r="BN183" s="12">
        <v>-695708.4</v>
      </c>
      <c r="BO183" s="12">
        <v>-330331.32</v>
      </c>
      <c r="BP183" s="12">
        <v>-714219.79</v>
      </c>
      <c r="BQ183" s="15">
        <v>-323585</v>
      </c>
      <c r="BR183" s="15">
        <v>0</v>
      </c>
      <c r="BS183" s="12">
        <v>0</v>
      </c>
      <c r="BT183" s="430">
        <v>381182.29</v>
      </c>
      <c r="BU183" s="396">
        <f>SUM(BI183:BT183)</f>
        <v>-2144512.7400000002</v>
      </c>
      <c r="BV183" s="396">
        <v>0</v>
      </c>
      <c r="BW183" s="12">
        <v>0</v>
      </c>
      <c r="BX183" s="12">
        <v>0</v>
      </c>
      <c r="BY183" s="396">
        <v>0</v>
      </c>
      <c r="BZ183" s="396">
        <v>0</v>
      </c>
      <c r="CA183" s="396">
        <v>0</v>
      </c>
      <c r="CB183" s="396">
        <v>0</v>
      </c>
      <c r="CC183" s="396">
        <v>0</v>
      </c>
      <c r="CD183" s="396">
        <v>0</v>
      </c>
      <c r="CE183" s="396">
        <v>0</v>
      </c>
      <c r="CF183" s="396">
        <v>0</v>
      </c>
      <c r="CG183" s="396">
        <v>-1798140.49</v>
      </c>
      <c r="CH183" s="396">
        <f>SUM(BV183:CG183)</f>
        <v>-1798140.49</v>
      </c>
      <c r="CI183" s="396">
        <v>0</v>
      </c>
      <c r="CJ183" s="396">
        <v>0</v>
      </c>
      <c r="CK183" s="396">
        <v>0</v>
      </c>
      <c r="CL183" s="396">
        <v>0</v>
      </c>
      <c r="CM183" s="396">
        <v>0</v>
      </c>
      <c r="CN183" s="396">
        <v>0</v>
      </c>
      <c r="CO183" s="396">
        <v>0</v>
      </c>
      <c r="CP183" s="396">
        <v>0</v>
      </c>
      <c r="CQ183" s="396">
        <v>0</v>
      </c>
      <c r="CR183" s="396">
        <v>0</v>
      </c>
      <c r="CS183" s="396">
        <v>0</v>
      </c>
      <c r="CT183" s="396">
        <v>-23443629.420000002</v>
      </c>
      <c r="CU183" s="396">
        <f>SUM(CI183:CT183)</f>
        <v>-23443629.420000002</v>
      </c>
      <c r="CV183" s="396">
        <v>0</v>
      </c>
      <c r="CW183" s="396">
        <v>0</v>
      </c>
      <c r="CX183" s="934">
        <v>0</v>
      </c>
      <c r="CY183" s="934">
        <v>0</v>
      </c>
      <c r="CZ183" s="934">
        <v>0</v>
      </c>
      <c r="DA183" s="934">
        <v>0</v>
      </c>
      <c r="DB183" s="767">
        <v>0</v>
      </c>
      <c r="DC183" s="767">
        <v>0</v>
      </c>
      <c r="DD183" s="767">
        <v>0</v>
      </c>
      <c r="DE183" s="934">
        <v>0</v>
      </c>
      <c r="DF183" s="934">
        <v>0</v>
      </c>
      <c r="DG183" s="934">
        <v>-24472325.199999999</v>
      </c>
      <c r="DH183" s="396">
        <f>SUM(CV183:DG183)</f>
        <v>-24472325.199999999</v>
      </c>
      <c r="DI183" s="934">
        <v>0</v>
      </c>
      <c r="DJ183" s="934"/>
      <c r="DK183" s="934"/>
      <c r="DL183" s="934"/>
      <c r="DM183" s="934"/>
      <c r="DN183" s="934"/>
      <c r="DO183" s="934"/>
      <c r="DP183" s="934"/>
      <c r="DQ183" s="934"/>
      <c r="DR183" s="934"/>
      <c r="DS183" s="934"/>
      <c r="DT183" s="934"/>
      <c r="DU183" s="396">
        <f>SUM(DI183:DT183)</f>
        <v>0</v>
      </c>
    </row>
    <row r="184" spans="1:125" ht="13.5" customHeight="1">
      <c r="A184" s="2" t="s">
        <v>133</v>
      </c>
      <c r="B184" s="12"/>
      <c r="C184" s="4"/>
      <c r="D184" s="4"/>
      <c r="E184" s="4"/>
      <c r="F184" s="12"/>
      <c r="G184" s="4"/>
      <c r="H184" s="4"/>
      <c r="I184" s="4"/>
      <c r="J184" s="4"/>
      <c r="K184" s="4">
        <v>0</v>
      </c>
      <c r="L184" s="4"/>
      <c r="M184" s="4"/>
      <c r="N184" s="4"/>
      <c r="O184" s="4"/>
      <c r="P184" s="4"/>
      <c r="Q184" s="4"/>
      <c r="R184" s="4">
        <v>193549</v>
      </c>
      <c r="S184" s="12">
        <f>SUM(G184:R184)</f>
        <v>193549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8064.53</v>
      </c>
      <c r="AE184" s="4">
        <v>769038.88</v>
      </c>
      <c r="AF184" s="396">
        <v>777103.41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12">
        <v>0</v>
      </c>
      <c r="AT184" s="4">
        <v>1290261.3899999999</v>
      </c>
      <c r="AU184" s="396">
        <v>1290261.3899999999</v>
      </c>
      <c r="AV184" s="4">
        <v>303209.53000000003</v>
      </c>
      <c r="AW184" s="12">
        <v>431926.56</v>
      </c>
      <c r="AX184" s="12">
        <v>-263263.28999999998</v>
      </c>
      <c r="AY184" s="12">
        <v>336706.26</v>
      </c>
      <c r="AZ184" s="12">
        <v>214292.56</v>
      </c>
      <c r="BA184" s="12">
        <v>-108773.07</v>
      </c>
      <c r="BB184" s="12">
        <v>275202.86</v>
      </c>
      <c r="BC184" s="12">
        <v>-676548.89</v>
      </c>
      <c r="BD184" s="12">
        <v>223827.86</v>
      </c>
      <c r="BE184" s="12">
        <v>-203066.7</v>
      </c>
      <c r="BF184" s="12">
        <v>-386275.73</v>
      </c>
      <c r="BG184" s="12">
        <v>546983.56999999995</v>
      </c>
      <c r="BH184" s="396">
        <v>694221.52000000014</v>
      </c>
      <c r="BI184" s="12">
        <v>79411.14</v>
      </c>
      <c r="BJ184" s="12">
        <v>476603.2</v>
      </c>
      <c r="BK184" s="12">
        <v>488919.46</v>
      </c>
      <c r="BL184" s="12">
        <v>133604.32</v>
      </c>
      <c r="BM184" s="12">
        <v>-140731.4</v>
      </c>
      <c r="BN184" s="12">
        <v>797013.22</v>
      </c>
      <c r="BO184" s="12">
        <v>189436.2</v>
      </c>
      <c r="BP184" s="12">
        <v>928845.26</v>
      </c>
      <c r="BQ184" s="15">
        <v>424307</v>
      </c>
      <c r="BR184" s="15">
        <v>444540.05</v>
      </c>
      <c r="BS184" s="12">
        <v>157837.28</v>
      </c>
      <c r="BT184" s="430">
        <v>-1265135.82</v>
      </c>
      <c r="BU184" s="396">
        <f>SUM(BI184:BT184)</f>
        <v>2714649.9099999992</v>
      </c>
      <c r="BV184" s="396">
        <v>55652.72</v>
      </c>
      <c r="BW184" s="12">
        <v>-164871.71</v>
      </c>
      <c r="BX184" s="490">
        <v>-594515</v>
      </c>
      <c r="BY184" s="490">
        <v>7192.51</v>
      </c>
      <c r="BZ184" s="430">
        <v>-321252</v>
      </c>
      <c r="CA184" s="430">
        <v>-157808.1</v>
      </c>
      <c r="CB184" s="430">
        <v>-618707</v>
      </c>
      <c r="CC184" s="430">
        <v>-412872</v>
      </c>
      <c r="CD184" s="430">
        <v>-572936</v>
      </c>
      <c r="CE184" s="430">
        <v>659603</v>
      </c>
      <c r="CF184" s="430">
        <v>75285</v>
      </c>
      <c r="CG184" s="396">
        <v>4585828.43</v>
      </c>
      <c r="CH184" s="396">
        <f>SUM(BV184:CG184)</f>
        <v>2540599.8499999996</v>
      </c>
      <c r="CI184" s="396">
        <v>289036</v>
      </c>
      <c r="CJ184" s="396">
        <v>453006.4</v>
      </c>
      <c r="CK184" s="396">
        <v>1110109</v>
      </c>
      <c r="CL184" s="396">
        <v>856231</v>
      </c>
      <c r="CM184" s="396">
        <v>458566</v>
      </c>
      <c r="CN184" s="396">
        <v>-43646</v>
      </c>
      <c r="CO184" s="396">
        <v>208120.98</v>
      </c>
      <c r="CP184" s="396">
        <v>359887.59</v>
      </c>
      <c r="CQ184" s="396">
        <v>385493.85</v>
      </c>
      <c r="CR184" s="396">
        <v>1488471.66</v>
      </c>
      <c r="CS184" s="396">
        <v>1117541.6100000001</v>
      </c>
      <c r="CT184" s="901">
        <v>19485784.859999999</v>
      </c>
      <c r="CU184" s="396">
        <f>SUM(CI184:CT184)</f>
        <v>26168602.949999999</v>
      </c>
      <c r="CV184" s="396">
        <v>-496002.11</v>
      </c>
      <c r="CW184" s="396">
        <v>1674611.9</v>
      </c>
      <c r="CX184" s="396">
        <v>-743271.21000000183</v>
      </c>
      <c r="CY184" s="934">
        <v>-603636.12</v>
      </c>
      <c r="CZ184" s="934">
        <v>438157.35</v>
      </c>
      <c r="DA184" s="934">
        <v>49267.17</v>
      </c>
      <c r="DB184" s="767">
        <v>-495337.39</v>
      </c>
      <c r="DC184" s="767">
        <v>-1441065.87</v>
      </c>
      <c r="DD184" s="767">
        <v>-571956</v>
      </c>
      <c r="DE184" s="936">
        <v>-577539</v>
      </c>
      <c r="DF184" s="936">
        <v>-1896942</v>
      </c>
      <c r="DG184" s="936">
        <v>24732863.23</v>
      </c>
      <c r="DH184" s="396">
        <f>SUM(CV184:DG184)</f>
        <v>20069149.949999999</v>
      </c>
      <c r="DI184" s="936">
        <v>-298841</v>
      </c>
      <c r="DJ184" s="936">
        <v>-1728040</v>
      </c>
      <c r="DK184" s="936">
        <v>175892</v>
      </c>
      <c r="DL184" s="936">
        <v>-1598936</v>
      </c>
      <c r="DM184" s="936">
        <v>197591</v>
      </c>
      <c r="DN184" s="936">
        <v>-2039971</v>
      </c>
      <c r="DO184" s="936">
        <v>293626</v>
      </c>
      <c r="DP184" s="936">
        <v>266958</v>
      </c>
      <c r="DQ184" s="936">
        <v>-3533339</v>
      </c>
      <c r="DR184" s="936">
        <v>1607025</v>
      </c>
      <c r="DS184" s="936"/>
      <c r="DT184" s="936"/>
      <c r="DU184" s="396">
        <f>SUM(DI184:DT184)</f>
        <v>-6658035</v>
      </c>
    </row>
    <row r="185" spans="1:125" ht="9" customHeight="1">
      <c r="A185" s="2"/>
      <c r="B185" s="12"/>
      <c r="C185" s="4"/>
      <c r="D185" s="4"/>
      <c r="E185" s="4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12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396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12"/>
      <c r="AT185" s="12"/>
      <c r="AU185" s="396"/>
      <c r="AV185" s="4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396"/>
      <c r="BI185" s="12"/>
      <c r="BJ185" s="12"/>
      <c r="BK185" s="12"/>
      <c r="BL185" s="12"/>
      <c r="BM185" s="12"/>
      <c r="BN185" s="12"/>
      <c r="BO185" s="12"/>
      <c r="BP185" s="12"/>
      <c r="BQ185" s="15"/>
      <c r="BR185" s="15"/>
      <c r="BS185" s="12"/>
      <c r="BT185" s="396"/>
      <c r="BU185" s="396"/>
      <c r="BV185" s="396"/>
      <c r="BW185" s="12"/>
      <c r="BX185" s="12"/>
      <c r="BY185" s="396"/>
      <c r="BZ185" s="396"/>
      <c r="CA185" s="396"/>
      <c r="CB185" s="396"/>
      <c r="CC185" s="396"/>
      <c r="CD185" s="396"/>
      <c r="CE185" s="396"/>
      <c r="CF185" s="396"/>
      <c r="CG185" s="396"/>
      <c r="CH185" s="396"/>
      <c r="CI185" s="396"/>
      <c r="CJ185" s="396"/>
      <c r="CK185" s="396"/>
      <c r="CL185" s="396"/>
      <c r="CM185" s="396"/>
      <c r="CN185" s="396"/>
      <c r="CO185" s="396"/>
      <c r="CP185" s="396"/>
      <c r="CQ185" s="396"/>
      <c r="CR185" s="396"/>
      <c r="CS185" s="396"/>
      <c r="CT185" s="396"/>
      <c r="CU185" s="396">
        <f>SUM(CI185:CT185)</f>
        <v>0</v>
      </c>
      <c r="CV185" s="396"/>
      <c r="CW185" s="396"/>
      <c r="CX185" s="934"/>
      <c r="CY185" s="934"/>
      <c r="CZ185" s="934"/>
      <c r="DA185" s="934"/>
      <c r="DB185" s="767"/>
      <c r="DC185" s="767"/>
      <c r="DD185" s="767"/>
      <c r="DE185" s="934"/>
      <c r="DF185" s="934"/>
      <c r="DG185" s="934"/>
      <c r="DH185" s="396"/>
      <c r="DI185" s="934"/>
      <c r="DJ185" s="934"/>
      <c r="DK185" s="934"/>
      <c r="DL185" s="934"/>
      <c r="DM185" s="934"/>
      <c r="DN185" s="934"/>
      <c r="DO185" s="934"/>
      <c r="DP185" s="934"/>
      <c r="DQ185" s="934"/>
      <c r="DR185" s="934"/>
      <c r="DS185" s="934"/>
      <c r="DT185" s="934"/>
      <c r="DU185" s="396"/>
    </row>
    <row r="186" spans="1:125" ht="12.75" customHeight="1" thickBot="1">
      <c r="A186" s="29" t="s">
        <v>134</v>
      </c>
      <c r="B186" s="30">
        <f>(B149)+(B155)-(B180)</f>
        <v>-155250.07999999978</v>
      </c>
      <c r="C186" s="31">
        <f>(C149)+(C155)-(C180)</f>
        <v>-260202.23999999996</v>
      </c>
      <c r="D186" s="31">
        <f>(D149)+(D155)-(D180)</f>
        <v>-45376.350000000006</v>
      </c>
      <c r="E186" s="31">
        <f>(E149)+(E155)-(E180)+E183</f>
        <v>120194.30999999994</v>
      </c>
      <c r="F186" s="30">
        <f>(F149)+(F155)-(F180)+F183</f>
        <v>-955971.6800000004</v>
      </c>
      <c r="G186" s="31">
        <f t="shared" ref="G186:S186" si="202">G149+G155-G180-G183-G184</f>
        <v>-154725.94000000003</v>
      </c>
      <c r="H186" s="31">
        <f t="shared" si="202"/>
        <v>-243508.77000000002</v>
      </c>
      <c r="I186" s="31">
        <f t="shared" si="202"/>
        <v>-90131.540000000008</v>
      </c>
      <c r="J186" s="31">
        <f t="shared" si="202"/>
        <v>-80178.35000000002</v>
      </c>
      <c r="K186" s="31">
        <f t="shared" si="202"/>
        <v>-223194.74999999994</v>
      </c>
      <c r="L186" s="31">
        <f t="shared" si="202"/>
        <v>103420.03000000003</v>
      </c>
      <c r="M186" s="31">
        <f t="shared" si="202"/>
        <v>46365.419999999933</v>
      </c>
      <c r="N186" s="31">
        <f t="shared" si="202"/>
        <v>-167465.54999999999</v>
      </c>
      <c r="O186" s="31">
        <f t="shared" si="202"/>
        <v>216409.22000000006</v>
      </c>
      <c r="P186" s="31">
        <f t="shared" si="202"/>
        <v>849787.62</v>
      </c>
      <c r="Q186" s="31">
        <f t="shared" si="202"/>
        <v>373639.16999999993</v>
      </c>
      <c r="R186" s="31">
        <f t="shared" si="202"/>
        <v>-298301.66000000003</v>
      </c>
      <c r="S186" s="30">
        <f t="shared" si="202"/>
        <v>332114.40000000061</v>
      </c>
      <c r="T186" s="32">
        <f t="shared" ref="T186:CE186" si="203">T149+T155-T166-T173-T184-T183</f>
        <v>281241.43000000017</v>
      </c>
      <c r="U186" s="33">
        <f t="shared" si="203"/>
        <v>-88084.729999999981</v>
      </c>
      <c r="V186" s="34">
        <f>V149+V155-V166-V173-V184-V183</f>
        <v>91607.23000000004</v>
      </c>
      <c r="W186" s="31">
        <f t="shared" si="203"/>
        <v>5272.0000000001892</v>
      </c>
      <c r="X186" s="31">
        <f t="shared" si="203"/>
        <v>552743.01000000024</v>
      </c>
      <c r="Y186" s="31">
        <f t="shared" si="203"/>
        <v>242170.99999999988</v>
      </c>
      <c r="Z186" s="31">
        <f t="shared" si="203"/>
        <v>79148.620000000083</v>
      </c>
      <c r="AA186" s="31">
        <f t="shared" si="203"/>
        <v>64795.299999999901</v>
      </c>
      <c r="AB186" s="31">
        <f t="shared" si="203"/>
        <v>27290.22000000019</v>
      </c>
      <c r="AC186" s="31">
        <f t="shared" si="203"/>
        <v>45587.879999999888</v>
      </c>
      <c r="AD186" s="31">
        <f t="shared" si="203"/>
        <v>846894.29000000015</v>
      </c>
      <c r="AE186" s="31">
        <f t="shared" si="203"/>
        <v>-709401.81</v>
      </c>
      <c r="AF186" s="454">
        <f>AF149+AF155-AF166-AF173-AF184-AF183</f>
        <v>1439264.4400000032</v>
      </c>
      <c r="AG186" s="31">
        <f t="shared" si="203"/>
        <v>856746.01999999979</v>
      </c>
      <c r="AH186" s="31">
        <f t="shared" si="203"/>
        <v>924180.17000000016</v>
      </c>
      <c r="AI186" s="31">
        <f t="shared" si="203"/>
        <v>518301.26999999984</v>
      </c>
      <c r="AJ186" s="31">
        <f t="shared" si="203"/>
        <v>679735.44999999984</v>
      </c>
      <c r="AK186" s="31">
        <f t="shared" si="203"/>
        <v>-375073.91999999987</v>
      </c>
      <c r="AL186" s="31">
        <f t="shared" si="203"/>
        <v>655652.33999999962</v>
      </c>
      <c r="AM186" s="31">
        <f t="shared" si="203"/>
        <v>330722.86000000022</v>
      </c>
      <c r="AN186" s="31">
        <f t="shared" si="203"/>
        <v>380202.68999999989</v>
      </c>
      <c r="AO186" s="31">
        <f t="shared" si="203"/>
        <v>-341930.12999999995</v>
      </c>
      <c r="AP186" s="31">
        <f t="shared" si="203"/>
        <v>447375.16000000015</v>
      </c>
      <c r="AQ186" s="31">
        <f t="shared" si="203"/>
        <v>290123.64</v>
      </c>
      <c r="AR186" s="31">
        <f t="shared" si="203"/>
        <v>-1480895.8299999994</v>
      </c>
      <c r="AS186" s="30">
        <f t="shared" si="203"/>
        <v>2885139.7200000007</v>
      </c>
      <c r="AT186" s="31">
        <f t="shared" si="203"/>
        <v>-710512.95</v>
      </c>
      <c r="AU186" s="454">
        <f t="shared" si="203"/>
        <v>2174626.7700000009</v>
      </c>
      <c r="AV186" s="31">
        <f t="shared" si="203"/>
        <v>-1778455.21</v>
      </c>
      <c r="AW186" s="30">
        <f t="shared" si="203"/>
        <v>-2214496.75</v>
      </c>
      <c r="AX186" s="30">
        <f t="shared" si="203"/>
        <v>-1962917.31</v>
      </c>
      <c r="AY186" s="30">
        <f t="shared" si="203"/>
        <v>-438599.54999999946</v>
      </c>
      <c r="AZ186" s="30">
        <f t="shared" si="203"/>
        <v>-436585.56000000052</v>
      </c>
      <c r="BA186" s="30">
        <f t="shared" si="203"/>
        <v>528849.41999999958</v>
      </c>
      <c r="BB186" s="30">
        <f t="shared" si="203"/>
        <v>397881.28000000009</v>
      </c>
      <c r="BC186" s="30">
        <f t="shared" si="203"/>
        <v>550225.89999999944</v>
      </c>
      <c r="BD186" s="30">
        <f t="shared" si="203"/>
        <v>426270.48000000051</v>
      </c>
      <c r="BE186" s="30">
        <f t="shared" si="203"/>
        <v>1051576.9999999995</v>
      </c>
      <c r="BF186" s="30">
        <f t="shared" si="203"/>
        <v>1153854.7099999995</v>
      </c>
      <c r="BG186" s="30">
        <f t="shared" si="203"/>
        <v>-299421.38999999966</v>
      </c>
      <c r="BH186" s="454">
        <f t="shared" si="203"/>
        <v>-3021816.9800000014</v>
      </c>
      <c r="BI186" s="30">
        <f t="shared" si="203"/>
        <v>232564.25000000096</v>
      </c>
      <c r="BJ186" s="30">
        <f t="shared" si="203"/>
        <v>1058629.2500000007</v>
      </c>
      <c r="BK186" s="30">
        <f t="shared" si="203"/>
        <v>652576.01999999885</v>
      </c>
      <c r="BL186" s="30">
        <f t="shared" si="203"/>
        <v>904070.39999999967</v>
      </c>
      <c r="BM186" s="30">
        <f t="shared" si="203"/>
        <v>1152445.0199999986</v>
      </c>
      <c r="BN186" s="30">
        <f t="shared" si="203"/>
        <v>56715.90000000014</v>
      </c>
      <c r="BO186" s="30">
        <f t="shared" si="203"/>
        <v>126673.63000000262</v>
      </c>
      <c r="BP186" s="30">
        <f t="shared" si="203"/>
        <v>-645344.32999999914</v>
      </c>
      <c r="BQ186" s="30">
        <f t="shared" si="203"/>
        <v>-1098211</v>
      </c>
      <c r="BR186" s="30">
        <f t="shared" si="203"/>
        <v>1143103.0000000012</v>
      </c>
      <c r="BS186" s="30">
        <f t="shared" si="203"/>
        <v>464474.00000000175</v>
      </c>
      <c r="BT186" s="30">
        <f t="shared" si="203"/>
        <v>-3751964.879999998</v>
      </c>
      <c r="BU186" s="454">
        <f t="shared" si="203"/>
        <v>295731.26000000816</v>
      </c>
      <c r="BV186" s="30">
        <f t="shared" si="203"/>
        <v>143106.33999999854</v>
      </c>
      <c r="BW186" s="30">
        <f t="shared" si="203"/>
        <v>-423955.25099999818</v>
      </c>
      <c r="BX186" s="30">
        <f t="shared" si="203"/>
        <v>-517117.86999999569</v>
      </c>
      <c r="BY186" s="30">
        <f t="shared" si="203"/>
        <v>-993139.66000000294</v>
      </c>
      <c r="BZ186" s="30">
        <f t="shared" si="203"/>
        <v>-826075.99000000535</v>
      </c>
      <c r="CA186" s="30">
        <f t="shared" si="203"/>
        <v>-706916.81000000308</v>
      </c>
      <c r="CB186" s="30">
        <f t="shared" si="203"/>
        <v>-1590959.6300000031</v>
      </c>
      <c r="CC186" s="30">
        <f t="shared" si="203"/>
        <v>-1061670.8700000052</v>
      </c>
      <c r="CD186" s="30">
        <f t="shared" si="203"/>
        <v>-1171778.4000000004</v>
      </c>
      <c r="CE186" s="30">
        <f t="shared" si="203"/>
        <v>1695758.6300000013</v>
      </c>
      <c r="CF186" s="30">
        <f t="shared" ref="CF186:CS186" si="204">CF149+CF155-CF166-CF173-CF184-CF183</f>
        <v>1097672.819999997</v>
      </c>
      <c r="CG186" s="30">
        <f t="shared" si="204"/>
        <v>-440495.57999999658</v>
      </c>
      <c r="CH186" s="454">
        <f t="shared" si="204"/>
        <v>-4795572.2710000146</v>
      </c>
      <c r="CI186" s="30">
        <f t="shared" si="204"/>
        <v>743233.32000000263</v>
      </c>
      <c r="CJ186" s="30">
        <f t="shared" si="204"/>
        <v>1164871.6200000006</v>
      </c>
      <c r="CK186" s="30">
        <f t="shared" si="204"/>
        <v>2834126.109999998</v>
      </c>
      <c r="CL186" s="30">
        <f t="shared" si="204"/>
        <v>2201733.420000005</v>
      </c>
      <c r="CM186" s="30">
        <f t="shared" si="204"/>
        <v>1602405.4500000044</v>
      </c>
      <c r="CN186" s="454">
        <f t="shared" si="204"/>
        <v>-118006.23000000109</v>
      </c>
      <c r="CO186" s="454">
        <f t="shared" si="204"/>
        <v>576427.19999999623</v>
      </c>
      <c r="CP186" s="454">
        <f t="shared" si="204"/>
        <v>973030.24000000372</v>
      </c>
      <c r="CQ186" s="454">
        <f t="shared" si="204"/>
        <v>1042260.4499999922</v>
      </c>
      <c r="CR186" s="454">
        <f t="shared" si="204"/>
        <v>4024386.6899999985</v>
      </c>
      <c r="CS186" s="454">
        <f t="shared" si="204"/>
        <v>3021501.5800000019</v>
      </c>
      <c r="CT186" s="1071">
        <f>CT149+CT155-CT166-CT173-CT184-CT183</f>
        <v>-11912230.899999991</v>
      </c>
      <c r="CU186" s="454">
        <f>CU149+CU155-CU166-CU173-CU184-CU183</f>
        <v>6153738.9500000142</v>
      </c>
      <c r="CV186" s="454">
        <f t="shared" ref="CV186:DA186" si="205">CV149+CV155-CV166-CV173-CV184</f>
        <v>-1341042.7299999967</v>
      </c>
      <c r="CW186" s="454">
        <f t="shared" si="205"/>
        <v>4527654.3899999987</v>
      </c>
      <c r="CX186" s="454">
        <f t="shared" si="205"/>
        <v>-2009587</v>
      </c>
      <c r="CY186" s="454">
        <f t="shared" si="205"/>
        <v>-2692382.9900000039</v>
      </c>
      <c r="CZ186" s="454">
        <f t="shared" si="205"/>
        <v>1184647.2299999939</v>
      </c>
      <c r="DA186" s="454">
        <f t="shared" si="205"/>
        <v>133175.31000000116</v>
      </c>
      <c r="DB186" s="35">
        <f t="shared" ref="DB186:DF186" si="206">DB149+DB155-DB166-DB173-DB184</f>
        <v>-1344649.3499999959</v>
      </c>
      <c r="DC186" s="35">
        <f t="shared" si="206"/>
        <v>-3896215.1999999899</v>
      </c>
      <c r="DD186" s="35">
        <f t="shared" si="206"/>
        <v>-1546398.0299999975</v>
      </c>
      <c r="DE186" s="35">
        <f t="shared" si="206"/>
        <v>-1561495.4799999949</v>
      </c>
      <c r="DF186" s="35">
        <f t="shared" si="206"/>
        <v>-5128769.9000000004</v>
      </c>
      <c r="DG186" s="1072">
        <f>DG149+DG155-DG166-DG173-DG184-DG183</f>
        <v>-10387715.440000001</v>
      </c>
      <c r="DH186" s="454">
        <f>SUM(CV186:DG186)</f>
        <v>-24062779.189999986</v>
      </c>
      <c r="DI186" s="35">
        <f>DI149+DI155-DI166-DI173-DI184</f>
        <v>278439.80000000075</v>
      </c>
      <c r="DJ186" s="35">
        <f>DJ149+DJ155-DJ166-DJ173-DJ184</f>
        <v>-785688.90999999689</v>
      </c>
      <c r="DK186" s="35">
        <f t="shared" ref="DK186:DT186" si="207">DK149+DK155-DK166-DK173-DK184</f>
        <v>1561977.1800000083</v>
      </c>
      <c r="DL186" s="35">
        <f t="shared" si="207"/>
        <v>-2399886.0000000028</v>
      </c>
      <c r="DM186" s="35">
        <f t="shared" si="207"/>
        <v>9178.0500000100583</v>
      </c>
      <c r="DN186" s="35">
        <f>DN149+DN155-DN166-DN173-DN184</f>
        <v>-5520563.6199999936</v>
      </c>
      <c r="DO186" s="35">
        <f>DO149+DO155-DO166-DO173-DO184</f>
        <v>670230.309999994</v>
      </c>
      <c r="DP186" s="35">
        <f>DP149+DP155-DP166-DP173-DP184</f>
        <v>721773.50000000326</v>
      </c>
      <c r="DQ186" s="35">
        <f t="shared" si="207"/>
        <v>-9610033.1200000066</v>
      </c>
      <c r="DR186" s="35">
        <f t="shared" si="207"/>
        <v>4348662.5600000015</v>
      </c>
      <c r="DS186" s="35">
        <f t="shared" si="207"/>
        <v>0</v>
      </c>
      <c r="DT186" s="35">
        <f t="shared" si="207"/>
        <v>0</v>
      </c>
      <c r="DU186" s="454">
        <f>SUM(DI186:DT186)</f>
        <v>-10725910.249999981</v>
      </c>
    </row>
    <row r="187" spans="1:125" ht="12.75" customHeight="1" thickTop="1" thickBot="1">
      <c r="A187" s="2"/>
      <c r="B187" s="48"/>
      <c r="C187" s="2"/>
      <c r="D187" s="2"/>
      <c r="E187" s="2"/>
      <c r="F187" s="4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48"/>
      <c r="T187" s="4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48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48"/>
      <c r="AT187" s="48"/>
      <c r="AU187" s="49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49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394"/>
      <c r="BU187" s="49"/>
      <c r="BV187" s="394"/>
      <c r="BW187" s="2"/>
      <c r="BX187" s="2"/>
      <c r="BY187" s="394"/>
      <c r="BZ187" s="394"/>
      <c r="CA187" s="394"/>
      <c r="CB187" s="394"/>
      <c r="CC187" s="394"/>
      <c r="CD187" s="394"/>
      <c r="CE187" s="394"/>
      <c r="CF187" s="394"/>
      <c r="CG187" s="394"/>
      <c r="CH187" s="49"/>
      <c r="CI187" s="765"/>
      <c r="CJ187" s="394"/>
      <c r="CK187" s="394"/>
      <c r="CL187" s="394"/>
      <c r="CM187" s="394"/>
      <c r="CN187" s="394"/>
      <c r="CO187" s="394"/>
      <c r="CP187" s="394"/>
      <c r="CQ187" s="394"/>
      <c r="CR187" s="394"/>
      <c r="CS187" s="394"/>
      <c r="CT187" s="394"/>
      <c r="CU187" s="49"/>
      <c r="CV187" s="394"/>
      <c r="CW187" s="394"/>
      <c r="CX187" s="394"/>
      <c r="CY187" s="394"/>
      <c r="CZ187" s="394"/>
      <c r="DA187" s="394"/>
      <c r="DB187" s="963"/>
      <c r="DC187" s="963"/>
      <c r="DD187" s="394"/>
      <c r="DE187" s="394"/>
      <c r="DF187" s="394"/>
      <c r="DG187" s="394"/>
      <c r="DH187" s="49"/>
      <c r="DI187" s="394"/>
      <c r="DJ187" s="394"/>
      <c r="DK187" s="394"/>
      <c r="DL187" s="394"/>
      <c r="DM187" s="963"/>
      <c r="DN187" s="394"/>
      <c r="DO187" s="394"/>
      <c r="DP187" s="394"/>
      <c r="DQ187" s="394"/>
      <c r="DR187" s="394"/>
      <c r="DS187" s="394"/>
      <c r="DT187" s="394"/>
      <c r="DU187" s="49"/>
    </row>
    <row r="188" spans="1:125" ht="12.75" hidden="1" customHeight="1" outlineLevel="1">
      <c r="A188" s="50" t="s">
        <v>135</v>
      </c>
      <c r="B188" s="50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2"/>
      <c r="T188" s="4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2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2"/>
      <c r="AT188" s="2"/>
      <c r="AU188" s="4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4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394"/>
      <c r="BU188" s="394"/>
      <c r="BV188" s="394"/>
      <c r="BW188" s="2"/>
      <c r="BX188" s="2"/>
      <c r="BY188" s="394"/>
      <c r="BZ188" s="394"/>
      <c r="CA188" s="394"/>
      <c r="CB188" s="394"/>
      <c r="CC188" s="394"/>
      <c r="CD188" s="394"/>
      <c r="CE188" s="456"/>
      <c r="CF188" s="456"/>
      <c r="CG188" s="456"/>
      <c r="CH188" s="394"/>
      <c r="CI188" s="456"/>
      <c r="CJ188" s="456"/>
      <c r="CK188" s="456"/>
      <c r="CL188" s="456"/>
      <c r="CM188" s="456"/>
      <c r="CN188" s="456"/>
      <c r="CO188" s="456"/>
      <c r="CP188" s="456"/>
      <c r="CQ188" s="456"/>
      <c r="CR188" s="456"/>
      <c r="CS188" s="456"/>
      <c r="CT188" s="456"/>
      <c r="CU188" s="2"/>
      <c r="CV188" s="456"/>
      <c r="CW188" s="456"/>
      <c r="CX188" s="456"/>
      <c r="CY188" s="456"/>
      <c r="CZ188" s="456"/>
      <c r="DA188" s="456"/>
      <c r="DB188" s="538"/>
      <c r="DC188" s="538"/>
      <c r="DD188" s="456"/>
      <c r="DE188" s="456"/>
      <c r="DF188" s="456"/>
      <c r="DG188" s="456"/>
      <c r="DH188" s="2"/>
      <c r="DI188" s="456"/>
      <c r="DJ188" s="456"/>
      <c r="DK188" s="456"/>
      <c r="DL188" s="456"/>
      <c r="DM188" s="456"/>
      <c r="DN188" s="456"/>
      <c r="DO188" s="456"/>
      <c r="DP188" s="456"/>
      <c r="DQ188" s="456"/>
      <c r="DR188" s="456"/>
      <c r="DS188" s="456"/>
      <c r="DT188" s="456"/>
      <c r="DU188" s="2"/>
    </row>
    <row r="189" spans="1:125" ht="12.75" hidden="1" customHeight="1" outlineLevel="1">
      <c r="A189" s="52" t="s">
        <v>136</v>
      </c>
      <c r="B189" s="52"/>
      <c r="C189" s="53"/>
      <c r="D189" s="53"/>
      <c r="E189" s="54">
        <v>2173352.5299999998</v>
      </c>
      <c r="F189" s="2"/>
      <c r="G189" s="54">
        <v>4154204.91</v>
      </c>
      <c r="H189" s="54">
        <v>3028438.17</v>
      </c>
      <c r="I189" s="55">
        <v>3573556.6</v>
      </c>
      <c r="J189" s="54">
        <v>6755549.0099999998</v>
      </c>
      <c r="K189" s="56">
        <v>3711630.25</v>
      </c>
      <c r="L189" s="56">
        <v>4873253.63</v>
      </c>
      <c r="M189" s="56">
        <v>5880942.71</v>
      </c>
      <c r="N189" s="57">
        <v>7546490.6200000001</v>
      </c>
      <c r="O189" s="57">
        <v>5595088.4100000001</v>
      </c>
      <c r="P189" s="57">
        <v>5924002.0300000003</v>
      </c>
      <c r="Q189" s="57">
        <v>6271227.3200000003</v>
      </c>
      <c r="R189" s="57">
        <v>11813845.119999999</v>
      </c>
      <c r="S189" s="2"/>
      <c r="T189" s="4">
        <v>7410263</v>
      </c>
      <c r="U189" s="57">
        <v>7992787.8700000001</v>
      </c>
      <c r="V189" s="57">
        <v>8535255.0600000005</v>
      </c>
      <c r="W189" s="57">
        <v>8900741.4800000004</v>
      </c>
      <c r="X189" s="57">
        <v>14193317.949999999</v>
      </c>
      <c r="Y189" s="57">
        <v>15036526.27</v>
      </c>
      <c r="Z189" s="57">
        <v>14746763.42</v>
      </c>
      <c r="AA189" s="57">
        <v>22632292.649999999</v>
      </c>
      <c r="AB189" s="57">
        <v>28322358.170000002</v>
      </c>
      <c r="AC189" s="57">
        <v>28585141.739999998</v>
      </c>
      <c r="AD189" s="57">
        <v>16177679.77</v>
      </c>
      <c r="AE189" s="57">
        <v>15531974.300000001</v>
      </c>
      <c r="AF189" s="2"/>
      <c r="AG189" s="57">
        <v>21094559.510000002</v>
      </c>
      <c r="AH189" s="57">
        <v>29944415.370000001</v>
      </c>
      <c r="AI189" s="57">
        <v>22080323.140000001</v>
      </c>
      <c r="AJ189" s="57">
        <v>111408993.47</v>
      </c>
      <c r="AK189" s="57">
        <v>33205331.07</v>
      </c>
      <c r="AL189" s="57">
        <v>24977248.920000002</v>
      </c>
      <c r="AM189" s="57">
        <v>27418762.420000002</v>
      </c>
      <c r="AN189" s="57">
        <v>51336486.490000002</v>
      </c>
      <c r="AO189" s="57">
        <v>71311137.879999995</v>
      </c>
      <c r="AP189" s="57">
        <v>68578271.159999996</v>
      </c>
      <c r="AQ189" s="57">
        <v>75836502.729999989</v>
      </c>
      <c r="AR189" s="57">
        <v>88920793.719999999</v>
      </c>
      <c r="AS189" s="2"/>
      <c r="AT189" s="2"/>
      <c r="AU189" s="4"/>
      <c r="AV189" s="58">
        <v>170231742.28</v>
      </c>
      <c r="AW189" s="58">
        <v>65094898.880000003</v>
      </c>
      <c r="AX189" s="58">
        <v>53761906.549999997</v>
      </c>
      <c r="AY189" s="58">
        <v>75620181.900000006</v>
      </c>
      <c r="AZ189" s="58">
        <v>79405085.519999996</v>
      </c>
      <c r="BA189" s="58">
        <v>83673083.650000006</v>
      </c>
      <c r="BB189" s="58">
        <v>124671393.98</v>
      </c>
      <c r="BC189" s="58">
        <v>98885004.859999999</v>
      </c>
      <c r="BD189" s="58">
        <v>88628518.430000007</v>
      </c>
      <c r="BE189" s="57">
        <v>100634274.69</v>
      </c>
      <c r="BF189" s="57">
        <v>107670005.03</v>
      </c>
      <c r="BG189" s="57">
        <v>136265030.46000001</v>
      </c>
      <c r="BH189" s="4"/>
      <c r="BI189" s="57">
        <v>147523059.68000001</v>
      </c>
      <c r="BJ189" s="57">
        <v>202033934.06999999</v>
      </c>
      <c r="BK189" s="57">
        <v>143845188.43000001</v>
      </c>
      <c r="BL189" s="57">
        <v>173602454.03999999</v>
      </c>
      <c r="BM189" s="57">
        <v>230880176.65000001</v>
      </c>
      <c r="BN189" s="57">
        <v>268934022.56999999</v>
      </c>
      <c r="BO189" s="57">
        <v>161871838.77000001</v>
      </c>
      <c r="BP189" s="59">
        <v>405406832.57999998</v>
      </c>
      <c r="BQ189" s="60">
        <v>200469325.99000001</v>
      </c>
      <c r="BR189" s="60">
        <v>191965533.31999999</v>
      </c>
      <c r="BS189" s="59">
        <v>325243282.97000003</v>
      </c>
      <c r="BT189" s="59">
        <v>132351742.22</v>
      </c>
      <c r="BU189" s="433"/>
      <c r="BV189" s="433">
        <v>168722282.38000005</v>
      </c>
      <c r="BW189" s="433">
        <v>138678967.31</v>
      </c>
      <c r="BX189" s="491">
        <v>113048349.05</v>
      </c>
      <c r="BY189" s="491">
        <v>187607754.5</v>
      </c>
      <c r="BZ189" s="491">
        <v>333348114.72000003</v>
      </c>
      <c r="CA189" s="491">
        <v>146439241.56999999</v>
      </c>
      <c r="CB189" s="491">
        <v>162729009.64999998</v>
      </c>
      <c r="CC189" s="491">
        <v>210828365.88999999</v>
      </c>
      <c r="CD189" s="491">
        <v>342304083.48999995</v>
      </c>
      <c r="CE189" s="491">
        <v>192974848.98999998</v>
      </c>
      <c r="CF189" s="491">
        <v>460152726</v>
      </c>
      <c r="CG189" s="491">
        <v>179658802.25999996</v>
      </c>
      <c r="CH189" s="433"/>
      <c r="CI189" s="491"/>
      <c r="CJ189" s="491"/>
      <c r="CK189" s="491"/>
      <c r="CL189" s="491"/>
      <c r="CM189" s="491"/>
      <c r="CN189" s="491"/>
      <c r="CO189" s="491"/>
      <c r="CP189" s="491"/>
      <c r="CQ189" s="491"/>
      <c r="CR189" s="491"/>
      <c r="CS189" s="491"/>
      <c r="CT189" s="491"/>
      <c r="CU189" s="51"/>
      <c r="CV189" s="491"/>
      <c r="CW189" s="491"/>
      <c r="CX189" s="491"/>
      <c r="CY189" s="491"/>
      <c r="CZ189" s="491"/>
      <c r="DA189" s="491"/>
      <c r="DB189" s="491"/>
      <c r="DC189" s="491"/>
      <c r="DD189" s="491"/>
      <c r="DE189" s="491"/>
      <c r="DF189" s="491"/>
      <c r="DG189" s="491"/>
      <c r="DH189" s="51"/>
      <c r="DI189" s="491"/>
      <c r="DJ189" s="491"/>
      <c r="DK189" s="491"/>
      <c r="DL189" s="491"/>
      <c r="DM189" s="491"/>
      <c r="DN189" s="491"/>
      <c r="DO189" s="491"/>
      <c r="DP189" s="491"/>
      <c r="DQ189" s="491"/>
      <c r="DR189" s="491"/>
      <c r="DS189" s="491"/>
      <c r="DT189" s="491"/>
      <c r="DU189" s="51"/>
    </row>
    <row r="190" spans="1:125" ht="12.75" hidden="1" customHeight="1" outlineLevel="1">
      <c r="A190" s="52" t="s">
        <v>137</v>
      </c>
      <c r="B190" s="52"/>
      <c r="C190" s="53"/>
      <c r="D190" s="53"/>
      <c r="E190" s="54">
        <v>-3771311.61</v>
      </c>
      <c r="F190" s="2"/>
      <c r="G190" s="54">
        <v>-5482977.5499999998</v>
      </c>
      <c r="H190" s="54">
        <v>-4232576.93</v>
      </c>
      <c r="I190" s="55">
        <v>-4454226.3099999996</v>
      </c>
      <c r="J190" s="54">
        <v>-5889813.2400000002</v>
      </c>
      <c r="K190" s="54">
        <f>-4759887.52</f>
        <v>-4759887.5199999996</v>
      </c>
      <c r="L190" s="54">
        <v>-5618135.9699999997</v>
      </c>
      <c r="M190" s="54">
        <v>-6325778.96</v>
      </c>
      <c r="N190" s="54">
        <v>-6421110.1900000004</v>
      </c>
      <c r="O190" s="54">
        <v>-6736239.6900000004</v>
      </c>
      <c r="P190" s="54">
        <v>-7688519.7000000002</v>
      </c>
      <c r="Q190" s="54">
        <v>-7318979.54</v>
      </c>
      <c r="R190" s="54">
        <v>-10402571.85</v>
      </c>
      <c r="S190" s="2"/>
      <c r="T190" s="4">
        <v>-7521039</v>
      </c>
      <c r="U190" s="54">
        <v>-9212885.5899999999</v>
      </c>
      <c r="V190" s="54">
        <v>-10431374.210000001</v>
      </c>
      <c r="W190" s="54">
        <v>-9168076.4299999997</v>
      </c>
      <c r="X190" s="54">
        <v>-13227124.640000001</v>
      </c>
      <c r="Y190" s="54">
        <v>-15799906.83</v>
      </c>
      <c r="Z190" s="54">
        <v>-13089733.49</v>
      </c>
      <c r="AA190" s="54">
        <f>-22057971.79</f>
        <v>-22057971.789999999</v>
      </c>
      <c r="AB190" s="54">
        <v>-22638032.489999998</v>
      </c>
      <c r="AC190" s="54">
        <v>-15075414.75</v>
      </c>
      <c r="AD190" s="54">
        <v>-26190665.52</v>
      </c>
      <c r="AE190" s="54">
        <v>-22911828.170000002</v>
      </c>
      <c r="AF190" s="2"/>
      <c r="AG190" s="54">
        <v>-20746062.82</v>
      </c>
      <c r="AH190" s="54">
        <v>-21188805.18</v>
      </c>
      <c r="AI190" s="54">
        <v>-29838344.190000001</v>
      </c>
      <c r="AJ190" s="54">
        <v>-25756239.010000002</v>
      </c>
      <c r="AK190" s="54">
        <v>-38804489.780000001</v>
      </c>
      <c r="AL190" s="54">
        <v>-45326678.850000001</v>
      </c>
      <c r="AM190" s="54">
        <v>-36292221.289999999</v>
      </c>
      <c r="AN190" s="54">
        <v>-40412244.030000001</v>
      </c>
      <c r="AO190" s="54">
        <v>-50611736.210000001</v>
      </c>
      <c r="AP190" s="54">
        <v>-42523532.329999998</v>
      </c>
      <c r="AQ190" s="54">
        <v>-80618056.859999999</v>
      </c>
      <c r="AR190" s="54">
        <v>-113842118.78</v>
      </c>
      <c r="AS190" s="2"/>
      <c r="AT190" s="2"/>
      <c r="AU190" s="4"/>
      <c r="AV190" s="61">
        <v>-167072580.74000001</v>
      </c>
      <c r="AW190" s="61">
        <v>-53731744.210000001</v>
      </c>
      <c r="AX190" s="61">
        <v>-49013841.640000001</v>
      </c>
      <c r="AY190" s="61">
        <v>-74350472.989999995</v>
      </c>
      <c r="AZ190" s="61">
        <v>-74103691.930000007</v>
      </c>
      <c r="BA190" s="61">
        <v>-85269358.459999993</v>
      </c>
      <c r="BB190" s="61">
        <v>-79817084.280000001</v>
      </c>
      <c r="BC190" s="61">
        <v>-123337361.53</v>
      </c>
      <c r="BD190" s="61">
        <v>-132996589.01000001</v>
      </c>
      <c r="BE190" s="54">
        <v>-114213987.28</v>
      </c>
      <c r="BF190" s="54">
        <v>-115182692.3</v>
      </c>
      <c r="BG190" s="54">
        <v>-125490250.03</v>
      </c>
      <c r="BH190" s="4"/>
      <c r="BI190" s="54">
        <v>-169486580.77000001</v>
      </c>
      <c r="BJ190" s="54">
        <v>-188950323.81</v>
      </c>
      <c r="BK190" s="54">
        <v>-173045272.91999999</v>
      </c>
      <c r="BL190" s="54">
        <v>-147569038.71000001</v>
      </c>
      <c r="BM190" s="54">
        <v>-206154228.91</v>
      </c>
      <c r="BN190" s="54">
        <v>-265033958.88999999</v>
      </c>
      <c r="BO190" s="54">
        <v>-192217935.58000001</v>
      </c>
      <c r="BP190" s="59">
        <v>-349210236.97000003</v>
      </c>
      <c r="BQ190" s="60">
        <f>-236717733.44-226.7</f>
        <v>-236717960.13999999</v>
      </c>
      <c r="BR190" s="60">
        <v>-200987217.44999999</v>
      </c>
      <c r="BS190" s="59">
        <v>-259470704.75</v>
      </c>
      <c r="BT190" s="59">
        <v>-137682791.94</v>
      </c>
      <c r="BU190" s="433"/>
      <c r="BV190" s="433">
        <v>-147549297.50999999</v>
      </c>
      <c r="BW190" s="433">
        <v>-156947984.63</v>
      </c>
      <c r="BX190" s="491">
        <v>-139290896.49000001</v>
      </c>
      <c r="BY190" s="491">
        <v>-222548700.40000001</v>
      </c>
      <c r="BZ190" s="491">
        <v>-254323576.13999999</v>
      </c>
      <c r="CA190" s="491">
        <v>-174525036.11000001</v>
      </c>
      <c r="CB190" s="491">
        <v>-222427406.18000001</v>
      </c>
      <c r="CC190" s="491">
        <v>-225655135.91</v>
      </c>
      <c r="CD190" s="491">
        <v>-324382865.89999998</v>
      </c>
      <c r="CE190" s="491">
        <v>-172208468.83000001</v>
      </c>
      <c r="CF190" s="491">
        <v>-135503195.19</v>
      </c>
      <c r="CG190" s="491">
        <f>-284461521.64-1150</f>
        <v>-284462671.63999999</v>
      </c>
      <c r="CH190" s="433"/>
      <c r="CI190" s="491"/>
      <c r="CJ190" s="491"/>
      <c r="CK190" s="491"/>
      <c r="CL190" s="491"/>
      <c r="CM190" s="491"/>
      <c r="CN190" s="491"/>
      <c r="CO190" s="491"/>
      <c r="CP190" s="491"/>
      <c r="CQ190" s="491"/>
      <c r="CR190" s="491"/>
      <c r="CS190" s="491"/>
      <c r="CT190" s="491"/>
      <c r="CU190" s="2"/>
      <c r="CV190" s="491"/>
      <c r="CW190" s="491"/>
      <c r="CX190" s="491"/>
      <c r="CY190" s="491"/>
      <c r="CZ190" s="491"/>
      <c r="DA190" s="491"/>
      <c r="DB190" s="491"/>
      <c r="DC190" s="491"/>
      <c r="DD190" s="491"/>
      <c r="DE190" s="491"/>
      <c r="DF190" s="491"/>
      <c r="DG190" s="491"/>
      <c r="DH190" s="2"/>
      <c r="DI190" s="491"/>
      <c r="DJ190" s="491"/>
      <c r="DK190" s="491"/>
      <c r="DL190" s="491"/>
      <c r="DM190" s="491"/>
      <c r="DN190" s="491"/>
      <c r="DO190" s="491"/>
      <c r="DP190" s="491"/>
      <c r="DQ190" s="491"/>
      <c r="DR190" s="491"/>
      <c r="DS190" s="491"/>
      <c r="DT190" s="491"/>
      <c r="DU190" s="2"/>
    </row>
    <row r="191" spans="1:125" ht="12.75" hidden="1" customHeight="1" outlineLevel="1">
      <c r="A191" s="62" t="s">
        <v>138</v>
      </c>
      <c r="B191" s="62"/>
      <c r="C191" s="63"/>
      <c r="D191" s="63"/>
      <c r="E191" s="64">
        <f>SUM(E189:E190)</f>
        <v>-1597959.08</v>
      </c>
      <c r="F191" s="39"/>
      <c r="G191" s="64">
        <f>SUM(G189:G190)</f>
        <v>-1328772.6399999997</v>
      </c>
      <c r="H191" s="64">
        <f>SUM(H189:H190)</f>
        <v>-1204138.7599999998</v>
      </c>
      <c r="I191" s="65">
        <v>-880669.71</v>
      </c>
      <c r="J191" s="64">
        <v>865735.77</v>
      </c>
      <c r="K191" s="64">
        <v>-1048257.27</v>
      </c>
      <c r="L191" s="64">
        <v>-744882.34</v>
      </c>
      <c r="M191" s="64">
        <v>-444836.25</v>
      </c>
      <c r="N191" s="64">
        <f>N189+N190</f>
        <v>1125380.4299999997</v>
      </c>
      <c r="O191" s="66">
        <f>O189+O190</f>
        <v>-1141151.2800000003</v>
      </c>
      <c r="P191" s="66">
        <f>P189+P190</f>
        <v>-1764517.67</v>
      </c>
      <c r="Q191" s="66">
        <f>Q189+Q190</f>
        <v>-1047752.2199999997</v>
      </c>
      <c r="R191" s="66">
        <f>R189+R190</f>
        <v>1411273.2699999996</v>
      </c>
      <c r="S191" s="2"/>
      <c r="T191" s="67">
        <f t="shared" ref="T191:AE191" si="208">SUM(T189:T190)</f>
        <v>-110776</v>
      </c>
      <c r="U191" s="67">
        <f t="shared" si="208"/>
        <v>-1220097.7199999997</v>
      </c>
      <c r="V191" s="67">
        <f t="shared" si="208"/>
        <v>-1896119.1500000004</v>
      </c>
      <c r="W191" s="67">
        <f t="shared" si="208"/>
        <v>-267334.94999999925</v>
      </c>
      <c r="X191" s="67">
        <f t="shared" si="208"/>
        <v>966193.30999999866</v>
      </c>
      <c r="Y191" s="67">
        <f t="shared" si="208"/>
        <v>-763380.56000000052</v>
      </c>
      <c r="Z191" s="67">
        <f t="shared" si="208"/>
        <v>1657029.9299999997</v>
      </c>
      <c r="AA191" s="67">
        <f t="shared" si="208"/>
        <v>574320.8599999994</v>
      </c>
      <c r="AB191" s="67">
        <f t="shared" si="208"/>
        <v>5684325.6800000034</v>
      </c>
      <c r="AC191" s="67">
        <f t="shared" si="208"/>
        <v>13509726.989999998</v>
      </c>
      <c r="AD191" s="67">
        <f t="shared" si="208"/>
        <v>-10012985.75</v>
      </c>
      <c r="AE191" s="67">
        <f t="shared" si="208"/>
        <v>-7379853.870000001</v>
      </c>
      <c r="AF191" s="2"/>
      <c r="AG191" s="67">
        <v>348496.69000000134</v>
      </c>
      <c r="AH191" s="67">
        <v>8755610.1900000013</v>
      </c>
      <c r="AI191" s="67">
        <v>-7758021.0500000007</v>
      </c>
      <c r="AJ191" s="67">
        <v>85652754.459999993</v>
      </c>
      <c r="AK191" s="67">
        <v>-5599158.7100000009</v>
      </c>
      <c r="AL191" s="67">
        <v>-20349429.93</v>
      </c>
      <c r="AM191" s="67">
        <v>-8873458.8699999973</v>
      </c>
      <c r="AN191" s="67">
        <v>10924242.460000001</v>
      </c>
      <c r="AO191" s="67">
        <v>20699401.669999994</v>
      </c>
      <c r="AP191" s="67">
        <v>26054738.829999998</v>
      </c>
      <c r="AQ191" s="67">
        <v>-4781554.1300000101</v>
      </c>
      <c r="AR191" s="67">
        <v>-24921325.060000002</v>
      </c>
      <c r="AS191" s="2"/>
      <c r="AT191" s="2"/>
      <c r="AU191" s="4"/>
      <c r="AV191" s="67">
        <v>3159161.5399999917</v>
      </c>
      <c r="AW191" s="67">
        <v>11363154.670000002</v>
      </c>
      <c r="AX191" s="67">
        <v>4748064.9099999964</v>
      </c>
      <c r="AY191" s="67">
        <v>1269708.9100000113</v>
      </c>
      <c r="AZ191" s="67">
        <v>5301393.5899999887</v>
      </c>
      <c r="BA191" s="67">
        <v>-1596274.8099999875</v>
      </c>
      <c r="BB191" s="67">
        <v>44854309.700000003</v>
      </c>
      <c r="BC191" s="67">
        <v>-24452356.670000002</v>
      </c>
      <c r="BD191" s="67">
        <v>-44368070.579999998</v>
      </c>
      <c r="BE191" s="67">
        <v>-13579712.590000004</v>
      </c>
      <c r="BF191" s="67">
        <v>-7512687.2699999958</v>
      </c>
      <c r="BG191" s="67">
        <v>10774780.430000007</v>
      </c>
      <c r="BH191" s="4"/>
      <c r="BI191" s="67">
        <f t="shared" ref="BI191:BS191" si="209">SUM(BI189:BI190)</f>
        <v>-21963521.090000004</v>
      </c>
      <c r="BJ191" s="67">
        <f t="shared" si="209"/>
        <v>13083610.25999999</v>
      </c>
      <c r="BK191" s="67">
        <f t="shared" si="209"/>
        <v>-29200084.48999998</v>
      </c>
      <c r="BL191" s="67">
        <f t="shared" si="209"/>
        <v>26033415.329999983</v>
      </c>
      <c r="BM191" s="67">
        <f t="shared" si="209"/>
        <v>24725947.74000001</v>
      </c>
      <c r="BN191" s="67">
        <f t="shared" si="209"/>
        <v>3900063.6800000072</v>
      </c>
      <c r="BO191" s="67">
        <f t="shared" si="209"/>
        <v>-30346096.810000002</v>
      </c>
      <c r="BP191" s="67">
        <f t="shared" si="209"/>
        <v>56196595.609999955</v>
      </c>
      <c r="BQ191" s="67">
        <f t="shared" si="209"/>
        <v>-36248634.149999976</v>
      </c>
      <c r="BR191" s="67">
        <f t="shared" si="209"/>
        <v>-9021684.1299999952</v>
      </c>
      <c r="BS191" s="67">
        <f t="shared" si="209"/>
        <v>65772578.220000029</v>
      </c>
      <c r="BT191" s="67">
        <f>SUM(BT189:BT190)</f>
        <v>-5331049.7199999988</v>
      </c>
      <c r="BU191" s="434"/>
      <c r="BV191" s="67">
        <f t="shared" ref="BV191:CG191" si="210">SUM(BV189:BV190)</f>
        <v>21172984.870000064</v>
      </c>
      <c r="BW191" s="67">
        <f t="shared" si="210"/>
        <v>-18269017.319999993</v>
      </c>
      <c r="BX191" s="492">
        <f t="shared" si="210"/>
        <v>-26242547.440000013</v>
      </c>
      <c r="BY191" s="492">
        <f t="shared" si="210"/>
        <v>-34940945.900000006</v>
      </c>
      <c r="BZ191" s="492">
        <f t="shared" si="210"/>
        <v>79024538.580000043</v>
      </c>
      <c r="CA191" s="492">
        <f t="shared" si="210"/>
        <v>-28085794.540000021</v>
      </c>
      <c r="CB191" s="492">
        <f t="shared" si="210"/>
        <v>-59698396.530000031</v>
      </c>
      <c r="CC191" s="492">
        <f t="shared" si="210"/>
        <v>-14826770.020000011</v>
      </c>
      <c r="CD191" s="492">
        <f t="shared" si="210"/>
        <v>17921217.589999974</v>
      </c>
      <c r="CE191" s="599">
        <f t="shared" si="210"/>
        <v>20766380.159999967</v>
      </c>
      <c r="CF191" s="633">
        <f t="shared" si="210"/>
        <v>324649530.81</v>
      </c>
      <c r="CG191" s="633">
        <f t="shared" si="210"/>
        <v>-104803869.38000003</v>
      </c>
      <c r="CH191" s="434"/>
      <c r="CI191" s="633"/>
      <c r="CJ191" s="633"/>
      <c r="CK191" s="633"/>
      <c r="CL191" s="633"/>
      <c r="CM191" s="633"/>
      <c r="CN191" s="633"/>
      <c r="CO191" s="633"/>
      <c r="CP191" s="633"/>
      <c r="CQ191" s="633"/>
      <c r="CR191" s="633"/>
      <c r="CS191" s="633"/>
      <c r="CT191" s="633"/>
      <c r="CU191" s="2"/>
      <c r="DD191" s="633"/>
      <c r="DE191" s="633"/>
      <c r="DF191" s="633"/>
      <c r="DG191" s="633"/>
      <c r="DH191" s="2"/>
      <c r="DI191" s="633"/>
      <c r="DJ191" s="633"/>
      <c r="DK191" s="633"/>
      <c r="DL191" s="633"/>
      <c r="DM191" s="633"/>
      <c r="DN191" s="633"/>
      <c r="DO191" s="633"/>
      <c r="DP191" s="633"/>
      <c r="DQ191" s="633"/>
      <c r="DR191" s="633"/>
      <c r="DS191" s="633"/>
      <c r="DT191" s="633"/>
      <c r="DU191" s="2"/>
    </row>
    <row r="192" spans="1:125" ht="12.75" hidden="1" customHeight="1" outlineLevel="1">
      <c r="A192" s="50" t="s">
        <v>139</v>
      </c>
      <c r="B192" s="50"/>
      <c r="C192" s="50"/>
      <c r="D192" s="50"/>
      <c r="E192" s="50">
        <v>12824393.76</v>
      </c>
      <c r="F192" s="2"/>
      <c r="G192" s="50">
        <v>11495621.119999999</v>
      </c>
      <c r="H192" s="50">
        <v>10291482.359999999</v>
      </c>
      <c r="I192" s="68">
        <v>9410812.6500000004</v>
      </c>
      <c r="J192" s="50">
        <v>10276548.42</v>
      </c>
      <c r="K192" s="50">
        <v>9228291.1500000004</v>
      </c>
      <c r="L192" s="50">
        <v>8483408.8100000005</v>
      </c>
      <c r="M192" s="50">
        <v>8038572.5599999996</v>
      </c>
      <c r="N192" s="50">
        <v>9163952.9900000002</v>
      </c>
      <c r="O192" s="50">
        <v>8022801.71</v>
      </c>
      <c r="P192" s="50">
        <v>6258284.04</v>
      </c>
      <c r="Q192" s="50">
        <v>5210531.82</v>
      </c>
      <c r="R192" s="50">
        <v>6621805.0899999999</v>
      </c>
      <c r="S192" s="2"/>
      <c r="T192" s="50">
        <v>6511028.3099999996</v>
      </c>
      <c r="U192" s="50">
        <v>5290930.59</v>
      </c>
      <c r="V192" s="50">
        <v>3394811.44</v>
      </c>
      <c r="W192" s="50">
        <v>3127476.49</v>
      </c>
      <c r="X192" s="50">
        <f>+W192+X191</f>
        <v>4093669.7999999989</v>
      </c>
      <c r="Y192" s="50">
        <v>3330289.24</v>
      </c>
      <c r="Z192" s="50">
        <v>4987319.17</v>
      </c>
      <c r="AA192" s="50">
        <v>19521490.030000001</v>
      </c>
      <c r="AB192" s="50">
        <v>11245965.710000001</v>
      </c>
      <c r="AC192" s="50">
        <v>24755692.699999999</v>
      </c>
      <c r="AD192" s="50">
        <v>14742706.949999999</v>
      </c>
      <c r="AE192" s="50">
        <v>7362853.0800000001</v>
      </c>
      <c r="AF192" s="2"/>
      <c r="AG192" s="50">
        <v>7711349.7699999996</v>
      </c>
      <c r="AH192" s="50">
        <v>16466959.960000001</v>
      </c>
      <c r="AI192" s="50">
        <v>8708412.9100000001</v>
      </c>
      <c r="AJ192" s="50">
        <v>94361167.36999999</v>
      </c>
      <c r="AK192" s="50">
        <v>88762008.659999996</v>
      </c>
      <c r="AL192" s="50">
        <v>68412578.729999989</v>
      </c>
      <c r="AM192" s="50">
        <v>59539119.859999992</v>
      </c>
      <c r="AN192" s="50">
        <v>70463362.319999993</v>
      </c>
      <c r="AO192" s="50">
        <v>91162763.98999998</v>
      </c>
      <c r="AP192" s="50">
        <v>117217502.81999998</v>
      </c>
      <c r="AQ192" s="69">
        <v>112435948.68999997</v>
      </c>
      <c r="AR192" s="69">
        <v>87514623.629999965</v>
      </c>
      <c r="AS192" s="2"/>
      <c r="AT192" s="2"/>
      <c r="AU192" s="4"/>
      <c r="AV192" s="69">
        <v>90673785.169999957</v>
      </c>
      <c r="AW192" s="69">
        <v>102036939.83999996</v>
      </c>
      <c r="AX192" s="69">
        <v>106785004.74999996</v>
      </c>
      <c r="AY192" s="69">
        <v>108054713.65999997</v>
      </c>
      <c r="AZ192" s="69">
        <v>113356107.24999996</v>
      </c>
      <c r="BA192" s="69">
        <v>111759832.43999997</v>
      </c>
      <c r="BB192" s="69">
        <v>156614142.13999999</v>
      </c>
      <c r="BC192" s="69">
        <v>132161785.46999998</v>
      </c>
      <c r="BD192" s="69">
        <v>87793714.889999986</v>
      </c>
      <c r="BE192" s="69">
        <v>74214002.299999982</v>
      </c>
      <c r="BF192" s="69">
        <v>66701315.029999986</v>
      </c>
      <c r="BG192" s="69">
        <v>77476095.459999993</v>
      </c>
      <c r="BH192" s="4"/>
      <c r="BI192" s="69">
        <f>+BG192+BI191</f>
        <v>55512574.36999999</v>
      </c>
      <c r="BJ192" s="69">
        <f t="shared" ref="BJ192:BT192" si="211">+BI192+BJ191</f>
        <v>68596184.62999998</v>
      </c>
      <c r="BK192" s="69">
        <f t="shared" si="211"/>
        <v>39396100.140000001</v>
      </c>
      <c r="BL192" s="69">
        <f t="shared" si="211"/>
        <v>65429515.469999984</v>
      </c>
      <c r="BM192" s="69">
        <f t="shared" si="211"/>
        <v>90155463.209999993</v>
      </c>
      <c r="BN192" s="69">
        <f t="shared" si="211"/>
        <v>94055526.890000001</v>
      </c>
      <c r="BO192" s="69">
        <f t="shared" si="211"/>
        <v>63709430.079999998</v>
      </c>
      <c r="BP192" s="69">
        <f t="shared" si="211"/>
        <v>119906025.68999995</v>
      </c>
      <c r="BQ192" s="69">
        <f t="shared" si="211"/>
        <v>83657391.539999977</v>
      </c>
      <c r="BR192" s="69">
        <f t="shared" si="211"/>
        <v>74635707.409999982</v>
      </c>
      <c r="BS192" s="50">
        <f t="shared" si="211"/>
        <v>140408285.63</v>
      </c>
      <c r="BT192" s="50">
        <f t="shared" si="211"/>
        <v>135077235.91</v>
      </c>
      <c r="BU192" s="435"/>
      <c r="BV192" s="50">
        <f>+BT192+BV191</f>
        <v>156250220.78000006</v>
      </c>
      <c r="BW192" s="50">
        <f t="shared" ref="BW192:CC192" si="212">+BV192+BW191</f>
        <v>137981203.46000007</v>
      </c>
      <c r="BX192" s="493">
        <f t="shared" si="212"/>
        <v>111738656.02000006</v>
      </c>
      <c r="BY192" s="493">
        <f t="shared" si="212"/>
        <v>76797710.120000049</v>
      </c>
      <c r="BZ192" s="493">
        <f t="shared" si="212"/>
        <v>155822248.70000011</v>
      </c>
      <c r="CA192" s="493">
        <f t="shared" si="212"/>
        <v>127736454.16000009</v>
      </c>
      <c r="CB192" s="493">
        <f t="shared" si="212"/>
        <v>68038057.630000055</v>
      </c>
      <c r="CC192" s="493">
        <f t="shared" si="212"/>
        <v>53211287.610000044</v>
      </c>
      <c r="CD192" s="493">
        <f>+CC192+CD191</f>
        <v>71132505.200000018</v>
      </c>
      <c r="CE192" s="600">
        <f>+CD192+CE191</f>
        <v>91898885.359999985</v>
      </c>
      <c r="CF192" s="600">
        <f>+CE192+CF191</f>
        <v>416548416.16999996</v>
      </c>
      <c r="CG192" s="600">
        <f>+CF192+CG191</f>
        <v>311744546.78999996</v>
      </c>
      <c r="CH192" s="435"/>
      <c r="CI192" s="600"/>
      <c r="CJ192" s="600"/>
      <c r="CK192" s="600"/>
      <c r="CL192" s="600"/>
      <c r="CM192" s="600"/>
      <c r="CN192" s="600"/>
      <c r="CO192" s="600"/>
      <c r="CP192" s="600"/>
      <c r="CQ192" s="600"/>
      <c r="CR192" s="600"/>
      <c r="CS192" s="600"/>
      <c r="CT192" s="600"/>
      <c r="CU192" s="2"/>
      <c r="DD192" s="600"/>
      <c r="DE192" s="600"/>
      <c r="DF192" s="600"/>
      <c r="DG192" s="600"/>
      <c r="DH192" s="2"/>
      <c r="DI192" s="600"/>
      <c r="DJ192" s="600"/>
      <c r="DK192" s="600"/>
      <c r="DL192" s="600"/>
      <c r="DM192" s="600"/>
      <c r="DN192" s="600"/>
      <c r="DO192" s="600"/>
      <c r="DP192" s="600"/>
      <c r="DQ192" s="600"/>
      <c r="DR192" s="600"/>
      <c r="DS192" s="600"/>
      <c r="DT192" s="600"/>
      <c r="DU192" s="2"/>
    </row>
    <row r="193" spans="1:125" ht="37.5" hidden="1" customHeight="1" outlineLevel="1">
      <c r="A193" s="2" t="s">
        <v>793</v>
      </c>
      <c r="B193" s="2"/>
      <c r="C193" s="2"/>
      <c r="D193" s="2"/>
      <c r="E193" s="2"/>
      <c r="F193" s="2"/>
      <c r="G193" s="2"/>
      <c r="H193" s="2"/>
      <c r="I193" s="7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4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70"/>
      <c r="AL193" s="2"/>
      <c r="AM193" s="2"/>
      <c r="AN193" s="2"/>
      <c r="AO193" s="2"/>
      <c r="AP193" s="2"/>
      <c r="AQ193" s="71"/>
      <c r="AR193" s="71"/>
      <c r="AS193" s="2"/>
      <c r="AT193" s="2"/>
      <c r="AU193" s="4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4"/>
      <c r="BI193" s="70"/>
      <c r="BJ193" s="70"/>
      <c r="BK193" s="70"/>
      <c r="BL193" s="70"/>
      <c r="BM193" s="70"/>
      <c r="BN193" s="71"/>
      <c r="BO193" s="71"/>
      <c r="BP193" s="71"/>
      <c r="BQ193" s="71"/>
      <c r="BR193" s="71"/>
      <c r="BS193" s="71"/>
      <c r="BT193" s="398"/>
      <c r="BU193" s="398"/>
      <c r="BV193" s="398"/>
      <c r="BW193" s="71"/>
      <c r="BX193" s="71"/>
      <c r="BY193" s="398"/>
      <c r="BZ193" s="398"/>
      <c r="CA193" s="398"/>
      <c r="CB193" s="398"/>
      <c r="CC193" s="398"/>
      <c r="CD193" s="398"/>
      <c r="CE193" s="398"/>
      <c r="CF193" s="398"/>
      <c r="CG193" s="398"/>
      <c r="CH193" s="398"/>
      <c r="CI193" s="398"/>
      <c r="CJ193" s="398"/>
      <c r="CK193" s="398"/>
      <c r="CL193" s="398"/>
      <c r="CM193" s="398"/>
      <c r="CN193" s="398"/>
      <c r="CO193" s="398"/>
      <c r="CP193" s="398"/>
      <c r="CQ193" s="398"/>
      <c r="CR193" s="398"/>
      <c r="CS193" s="398"/>
      <c r="CT193" s="398"/>
      <c r="CU193" s="2"/>
      <c r="CV193" s="398">
        <f t="shared" ref="CV193:DF193" si="213">CV186+CV184+CV173+CV158+CV159+CV160+CV103-CV66</f>
        <v>-266572.56999999686</v>
      </c>
      <c r="CW193" s="398">
        <f t="shared" si="213"/>
        <v>7732314.9299999988</v>
      </c>
      <c r="CX193" s="398">
        <f t="shared" si="213"/>
        <v>-1301248.150000002</v>
      </c>
      <c r="CY193" s="398">
        <f t="shared" si="213"/>
        <v>-2057830.570000004</v>
      </c>
      <c r="CZ193" s="398">
        <f t="shared" si="213"/>
        <v>3768371.0099999937</v>
      </c>
      <c r="DA193" s="398">
        <f t="shared" si="213"/>
        <v>2670339.8400000008</v>
      </c>
      <c r="DB193" s="398">
        <f t="shared" si="213"/>
        <v>141847.47000000393</v>
      </c>
      <c r="DC193" s="398">
        <f t="shared" si="213"/>
        <v>-2900930.7299999902</v>
      </c>
      <c r="DD193" s="398">
        <f t="shared" si="213"/>
        <v>231279.77000000258</v>
      </c>
      <c r="DE193" s="398">
        <f t="shared" si="213"/>
        <v>429856.58000000508</v>
      </c>
      <c r="DF193" s="398">
        <f t="shared" si="213"/>
        <v>-4739970.95</v>
      </c>
      <c r="DG193" s="398"/>
      <c r="DH193" s="2"/>
      <c r="DI193" s="398">
        <f>DI186+DI184+DI173+DI158+DI159+DI160+DI103-DI66</f>
        <v>3050406.8400000003</v>
      </c>
      <c r="DJ193" s="398">
        <f>DJ186+DJ184+DJ173+DJ158+DJ159+DJ160+DJ103-DW66</f>
        <v>933893.65000000317</v>
      </c>
      <c r="DK193" s="398">
        <f t="shared" ref="DK193:DT193" si="214">DK186+DK184+DK173+DK158+DK159+DK160+DK103-DK66</f>
        <v>3592597.0300000082</v>
      </c>
      <c r="DL193" s="398">
        <f t="shared" si="214"/>
        <v>-2050778.2000000027</v>
      </c>
      <c r="DM193" s="398">
        <f t="shared" si="214"/>
        <v>2273100.8100000098</v>
      </c>
      <c r="DN193" s="398">
        <f t="shared" si="214"/>
        <v>-5389031.7799999937</v>
      </c>
      <c r="DO193" s="398">
        <f t="shared" si="214"/>
        <v>3646250.2299999939</v>
      </c>
      <c r="DP193" s="398">
        <f t="shared" si="214"/>
        <v>3812052.2300000032</v>
      </c>
      <c r="DQ193" s="398">
        <f t="shared" si="214"/>
        <v>-10477319.050000008</v>
      </c>
      <c r="DR193" s="398">
        <f t="shared" si="214"/>
        <v>8540771.2500000019</v>
      </c>
      <c r="DS193" s="398">
        <f t="shared" si="214"/>
        <v>0</v>
      </c>
      <c r="DT193" s="398">
        <f t="shared" si="214"/>
        <v>0</v>
      </c>
      <c r="DU193" s="2"/>
    </row>
    <row r="194" spans="1:125" ht="12.75" hidden="1" customHeight="1" outlineLevel="1">
      <c r="A194" s="2" t="s">
        <v>140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4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4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4"/>
      <c r="BI194" s="2"/>
      <c r="BJ194" s="2"/>
      <c r="BK194" s="70"/>
      <c r="BL194" s="70"/>
      <c r="BM194" s="70"/>
      <c r="BN194" s="70"/>
      <c r="BO194" s="70"/>
      <c r="BP194" s="70"/>
      <c r="BQ194" s="70"/>
      <c r="BR194" s="70"/>
      <c r="BS194" s="70"/>
      <c r="BT194" s="399"/>
      <c r="BU194" s="399"/>
      <c r="BV194" s="399"/>
      <c r="BW194" s="70"/>
      <c r="BX194" s="70"/>
      <c r="BY194" s="399"/>
      <c r="BZ194" s="399"/>
      <c r="CA194" s="399"/>
      <c r="CB194" s="399"/>
      <c r="CC194" s="399"/>
      <c r="CD194" s="399"/>
      <c r="CE194" s="399"/>
      <c r="CF194" s="399"/>
      <c r="CG194" s="399"/>
      <c r="CH194" s="399"/>
      <c r="CI194" s="399"/>
      <c r="CJ194" s="399"/>
      <c r="CK194" s="399"/>
      <c r="CL194" s="399"/>
      <c r="CM194" s="399"/>
      <c r="CN194" s="399"/>
      <c r="CO194" s="399"/>
      <c r="CP194" s="399"/>
      <c r="CQ194" s="399"/>
      <c r="CR194" s="399"/>
      <c r="CS194" s="399"/>
      <c r="CT194" s="399"/>
      <c r="CU194" s="2"/>
      <c r="CV194" s="399"/>
      <c r="CW194" s="399"/>
      <c r="CX194" s="399"/>
      <c r="CY194" s="399"/>
      <c r="CZ194" s="399"/>
      <c r="DA194" s="399"/>
      <c r="DB194" s="970"/>
      <c r="DC194" s="970"/>
      <c r="DD194" s="399"/>
      <c r="DE194" s="399"/>
      <c r="DF194" s="399"/>
      <c r="DG194" s="399"/>
      <c r="DH194" s="2"/>
      <c r="DI194" s="399"/>
      <c r="DJ194" s="399"/>
      <c r="DK194" s="399"/>
      <c r="DL194" s="399"/>
      <c r="DM194" s="399"/>
      <c r="DN194" s="399"/>
      <c r="DO194" s="399"/>
      <c r="DP194" s="399"/>
      <c r="DQ194" s="399"/>
      <c r="DR194" s="399"/>
      <c r="DS194" s="399"/>
      <c r="DT194" s="399"/>
      <c r="DU194" s="2"/>
    </row>
    <row r="195" spans="1:125" ht="12.75" hidden="1" customHeight="1" outlineLevel="1">
      <c r="A195" s="2" t="s">
        <v>141</v>
      </c>
      <c r="B195" s="2"/>
      <c r="C195" s="2"/>
      <c r="D195" s="2"/>
      <c r="E195" s="2"/>
      <c r="F195" s="2"/>
      <c r="G195" s="4">
        <f t="shared" ref="G195:N195" si="215">G186</f>
        <v>-154725.94000000003</v>
      </c>
      <c r="H195" s="4">
        <f t="shared" si="215"/>
        <v>-243508.77000000002</v>
      </c>
      <c r="I195" s="4">
        <f t="shared" si="215"/>
        <v>-90131.540000000008</v>
      </c>
      <c r="J195" s="4">
        <f t="shared" si="215"/>
        <v>-80178.35000000002</v>
      </c>
      <c r="K195" s="4">
        <f t="shared" si="215"/>
        <v>-223194.74999999994</v>
      </c>
      <c r="L195" s="4">
        <f t="shared" si="215"/>
        <v>103420.03000000003</v>
      </c>
      <c r="M195" s="4">
        <f t="shared" si="215"/>
        <v>46365.419999999933</v>
      </c>
      <c r="N195" s="4">
        <f t="shared" si="215"/>
        <v>-167465.54999999999</v>
      </c>
      <c r="O195" s="4"/>
      <c r="P195" s="4"/>
      <c r="Q195" s="4"/>
      <c r="R195" s="4"/>
      <c r="S195" s="2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2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2"/>
      <c r="BJ195" s="2"/>
      <c r="BK195" s="70"/>
      <c r="BL195" s="70"/>
      <c r="BM195" s="70"/>
      <c r="BN195" s="70"/>
      <c r="BO195" s="70"/>
      <c r="BP195" s="70"/>
      <c r="BQ195" s="70"/>
      <c r="BR195" s="70"/>
      <c r="BS195" s="70"/>
      <c r="BT195" s="399"/>
      <c r="BU195" s="399"/>
      <c r="BV195" s="399"/>
      <c r="BW195" s="70"/>
      <c r="BX195" s="70"/>
      <c r="BY195" s="399"/>
      <c r="BZ195" s="399"/>
      <c r="CA195" s="399"/>
      <c r="CB195" s="399"/>
      <c r="CC195" s="399"/>
      <c r="CD195" s="399"/>
      <c r="CE195" s="399"/>
      <c r="CF195" s="399"/>
      <c r="CG195" s="399"/>
      <c r="CH195" s="399"/>
      <c r="CI195" s="399"/>
      <c r="CJ195" s="399"/>
      <c r="CK195" s="399"/>
      <c r="CL195" s="399"/>
      <c r="CM195" s="399"/>
      <c r="CN195" s="399"/>
      <c r="CO195" s="399"/>
      <c r="CP195" s="399"/>
      <c r="CQ195" s="399"/>
      <c r="CR195" s="399"/>
      <c r="CS195" s="399"/>
      <c r="CT195" s="399"/>
      <c r="CU195" s="2"/>
      <c r="CV195" s="399"/>
      <c r="CW195" s="399"/>
      <c r="CX195" s="399"/>
      <c r="CY195" s="399"/>
      <c r="CZ195" s="399"/>
      <c r="DA195" s="399"/>
      <c r="DB195" s="970"/>
      <c r="DC195" s="970"/>
      <c r="DD195" s="399"/>
      <c r="DE195" s="399"/>
      <c r="DF195" s="399"/>
      <c r="DG195" s="399"/>
      <c r="DH195" s="2"/>
      <c r="DI195" s="399"/>
      <c r="DJ195" s="399"/>
      <c r="DK195" s="399"/>
      <c r="DL195" s="399"/>
      <c r="DM195" s="399"/>
      <c r="DN195" s="399"/>
      <c r="DO195" s="399"/>
      <c r="DP195" s="399"/>
      <c r="DQ195" s="399"/>
      <c r="DR195" s="399"/>
      <c r="DS195" s="399"/>
      <c r="DT195" s="399"/>
      <c r="DU195" s="2"/>
    </row>
    <row r="196" spans="1:125" ht="12.75" hidden="1" customHeight="1" outlineLevel="1">
      <c r="A196" s="2" t="s">
        <v>142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4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4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4"/>
      <c r="BI196" s="2"/>
      <c r="BJ196" s="2"/>
      <c r="BK196" s="70"/>
      <c r="BL196" s="70"/>
      <c r="BM196" s="70"/>
      <c r="BN196" s="70"/>
      <c r="BO196" s="70"/>
      <c r="BP196" s="70"/>
      <c r="BQ196" s="70"/>
      <c r="BR196" s="70"/>
      <c r="BS196" s="70"/>
      <c r="BT196" s="399"/>
      <c r="BU196" s="399"/>
      <c r="BV196" s="399"/>
      <c r="BW196" s="70"/>
      <c r="BX196" s="70"/>
      <c r="BY196" s="399"/>
      <c r="BZ196" s="399"/>
      <c r="CA196" s="399"/>
      <c r="CB196" s="399"/>
      <c r="CC196" s="399"/>
      <c r="CD196" s="399"/>
      <c r="CE196" s="399"/>
      <c r="CF196" s="399"/>
      <c r="CG196" s="399"/>
      <c r="CH196" s="399"/>
      <c r="CI196" s="399"/>
      <c r="CJ196" s="399"/>
      <c r="CK196" s="399"/>
      <c r="CL196" s="399"/>
      <c r="CM196" s="399"/>
      <c r="CN196" s="399"/>
      <c r="CO196" s="399"/>
      <c r="CP196" s="399"/>
      <c r="CQ196" s="399"/>
      <c r="CR196" s="399"/>
      <c r="CS196" s="399"/>
      <c r="CT196" s="399"/>
      <c r="CU196" s="2"/>
      <c r="CV196" s="399"/>
      <c r="CW196" s="399"/>
      <c r="CX196" s="399"/>
      <c r="CY196" s="399"/>
      <c r="CZ196" s="399"/>
      <c r="DA196" s="399"/>
      <c r="DB196" s="970"/>
      <c r="DC196" s="970"/>
      <c r="DD196" s="399"/>
      <c r="DE196" s="399"/>
      <c r="DF196" s="399"/>
      <c r="DG196" s="399"/>
      <c r="DH196" s="2"/>
      <c r="DI196" s="399"/>
      <c r="DJ196" s="399"/>
      <c r="DK196" s="399"/>
      <c r="DL196" s="399"/>
      <c r="DM196" s="399"/>
      <c r="DN196" s="399"/>
      <c r="DO196" s="399"/>
      <c r="DP196" s="399"/>
      <c r="DQ196" s="399"/>
      <c r="DR196" s="399"/>
      <c r="DS196" s="399"/>
      <c r="DT196" s="399"/>
      <c r="DU196" s="2"/>
    </row>
    <row r="197" spans="1:125" ht="12.75" hidden="1" customHeight="1" outlineLevel="1">
      <c r="A197" s="2" t="s">
        <v>143</v>
      </c>
      <c r="B197" s="2"/>
      <c r="C197" s="2"/>
      <c r="D197" s="2"/>
      <c r="E197" s="2"/>
      <c r="F197" s="2"/>
      <c r="G197" s="4">
        <f t="shared" ref="G197:N197" si="216">G180</f>
        <v>28682.170000000002</v>
      </c>
      <c r="H197" s="4">
        <f t="shared" si="216"/>
        <v>28913.77</v>
      </c>
      <c r="I197" s="4">
        <f t="shared" si="216"/>
        <v>29194.23</v>
      </c>
      <c r="J197" s="4">
        <f t="shared" si="216"/>
        <v>39275.410000000003</v>
      </c>
      <c r="K197" s="4">
        <f t="shared" si="216"/>
        <v>33766.67</v>
      </c>
      <c r="L197" s="4">
        <f t="shared" si="216"/>
        <v>34430.839999999997</v>
      </c>
      <c r="M197" s="4">
        <f t="shared" si="216"/>
        <v>33586.46</v>
      </c>
      <c r="N197" s="4">
        <f t="shared" si="216"/>
        <v>30641.260000000002</v>
      </c>
      <c r="O197" s="4"/>
      <c r="P197" s="4"/>
      <c r="Q197" s="4"/>
      <c r="R197" s="4"/>
      <c r="S197" s="2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2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2"/>
      <c r="BJ197" s="2"/>
      <c r="BK197" s="70"/>
      <c r="BL197" s="70"/>
      <c r="BM197" s="70"/>
      <c r="BN197" s="70"/>
      <c r="BO197" s="70"/>
      <c r="BP197" s="70"/>
      <c r="BQ197" s="70"/>
      <c r="BR197" s="70"/>
      <c r="BS197" s="70"/>
      <c r="BT197" s="399"/>
      <c r="BU197" s="399"/>
      <c r="BV197" s="399"/>
      <c r="BW197" s="70"/>
      <c r="BX197" s="70"/>
      <c r="BY197" s="399"/>
      <c r="BZ197" s="399"/>
      <c r="CA197" s="399"/>
      <c r="CB197" s="399"/>
      <c r="CC197" s="399"/>
      <c r="CD197" s="399"/>
      <c r="CE197" s="399"/>
      <c r="CF197" s="399"/>
      <c r="CG197" s="399"/>
      <c r="CH197" s="399"/>
      <c r="CI197" s="399"/>
      <c r="CJ197" s="399"/>
      <c r="CK197" s="399"/>
      <c r="CL197" s="399"/>
      <c r="CM197" s="399"/>
      <c r="CN197" s="399"/>
      <c r="CO197" s="399"/>
      <c r="CP197" s="399"/>
      <c r="CQ197" s="399"/>
      <c r="CR197" s="399"/>
      <c r="CS197" s="399"/>
      <c r="CT197" s="399"/>
      <c r="CU197" s="2"/>
      <c r="CV197" s="399"/>
      <c r="CW197" s="399"/>
      <c r="CX197" s="399"/>
      <c r="CY197" s="399"/>
      <c r="CZ197" s="399"/>
      <c r="DA197" s="399"/>
      <c r="DB197" s="970"/>
      <c r="DC197" s="970"/>
    </row>
    <row r="198" spans="1:125" ht="12.75" hidden="1" customHeight="1" outlineLevel="1">
      <c r="A198" s="2" t="s">
        <v>144</v>
      </c>
      <c r="B198" s="2"/>
      <c r="C198" s="2"/>
      <c r="D198" s="2"/>
      <c r="E198" s="2"/>
      <c r="F198" s="2"/>
      <c r="G198" s="4">
        <f t="shared" ref="G198:N198" si="217">G155</f>
        <v>-68897.33</v>
      </c>
      <c r="H198" s="4">
        <f t="shared" si="217"/>
        <v>-2215.9899999999998</v>
      </c>
      <c r="I198" s="4">
        <f t="shared" si="217"/>
        <v>31710.59</v>
      </c>
      <c r="J198" s="4">
        <f t="shared" si="217"/>
        <v>-15644.52</v>
      </c>
      <c r="K198" s="4">
        <f t="shared" si="217"/>
        <v>-61774.44</v>
      </c>
      <c r="L198" s="4">
        <f t="shared" si="217"/>
        <v>34883.599999999999</v>
      </c>
      <c r="M198" s="4">
        <f t="shared" si="217"/>
        <v>-130166.49</v>
      </c>
      <c r="N198" s="4">
        <f t="shared" si="217"/>
        <v>-216023.31</v>
      </c>
      <c r="O198" s="4"/>
      <c r="P198" s="4"/>
      <c r="Q198" s="4"/>
      <c r="R198" s="4"/>
      <c r="S198" s="2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2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2"/>
      <c r="BJ198" s="2"/>
      <c r="BK198" s="70"/>
      <c r="BL198" s="70"/>
      <c r="BM198" s="70"/>
      <c r="BN198" s="70"/>
      <c r="BO198" s="70"/>
      <c r="BP198" s="70"/>
      <c r="BQ198" s="70"/>
      <c r="BR198" s="70"/>
      <c r="BS198" s="70"/>
      <c r="BT198" s="399"/>
      <c r="BU198" s="399"/>
      <c r="BV198" s="399"/>
      <c r="BW198" s="70"/>
      <c r="BX198" s="70"/>
      <c r="BY198" s="399"/>
      <c r="BZ198" s="399"/>
      <c r="CA198" s="399"/>
      <c r="CB198" s="399"/>
      <c r="CC198" s="399"/>
      <c r="CD198" s="399"/>
      <c r="CE198" s="399"/>
      <c r="CF198" s="399"/>
      <c r="CG198" s="399"/>
      <c r="CH198" s="399"/>
      <c r="CI198" s="399"/>
      <c r="CJ198" s="399"/>
      <c r="CK198" s="399"/>
      <c r="CL198" s="399"/>
      <c r="CM198" s="399"/>
      <c r="CN198" s="399"/>
      <c r="CO198" s="399"/>
      <c r="CP198" s="399"/>
      <c r="CQ198" s="399"/>
      <c r="CR198" s="399"/>
      <c r="CS198" s="399"/>
      <c r="CT198" s="399"/>
      <c r="CU198" s="2"/>
      <c r="CV198" s="399"/>
      <c r="CW198" s="399"/>
      <c r="CX198" s="399"/>
      <c r="CY198" s="399"/>
      <c r="CZ198" s="399"/>
      <c r="DA198" s="399"/>
      <c r="DB198" s="970"/>
      <c r="DC198" s="970"/>
    </row>
    <row r="199" spans="1:125" ht="12.75" hidden="1" customHeight="1" outlineLevel="1">
      <c r="A199" s="2" t="s">
        <v>145</v>
      </c>
      <c r="B199" s="2"/>
      <c r="C199" s="2"/>
      <c r="D199" s="2"/>
      <c r="E199" s="2"/>
      <c r="F199" s="2"/>
      <c r="G199" s="4">
        <v>-142205.91</v>
      </c>
      <c r="H199" s="4">
        <v>-141771.95000000001</v>
      </c>
      <c r="I199" s="4">
        <v>-139779.35999999999</v>
      </c>
      <c r="J199" s="4">
        <v>-149189.57999999999</v>
      </c>
      <c r="K199" s="4">
        <v>-127476.66</v>
      </c>
      <c r="L199" s="4">
        <v>-166551.17000000001</v>
      </c>
      <c r="M199" s="4">
        <v>-238449.95</v>
      </c>
      <c r="N199" s="4">
        <v>-242775.75</v>
      </c>
      <c r="O199" s="4"/>
      <c r="P199" s="4"/>
      <c r="Q199" s="4"/>
      <c r="R199" s="4"/>
      <c r="S199" s="2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2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2"/>
      <c r="BJ199" s="2"/>
      <c r="BK199" s="70"/>
      <c r="BL199" s="70"/>
      <c r="BM199" s="70"/>
      <c r="BN199" s="70"/>
      <c r="BO199" s="70"/>
      <c r="BP199" s="70"/>
      <c r="BQ199" s="70"/>
      <c r="BR199" s="70"/>
      <c r="BS199" s="70"/>
      <c r="BT199" s="399"/>
      <c r="BU199" s="399"/>
      <c r="BV199" s="399"/>
      <c r="BW199" s="70"/>
      <c r="BX199" s="70"/>
      <c r="BY199" s="399"/>
      <c r="BZ199" s="399"/>
      <c r="CA199" s="399"/>
      <c r="CB199" s="399"/>
      <c r="CC199" s="399"/>
      <c r="CD199" s="399"/>
      <c r="CE199" s="399"/>
      <c r="CF199" s="399"/>
      <c r="CG199" s="399"/>
      <c r="CH199" s="399"/>
      <c r="CI199" s="399"/>
      <c r="CJ199" s="399"/>
      <c r="CK199" s="399"/>
      <c r="CL199" s="399"/>
      <c r="CM199" s="399"/>
      <c r="CN199" s="399"/>
      <c r="CO199" s="399"/>
      <c r="CP199" s="399"/>
      <c r="CQ199" s="399"/>
      <c r="CR199" s="399"/>
      <c r="CS199" s="399"/>
      <c r="CT199" s="399"/>
      <c r="CU199" s="2"/>
      <c r="CV199" s="399"/>
      <c r="CW199" s="399"/>
      <c r="CX199" s="399"/>
      <c r="CY199" s="399"/>
      <c r="CZ199" s="399"/>
      <c r="DA199" s="399"/>
      <c r="DB199" s="970"/>
      <c r="DC199" s="970"/>
    </row>
    <row r="200" spans="1:125" ht="12.75" hidden="1" customHeight="1" outlineLevel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4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4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4"/>
      <c r="BI200" s="2"/>
      <c r="BJ200" s="2"/>
      <c r="BK200" s="70"/>
      <c r="BL200" s="70"/>
      <c r="BM200" s="70"/>
      <c r="BN200" s="70"/>
      <c r="BO200" s="70"/>
      <c r="BP200" s="70"/>
      <c r="BQ200" s="70"/>
      <c r="BR200" s="70"/>
      <c r="BS200" s="70"/>
      <c r="BT200" s="399"/>
      <c r="BU200" s="399"/>
      <c r="BV200" s="399"/>
      <c r="BW200" s="70"/>
      <c r="BX200" s="70"/>
      <c r="BY200" s="399"/>
      <c r="BZ200" s="399"/>
      <c r="CA200" s="399"/>
      <c r="CB200" s="399"/>
      <c r="CC200" s="399"/>
      <c r="CD200" s="399"/>
      <c r="CE200" s="399"/>
      <c r="CF200" s="399"/>
      <c r="CG200" s="399"/>
      <c r="CH200" s="399"/>
      <c r="CI200" s="399"/>
      <c r="CJ200" s="399"/>
      <c r="CK200" s="399"/>
      <c r="CL200" s="399"/>
      <c r="CM200" s="399"/>
      <c r="CN200" s="399"/>
      <c r="CO200" s="399"/>
      <c r="CP200" s="399"/>
      <c r="CQ200" s="399"/>
      <c r="CR200" s="399"/>
      <c r="CS200" s="399"/>
      <c r="CT200" s="399"/>
      <c r="CU200" s="2"/>
      <c r="CV200" s="399"/>
      <c r="CW200" s="399"/>
      <c r="CX200" s="399"/>
      <c r="CY200" s="399"/>
      <c r="CZ200" s="399"/>
      <c r="DA200" s="399"/>
      <c r="DB200" s="970"/>
      <c r="DC200" s="970"/>
    </row>
    <row r="201" spans="1:125" ht="12.75" hidden="1" customHeight="1" outlineLevel="1">
      <c r="A201" s="2"/>
      <c r="B201" s="2"/>
      <c r="C201" s="2"/>
      <c r="D201" s="2"/>
      <c r="E201" s="2"/>
      <c r="F201" s="2"/>
      <c r="G201" s="2"/>
      <c r="H201" s="72"/>
      <c r="I201" s="2"/>
      <c r="J201" s="72"/>
      <c r="K201" s="2"/>
      <c r="L201" s="73"/>
      <c r="M201" s="2"/>
      <c r="N201" s="73"/>
      <c r="O201" s="73"/>
      <c r="P201" s="73"/>
      <c r="Q201" s="73"/>
      <c r="R201" s="73"/>
      <c r="S201" s="2"/>
      <c r="T201" s="67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2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2"/>
      <c r="AT201" s="2"/>
      <c r="AU201" s="4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4"/>
      <c r="BI201" s="2"/>
      <c r="BJ201" s="2"/>
      <c r="BK201" s="70"/>
      <c r="BL201" s="70"/>
      <c r="BM201" s="70"/>
      <c r="BN201" s="70"/>
      <c r="BO201" s="70"/>
      <c r="BP201" s="70"/>
      <c r="BQ201" s="70"/>
      <c r="BR201" s="70"/>
      <c r="BS201" s="70"/>
      <c r="BT201" s="399"/>
      <c r="BU201" s="399"/>
      <c r="BV201" s="399"/>
      <c r="BW201" s="70"/>
      <c r="BX201" s="70"/>
      <c r="BY201" s="399"/>
      <c r="BZ201" s="399"/>
      <c r="CA201" s="399"/>
      <c r="CB201" s="399"/>
      <c r="CC201" s="399"/>
      <c r="CD201" s="399"/>
      <c r="CE201" s="399">
        <f>CE186+CE184+CE159+CE158+CE160+CE103-CE67</f>
        <v>2963722.8900000011</v>
      </c>
      <c r="CF201" s="399">
        <f>CF186+CF184+CF159+CF158+CF160+CF103-CF67</f>
        <v>1213694.8099999968</v>
      </c>
      <c r="CG201" s="399">
        <f>CG186+CG184+CG159+CG158+CG160+CG103-CG67</f>
        <v>3315196.1100000036</v>
      </c>
      <c r="CH201" s="399"/>
      <c r="CI201" s="399">
        <f>CI186+CI184+CI159+CI158+CI160+CI103-CI67</f>
        <v>112118.71000000276</v>
      </c>
      <c r="CJ201" s="399">
        <f>CJ186+CJ184+CJ159+CJ158+CJ160+CJ103-CJ67</f>
        <v>865917.30000000075</v>
      </c>
      <c r="CK201" s="399">
        <f>CK186+CK184+CK159+CK158+CK160+CK103-CK67</f>
        <v>3403760.1999999979</v>
      </c>
      <c r="CL201" s="399">
        <f>CL186+CL184+CL159+CL158+CL160+CL103-CL67</f>
        <v>2771344.8300000047</v>
      </c>
      <c r="CM201" s="399">
        <f t="shared" ref="CM201:CT201" si="218">CM186+CM184+CM159+CM158+CM160+CM103-CM67+CM169+CM170</f>
        <v>2529006.0200000051</v>
      </c>
      <c r="CN201" s="399">
        <f t="shared" si="218"/>
        <v>791644.27999999886</v>
      </c>
      <c r="CO201" s="399">
        <f t="shared" si="218"/>
        <v>1466510.7399999965</v>
      </c>
      <c r="CP201" s="399">
        <f t="shared" si="218"/>
        <v>2128340.7300000042</v>
      </c>
      <c r="CQ201" s="399">
        <f t="shared" si="218"/>
        <v>2315620.959999992</v>
      </c>
      <c r="CR201" s="399">
        <f t="shared" si="218"/>
        <v>6634547.3199999984</v>
      </c>
      <c r="CS201" s="399">
        <f t="shared" si="218"/>
        <v>4768570.2700000023</v>
      </c>
      <c r="CT201" s="399">
        <f t="shared" si="218"/>
        <v>9139803.4700000081</v>
      </c>
      <c r="CU201" s="2"/>
      <c r="CV201" s="399"/>
      <c r="CW201" s="399"/>
      <c r="CX201" s="399"/>
      <c r="CY201" s="399"/>
      <c r="CZ201" s="399"/>
      <c r="DA201" s="399"/>
      <c r="DB201" s="970"/>
      <c r="DC201" s="970"/>
    </row>
    <row r="202" spans="1:125" ht="12.75" customHeight="1" collapsed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4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4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4"/>
      <c r="BI202" s="2"/>
      <c r="BJ202" s="2"/>
      <c r="BK202" s="70"/>
      <c r="BL202" s="70"/>
      <c r="BM202" s="70"/>
      <c r="BN202" s="70"/>
      <c r="BO202" s="70"/>
      <c r="BP202" s="70"/>
      <c r="BQ202" s="70"/>
      <c r="BR202" s="70"/>
      <c r="BS202" s="70"/>
      <c r="BT202" s="399"/>
      <c r="BU202" s="399"/>
      <c r="BV202" s="399"/>
      <c r="BW202" s="70"/>
      <c r="CF202" s="223"/>
      <c r="CG202" s="223"/>
      <c r="CH202" s="399"/>
      <c r="CI202" s="223"/>
      <c r="CJ202" s="223"/>
      <c r="CK202" s="223"/>
      <c r="CL202" s="223"/>
      <c r="CM202" s="223"/>
      <c r="CN202" s="223"/>
      <c r="CO202" s="223"/>
      <c r="CP202" s="223"/>
      <c r="CQ202" s="223"/>
      <c r="CR202" s="223"/>
      <c r="CS202" s="223"/>
      <c r="CT202" s="223"/>
      <c r="CU202" s="631"/>
      <c r="CV202" s="223"/>
      <c r="CW202" s="223"/>
      <c r="CX202" s="223"/>
      <c r="CY202" s="223"/>
      <c r="CZ202" s="223"/>
      <c r="DA202" s="223"/>
      <c r="DB202" s="223"/>
      <c r="DC202" s="223"/>
    </row>
    <row r="203" spans="1:125" ht="12.75" customHeight="1">
      <c r="A203" s="394"/>
      <c r="B203" s="394"/>
      <c r="C203" s="394"/>
      <c r="D203" s="394"/>
      <c r="E203" s="394"/>
      <c r="F203" s="394"/>
      <c r="G203" s="394"/>
      <c r="H203" s="394"/>
      <c r="I203" s="394"/>
      <c r="J203" s="394"/>
      <c r="K203" s="394"/>
      <c r="L203" s="394"/>
      <c r="M203" s="394"/>
      <c r="N203" s="394"/>
      <c r="O203" s="394"/>
      <c r="P203" s="394"/>
      <c r="Q203" s="394"/>
      <c r="R203" s="394"/>
      <c r="S203" s="394"/>
      <c r="T203" s="456"/>
      <c r="U203" s="394"/>
      <c r="V203" s="394"/>
      <c r="W203" s="394"/>
      <c r="X203" s="394"/>
      <c r="Y203" s="394"/>
      <c r="Z203" s="394"/>
      <c r="AA203" s="394"/>
      <c r="AB203" s="394"/>
      <c r="AC203" s="394"/>
      <c r="AD203" s="394"/>
      <c r="AE203" s="394"/>
      <c r="AF203" s="394"/>
      <c r="AG203" s="394"/>
      <c r="AH203" s="394"/>
      <c r="AI203" s="394"/>
      <c r="AJ203" s="394"/>
      <c r="AK203" s="394"/>
      <c r="AL203" s="394"/>
      <c r="AM203" s="394"/>
      <c r="AN203" s="394"/>
      <c r="AO203" s="394"/>
      <c r="AP203" s="394"/>
      <c r="AQ203" s="394"/>
      <c r="AR203" s="394"/>
      <c r="AS203" s="394"/>
      <c r="AT203" s="394"/>
      <c r="AU203" s="456"/>
      <c r="AV203" s="394"/>
      <c r="AW203" s="394"/>
      <c r="AX203" s="394"/>
      <c r="AY203" s="394"/>
      <c r="AZ203" s="394"/>
      <c r="BA203" s="394"/>
      <c r="BB203" s="394"/>
      <c r="BC203" s="394"/>
      <c r="BD203" s="394"/>
      <c r="BE203" s="394"/>
      <c r="BF203" s="394"/>
      <c r="BG203" s="394"/>
      <c r="BH203" s="456"/>
      <c r="BI203" s="394"/>
      <c r="BJ203" s="394"/>
      <c r="BK203" s="399"/>
      <c r="BL203" s="399"/>
      <c r="BM203" s="399"/>
      <c r="BN203" s="399"/>
      <c r="BO203" s="399"/>
      <c r="BP203" s="399"/>
      <c r="BQ203" s="399"/>
      <c r="BR203" s="399"/>
      <c r="BS203" s="399"/>
      <c r="BT203" s="399"/>
      <c r="BU203" s="399"/>
      <c r="BV203" s="399"/>
      <c r="BW203" s="399"/>
      <c r="CF203" s="223"/>
      <c r="CG203" s="223"/>
      <c r="CH203" s="399"/>
      <c r="CI203" s="223"/>
      <c r="CJ203" s="223"/>
      <c r="CK203" s="223"/>
      <c r="CL203" s="223"/>
      <c r="CM203" s="223"/>
      <c r="CN203" s="223"/>
      <c r="CO203" s="223"/>
      <c r="CP203" s="223"/>
      <c r="CQ203" s="223"/>
      <c r="CR203" s="223"/>
      <c r="CS203" s="223"/>
      <c r="CT203" s="223"/>
      <c r="CU203" s="632"/>
      <c r="CV203" s="223"/>
      <c r="CW203" s="223"/>
      <c r="CX203" s="223"/>
      <c r="CY203" s="223"/>
      <c r="CZ203" s="223"/>
      <c r="DA203" s="223"/>
      <c r="DB203" s="223"/>
      <c r="DC203" s="223"/>
      <c r="DN203" s="591"/>
      <c r="DQ203" s="167"/>
    </row>
    <row r="204" spans="1:125" ht="12.75" hidden="1" customHeight="1" outlineLevel="1">
      <c r="A204" s="912" t="s">
        <v>746</v>
      </c>
      <c r="B204" s="394"/>
      <c r="C204" s="394"/>
      <c r="D204" s="394"/>
      <c r="E204" s="394"/>
      <c r="F204" s="394"/>
      <c r="G204" s="394"/>
      <c r="H204" s="394"/>
      <c r="I204" s="394"/>
      <c r="J204" s="394"/>
      <c r="K204" s="394"/>
      <c r="L204" s="394"/>
      <c r="M204" s="394"/>
      <c r="N204" s="394"/>
      <c r="O204" s="394"/>
      <c r="P204" s="394"/>
      <c r="Q204" s="394"/>
      <c r="R204" s="394"/>
      <c r="S204" s="394"/>
      <c r="T204" s="456"/>
      <c r="U204" s="394"/>
      <c r="V204" s="394"/>
      <c r="W204" s="394"/>
      <c r="X204" s="394"/>
      <c r="Y204" s="394"/>
      <c r="Z204" s="394"/>
      <c r="AA204" s="394"/>
      <c r="AB204" s="394"/>
      <c r="AC204" s="394"/>
      <c r="AD204" s="394"/>
      <c r="AE204" s="394"/>
      <c r="AF204" s="394"/>
      <c r="AG204" s="394"/>
      <c r="AH204" s="394"/>
      <c r="AI204" s="394"/>
      <c r="AJ204" s="394"/>
      <c r="AK204" s="394"/>
      <c r="AL204" s="394"/>
      <c r="AM204" s="394"/>
      <c r="AN204" s="394"/>
      <c r="AO204" s="394"/>
      <c r="AP204" s="394"/>
      <c r="AQ204" s="394"/>
      <c r="AR204" s="394"/>
      <c r="AS204" s="394"/>
      <c r="AT204" s="394"/>
      <c r="AU204" s="456"/>
      <c r="AV204" s="394"/>
      <c r="AW204" s="394"/>
      <c r="AX204" s="394"/>
      <c r="AY204" s="394"/>
      <c r="AZ204" s="394"/>
      <c r="BA204" s="394"/>
      <c r="BB204" s="394"/>
      <c r="BC204" s="394"/>
      <c r="BD204" s="394"/>
      <c r="BE204" s="394"/>
      <c r="BF204" s="394"/>
      <c r="BG204" s="394"/>
      <c r="BH204" s="456"/>
      <c r="BI204" s="394"/>
      <c r="BJ204" s="394"/>
      <c r="BK204" s="399"/>
      <c r="BL204" s="399"/>
      <c r="BM204" s="399"/>
      <c r="BN204" s="399"/>
      <c r="BO204" s="399"/>
      <c r="BP204" s="399"/>
      <c r="BQ204" s="399"/>
      <c r="BR204" s="399"/>
      <c r="BS204" s="399"/>
      <c r="BT204" s="399"/>
      <c r="BU204" s="399"/>
      <c r="BV204" s="399"/>
      <c r="BW204" s="399"/>
      <c r="CF204" s="223"/>
      <c r="CG204" s="223"/>
      <c r="CH204" s="399"/>
      <c r="CI204" s="223"/>
      <c r="CJ204" s="223"/>
      <c r="CK204" s="223"/>
      <c r="CL204" s="223"/>
      <c r="CM204" s="223"/>
      <c r="CN204" s="223"/>
      <c r="CO204" s="223"/>
      <c r="CP204" s="223"/>
      <c r="CQ204" s="223"/>
      <c r="CR204" s="223"/>
      <c r="CS204" s="223"/>
      <c r="CT204" s="223"/>
      <c r="CU204" s="632"/>
      <c r="CV204" s="223"/>
      <c r="CW204" s="223"/>
      <c r="CX204" s="223"/>
      <c r="CY204" s="223"/>
      <c r="CZ204" s="223"/>
      <c r="DA204" s="223"/>
      <c r="DB204" s="223"/>
      <c r="DC204" s="223"/>
    </row>
    <row r="205" spans="1:125" ht="12.75" hidden="1" customHeight="1" outlineLevel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4">
        <v>281241.43000000017</v>
      </c>
      <c r="U205" s="2">
        <v>-88084.729999999981</v>
      </c>
      <c r="V205" s="2">
        <v>91607.23000000001</v>
      </c>
      <c r="W205" s="2">
        <v>5272.0000000001892</v>
      </c>
      <c r="X205" s="2">
        <v>552743.01000000024</v>
      </c>
      <c r="Y205" s="2">
        <v>242170.99999999988</v>
      </c>
      <c r="Z205" s="2">
        <v>79148.620000000083</v>
      </c>
      <c r="AA205" s="2">
        <v>64795.299999999901</v>
      </c>
      <c r="AB205" s="2">
        <v>27290.22000000019</v>
      </c>
      <c r="AC205" s="2">
        <v>45587.879999999888</v>
      </c>
      <c r="AD205" s="2">
        <v>846894.29000000015</v>
      </c>
      <c r="AE205" s="2">
        <v>-709401.81</v>
      </c>
      <c r="AF205" s="2">
        <v>1439264.4400000004</v>
      </c>
      <c r="AG205" s="2">
        <v>856746.01999999979</v>
      </c>
      <c r="AH205" s="2">
        <v>924180.17000000027</v>
      </c>
      <c r="AI205" s="2">
        <v>518301.26999999984</v>
      </c>
      <c r="AJ205" s="2">
        <v>679735.44999999984</v>
      </c>
      <c r="AK205" s="2">
        <v>-375073.91999999987</v>
      </c>
      <c r="AL205" s="2">
        <v>655652.33999999962</v>
      </c>
      <c r="AM205" s="2">
        <v>330722.86000000022</v>
      </c>
      <c r="AN205" s="2">
        <v>380202.68999999983</v>
      </c>
      <c r="AO205" s="2">
        <v>-341930.12999999995</v>
      </c>
      <c r="AP205" s="2">
        <v>447375.16000000021</v>
      </c>
      <c r="AQ205" s="2">
        <v>290123.64000000013</v>
      </c>
      <c r="AR205" s="2">
        <v>-1480895.8299999996</v>
      </c>
      <c r="AS205" s="2">
        <v>2885139.72</v>
      </c>
      <c r="AT205" s="2">
        <v>-710512.95</v>
      </c>
      <c r="AU205" s="4">
        <v>2174626.7700000005</v>
      </c>
      <c r="AV205" s="2">
        <v>-1778455.2099999997</v>
      </c>
      <c r="AW205" s="2">
        <v>-2214496.7499999995</v>
      </c>
      <c r="AX205" s="2">
        <v>-1962917.31</v>
      </c>
      <c r="AY205" s="2">
        <v>-438599.54999999946</v>
      </c>
      <c r="AZ205" s="2">
        <v>-436585.56000000046</v>
      </c>
      <c r="BA205" s="2">
        <v>528849.41999999946</v>
      </c>
      <c r="BB205" s="2">
        <v>397881.28000000014</v>
      </c>
      <c r="BC205" s="2">
        <v>550225.89999999944</v>
      </c>
      <c r="BD205" s="2">
        <v>426270.48000000056</v>
      </c>
      <c r="BE205" s="2">
        <v>1051576.9999999995</v>
      </c>
      <c r="BF205" s="2">
        <v>1153854.7099999995</v>
      </c>
      <c r="BG205" s="2">
        <v>-299421.38999999966</v>
      </c>
      <c r="BH205" s="4">
        <v>-3021816.9800000004</v>
      </c>
      <c r="BI205" s="2">
        <v>232564.25000000099</v>
      </c>
      <c r="BJ205" s="2">
        <v>1058629.2500000007</v>
      </c>
      <c r="BK205" s="2">
        <v>652576.01999999909</v>
      </c>
      <c r="BL205" s="2">
        <v>904070.39999999967</v>
      </c>
      <c r="BM205" s="2">
        <v>1152445.0199999977</v>
      </c>
      <c r="BN205" s="2">
        <v>56715.90000000014</v>
      </c>
      <c r="BO205" s="2">
        <v>126673.63000000268</v>
      </c>
      <c r="BP205" s="2">
        <v>-645344.32999999914</v>
      </c>
      <c r="BQ205" s="2">
        <v>-1098211</v>
      </c>
      <c r="BR205" s="2">
        <v>1143103.0000000012</v>
      </c>
      <c r="BS205" s="2">
        <v>464474.00000000163</v>
      </c>
      <c r="BT205" s="394">
        <v>-3751964.879999998</v>
      </c>
      <c r="BU205" s="394">
        <v>295731.2600000063</v>
      </c>
      <c r="BV205" s="394">
        <v>143106.34000000052</v>
      </c>
      <c r="BW205" s="2">
        <v>-423955.25099999993</v>
      </c>
      <c r="BX205" s="2">
        <v>-517117.86999999732</v>
      </c>
      <c r="BY205" s="394">
        <v>-993139.66000000294</v>
      </c>
      <c r="BZ205" s="394">
        <v>-826075.99000000698</v>
      </c>
      <c r="CA205" s="394">
        <v>-706916.81000000297</v>
      </c>
      <c r="CB205" s="394">
        <v>-1590959.6300000031</v>
      </c>
      <c r="CC205" s="394">
        <v>-1061670.8700000055</v>
      </c>
      <c r="CD205" s="394">
        <v>-1171778.4000000004</v>
      </c>
      <c r="CE205" s="394">
        <v>1695758.6300000013</v>
      </c>
      <c r="CF205" s="632">
        <v>1097672.819999997</v>
      </c>
      <c r="CG205" s="632">
        <v>-440495.57999999635</v>
      </c>
      <c r="CH205" s="394">
        <v>-4795572.2710000165</v>
      </c>
      <c r="CI205" s="632">
        <v>743233.32000000123</v>
      </c>
      <c r="CJ205" s="632">
        <v>1164871.620000001</v>
      </c>
      <c r="CK205" s="632">
        <v>2834126.1099999975</v>
      </c>
      <c r="CL205" s="632">
        <v>2201733.4200000083</v>
      </c>
      <c r="CM205" s="632">
        <v>1602405.4500000039</v>
      </c>
      <c r="CN205" s="632">
        <v>-118006.23000000138</v>
      </c>
      <c r="CO205" s="632">
        <v>576427.20000000065</v>
      </c>
      <c r="CP205" s="632">
        <v>973030.24000000302</v>
      </c>
      <c r="CQ205" s="632">
        <v>1042260.4499999894</v>
      </c>
      <c r="CR205" s="632">
        <v>4024386.6899999976</v>
      </c>
      <c r="CS205" s="632">
        <v>3021501.5800000019</v>
      </c>
      <c r="CT205" s="632">
        <v>969906.52999999933</v>
      </c>
      <c r="CU205" s="631">
        <v>19035876.38000001</v>
      </c>
      <c r="CV205" s="633">
        <v>-1341042.73</v>
      </c>
      <c r="CW205" s="633">
        <v>4527654.3900000006</v>
      </c>
      <c r="CX205" s="633">
        <v>-2009587</v>
      </c>
      <c r="CY205" s="633">
        <v>-2692382.99</v>
      </c>
      <c r="CZ205" s="633">
        <v>1184647.2299999939</v>
      </c>
      <c r="DA205" s="633">
        <v>133175.31000000116</v>
      </c>
      <c r="DB205" s="633">
        <v>-1344649.3499999959</v>
      </c>
      <c r="DC205" s="633"/>
      <c r="DD205" s="633">
        <v>2587155.11</v>
      </c>
      <c r="DE205" s="633">
        <v>2587155.11</v>
      </c>
      <c r="DF205" s="633"/>
      <c r="DG205" s="633"/>
      <c r="DI205" s="633"/>
      <c r="DJ205" s="633"/>
      <c r="DK205" s="633"/>
      <c r="DL205" s="633"/>
      <c r="DM205" s="633"/>
      <c r="DN205" s="633"/>
      <c r="DO205" s="633"/>
      <c r="DP205" s="633"/>
      <c r="DQ205" s="633"/>
      <c r="DR205" s="633"/>
      <c r="DS205" s="633"/>
      <c r="DT205" s="633"/>
    </row>
    <row r="206" spans="1:125" s="911" customFormat="1" ht="12.75" hidden="1" customHeight="1" outlineLevel="1">
      <c r="A206" s="908"/>
      <c r="B206" s="908"/>
      <c r="C206" s="908"/>
      <c r="D206" s="908"/>
      <c r="E206" s="908"/>
      <c r="F206" s="908"/>
      <c r="G206" s="908"/>
      <c r="H206" s="908"/>
      <c r="I206" s="908"/>
      <c r="J206" s="908"/>
      <c r="K206" s="908"/>
      <c r="L206" s="908"/>
      <c r="M206" s="908"/>
      <c r="N206" s="908"/>
      <c r="O206" s="908"/>
      <c r="P206" s="908"/>
      <c r="Q206" s="908"/>
      <c r="R206" s="908"/>
      <c r="S206" s="908"/>
      <c r="T206" s="908">
        <f>T186-T205</f>
        <v>0</v>
      </c>
      <c r="U206" s="908">
        <f t="shared" ref="U206:CF206" si="219">U186-U205</f>
        <v>0</v>
      </c>
      <c r="V206" s="908">
        <f>V186-V205</f>
        <v>0</v>
      </c>
      <c r="W206" s="908">
        <f t="shared" si="219"/>
        <v>0</v>
      </c>
      <c r="X206" s="908">
        <f t="shared" si="219"/>
        <v>0</v>
      </c>
      <c r="Y206" s="908">
        <f t="shared" si="219"/>
        <v>0</v>
      </c>
      <c r="Z206" s="908">
        <f t="shared" si="219"/>
        <v>0</v>
      </c>
      <c r="AA206" s="908">
        <f t="shared" si="219"/>
        <v>0</v>
      </c>
      <c r="AB206" s="908">
        <f t="shared" si="219"/>
        <v>0</v>
      </c>
      <c r="AC206" s="908">
        <f t="shared" si="219"/>
        <v>0</v>
      </c>
      <c r="AD206" s="908">
        <f t="shared" si="219"/>
        <v>0</v>
      </c>
      <c r="AE206" s="908">
        <f t="shared" si="219"/>
        <v>0</v>
      </c>
      <c r="AF206" s="908">
        <f>AF186-AF205</f>
        <v>2.7939677238464355E-9</v>
      </c>
      <c r="AG206" s="908">
        <f t="shared" si="219"/>
        <v>0</v>
      </c>
      <c r="AH206" s="908">
        <f t="shared" si="219"/>
        <v>0</v>
      </c>
      <c r="AI206" s="908">
        <f t="shared" si="219"/>
        <v>0</v>
      </c>
      <c r="AJ206" s="908">
        <f t="shared" si="219"/>
        <v>0</v>
      </c>
      <c r="AK206" s="908">
        <f t="shared" si="219"/>
        <v>0</v>
      </c>
      <c r="AL206" s="908">
        <f t="shared" si="219"/>
        <v>0</v>
      </c>
      <c r="AM206" s="908">
        <f t="shared" si="219"/>
        <v>0</v>
      </c>
      <c r="AN206" s="908">
        <f t="shared" si="219"/>
        <v>0</v>
      </c>
      <c r="AO206" s="908">
        <f t="shared" si="219"/>
        <v>0</v>
      </c>
      <c r="AP206" s="908">
        <f t="shared" si="219"/>
        <v>0</v>
      </c>
      <c r="AQ206" s="908">
        <f t="shared" si="219"/>
        <v>0</v>
      </c>
      <c r="AR206" s="908">
        <f t="shared" si="219"/>
        <v>0</v>
      </c>
      <c r="AS206" s="908">
        <f t="shared" si="219"/>
        <v>0</v>
      </c>
      <c r="AT206" s="908">
        <f t="shared" si="219"/>
        <v>0</v>
      </c>
      <c r="AU206" s="908">
        <f t="shared" si="219"/>
        <v>0</v>
      </c>
      <c r="AV206" s="908">
        <f t="shared" si="219"/>
        <v>0</v>
      </c>
      <c r="AW206" s="908">
        <f t="shared" si="219"/>
        <v>0</v>
      </c>
      <c r="AX206" s="908">
        <f t="shared" si="219"/>
        <v>0</v>
      </c>
      <c r="AY206" s="908">
        <f t="shared" si="219"/>
        <v>0</v>
      </c>
      <c r="AZ206" s="908">
        <f t="shared" si="219"/>
        <v>0</v>
      </c>
      <c r="BA206" s="908">
        <f t="shared" si="219"/>
        <v>0</v>
      </c>
      <c r="BB206" s="908">
        <f t="shared" si="219"/>
        <v>0</v>
      </c>
      <c r="BC206" s="908">
        <f t="shared" si="219"/>
        <v>0</v>
      </c>
      <c r="BD206" s="908">
        <f t="shared" si="219"/>
        <v>0</v>
      </c>
      <c r="BE206" s="908">
        <f t="shared" si="219"/>
        <v>0</v>
      </c>
      <c r="BF206" s="908">
        <f t="shared" si="219"/>
        <v>0</v>
      </c>
      <c r="BG206" s="908">
        <f t="shared" si="219"/>
        <v>0</v>
      </c>
      <c r="BH206" s="908">
        <f t="shared" si="219"/>
        <v>0</v>
      </c>
      <c r="BI206" s="908">
        <f t="shared" si="219"/>
        <v>0</v>
      </c>
      <c r="BJ206" s="908">
        <f t="shared" si="219"/>
        <v>0</v>
      </c>
      <c r="BK206" s="908">
        <f t="shared" si="219"/>
        <v>0</v>
      </c>
      <c r="BL206" s="908">
        <f t="shared" si="219"/>
        <v>0</v>
      </c>
      <c r="BM206" s="908">
        <f t="shared" si="219"/>
        <v>0</v>
      </c>
      <c r="BN206" s="908">
        <f t="shared" si="219"/>
        <v>0</v>
      </c>
      <c r="BO206" s="908">
        <f t="shared" si="219"/>
        <v>0</v>
      </c>
      <c r="BP206" s="908">
        <f t="shared" si="219"/>
        <v>0</v>
      </c>
      <c r="BQ206" s="908">
        <f t="shared" si="219"/>
        <v>0</v>
      </c>
      <c r="BR206" s="908">
        <f t="shared" si="219"/>
        <v>0</v>
      </c>
      <c r="BS206" s="908">
        <f t="shared" si="219"/>
        <v>0</v>
      </c>
      <c r="BT206" s="909">
        <f t="shared" si="219"/>
        <v>0</v>
      </c>
      <c r="BU206" s="909">
        <f t="shared" si="219"/>
        <v>1.862645149230957E-9</v>
      </c>
      <c r="BV206" s="909">
        <f t="shared" si="219"/>
        <v>-1.9790604710578918E-9</v>
      </c>
      <c r="BW206" s="908">
        <f t="shared" si="219"/>
        <v>1.7462298274040222E-9</v>
      </c>
      <c r="BX206" s="908">
        <f t="shared" si="219"/>
        <v>1.6298145055770874E-9</v>
      </c>
      <c r="BY206" s="909">
        <f t="shared" si="219"/>
        <v>0</v>
      </c>
      <c r="BZ206" s="909">
        <f t="shared" si="219"/>
        <v>1.6298145055770874E-9</v>
      </c>
      <c r="CA206" s="909">
        <f t="shared" si="219"/>
        <v>0</v>
      </c>
      <c r="CB206" s="909">
        <f t="shared" si="219"/>
        <v>0</v>
      </c>
      <c r="CC206" s="909">
        <f t="shared" si="219"/>
        <v>0</v>
      </c>
      <c r="CD206" s="909">
        <f t="shared" si="219"/>
        <v>0</v>
      </c>
      <c r="CE206" s="909">
        <f t="shared" si="219"/>
        <v>0</v>
      </c>
      <c r="CF206" s="909">
        <f t="shared" si="219"/>
        <v>0</v>
      </c>
      <c r="CG206" s="909">
        <f t="shared" ref="CG206:CV206" si="220">CG186-CG205</f>
        <v>0</v>
      </c>
      <c r="CH206" s="909">
        <f t="shared" si="220"/>
        <v>0</v>
      </c>
      <c r="CI206" s="909">
        <f t="shared" si="220"/>
        <v>1.3969838619232178E-9</v>
      </c>
      <c r="CJ206" s="909">
        <f t="shared" si="220"/>
        <v>0</v>
      </c>
      <c r="CK206" s="909">
        <f t="shared" si="220"/>
        <v>0</v>
      </c>
      <c r="CL206" s="909">
        <f t="shared" si="220"/>
        <v>0</v>
      </c>
      <c r="CM206" s="909">
        <f t="shared" si="220"/>
        <v>0</v>
      </c>
      <c r="CN206" s="909">
        <f t="shared" si="220"/>
        <v>2.9103830456733704E-10</v>
      </c>
      <c r="CO206" s="909">
        <f t="shared" si="220"/>
        <v>-4.4237822294235229E-9</v>
      </c>
      <c r="CP206" s="909">
        <f t="shared" si="220"/>
        <v>0</v>
      </c>
      <c r="CQ206" s="909">
        <f t="shared" si="220"/>
        <v>2.7939677238464355E-9</v>
      </c>
      <c r="CR206" s="909">
        <f t="shared" si="220"/>
        <v>0</v>
      </c>
      <c r="CS206" s="909">
        <f t="shared" si="220"/>
        <v>0</v>
      </c>
      <c r="CT206" s="909">
        <f t="shared" si="220"/>
        <v>-12882137.42999999</v>
      </c>
      <c r="CU206" s="908">
        <f t="shared" si="220"/>
        <v>-12882137.429999996</v>
      </c>
      <c r="CV206" s="910">
        <f t="shared" si="220"/>
        <v>3.2596290111541748E-9</v>
      </c>
      <c r="CW206" s="910">
        <f t="shared" ref="CW206:DE206" si="221">CW186-CW205</f>
        <v>0</v>
      </c>
      <c r="CX206" s="910">
        <f t="shared" si="221"/>
        <v>0</v>
      </c>
      <c r="CY206" s="910">
        <f t="shared" si="221"/>
        <v>-3.7252902984619141E-9</v>
      </c>
      <c r="CZ206" s="910">
        <f t="shared" si="221"/>
        <v>0</v>
      </c>
      <c r="DA206" s="910">
        <f t="shared" si="221"/>
        <v>0</v>
      </c>
      <c r="DB206" s="910">
        <f t="shared" si="221"/>
        <v>0</v>
      </c>
      <c r="DC206" s="910"/>
      <c r="DD206" s="910">
        <f t="shared" ref="DD206" si="222">DD186-DD205</f>
        <v>-4133553.1399999973</v>
      </c>
      <c r="DE206" s="910">
        <f t="shared" si="221"/>
        <v>-4148650.5899999947</v>
      </c>
      <c r="DF206" s="910"/>
      <c r="DG206" s="910"/>
      <c r="DI206" s="910"/>
      <c r="DJ206" s="910"/>
      <c r="DK206" s="910"/>
      <c r="DL206" s="910"/>
      <c r="DM206" s="910"/>
      <c r="DN206" s="910"/>
      <c r="DO206" s="910"/>
      <c r="DP206" s="910"/>
      <c r="DQ206" s="910"/>
      <c r="DR206" s="910"/>
      <c r="DS206" s="910"/>
      <c r="DT206" s="910"/>
    </row>
    <row r="207" spans="1:125" ht="12.75" customHeight="1" collapsed="1">
      <c r="DH207" s="167"/>
      <c r="DN207" s="167"/>
      <c r="DU207" s="167"/>
    </row>
    <row r="208" spans="1:125" ht="15" customHeight="1">
      <c r="DG208" s="591"/>
      <c r="DU208" s="591"/>
    </row>
    <row r="209" spans="113:125" ht="15" customHeight="1">
      <c r="DP209" s="167"/>
    </row>
    <row r="210" spans="113:125" ht="15" customHeight="1">
      <c r="DI210" s="167"/>
      <c r="DJ210" s="167"/>
      <c r="DK210" s="167"/>
    </row>
    <row r="212" spans="113:125" ht="15" customHeight="1">
      <c r="DN212" s="167"/>
      <c r="DU212" s="232"/>
    </row>
  </sheetData>
  <phoneticPr fontId="83" type="noConversion"/>
  <hyperlinks>
    <hyperlink ref="I189" r:id="rId1" display="https://go.xero.com/Reports/report2.aspx?report=CashFlow&amp;date=1%2F05%2F2017&amp;addToReportId=ffa75e42-95ea-4bfa-8aa3-c3c6a676f71a&amp;addToReportTitle=Executive%20Summary" xr:uid="{00000000-0004-0000-0000-000000000000}"/>
    <hyperlink ref="K189" r:id="rId2" display="https://go.xero.com/Reports/report2.aspx?report=CashFlow&amp;date=1%2F07%2F2017&amp;addToReportId=1c1dae16-2d4d-4b54-87f0-c49e7927774d&amp;addToReportTitle=Executive%20Summary" xr:uid="{00000000-0004-0000-0000-000001000000}"/>
    <hyperlink ref="L189" r:id="rId3" display="https://go.xero.com/Reports/report2.aspx?report=CashFlow&amp;date=1%2F07%2F2017&amp;addToReportId=1c1dae16-2d4d-4b54-87f0-c49e7927774d&amp;addToReportTitle=Executive%20Summary" xr:uid="{00000000-0004-0000-0000-000002000000}"/>
    <hyperlink ref="M189" r:id="rId4" display="https://go.xero.com/Reports/report2.aspx?report=CashFlow&amp;date=1%2F07%2F2017&amp;addToReportId=1c1dae16-2d4d-4b54-87f0-c49e7927774d&amp;addToReportTitle=Executive%20Summary" xr:uid="{00000000-0004-0000-0000-000003000000}"/>
    <hyperlink ref="I190" r:id="rId5" display="https://go.xero.com/Reports/report2.aspx?report=CashFlow&amp;date=1%2F05%2F2017&amp;addToReportId=ffa75e42-95ea-4bfa-8aa3-c3c6a676f71a&amp;addToReportTitle=Executive%20Summary" xr:uid="{00000000-0004-0000-0000-000004000000}"/>
    <hyperlink ref="I191" r:id="rId6" display="https://go.xero.com/Reports/report2.aspx?report=CashFlow&amp;date=1%2F05%2F2017&amp;addToReportId=ffa75e42-95ea-4bfa-8aa3-c3c6a676f71a&amp;addToReportTitle=Executive%20Summary" xr:uid="{00000000-0004-0000-0000-000005000000}"/>
    <hyperlink ref="I192" r:id="rId7" display="https://go.xero.com/Reports/report2.aspx?report=BankSummary&amp;fromDate=1%2F05%2F2017&amp;toDate=31%2F05%2F2017&amp;addToReportId=ffa75e42-95ea-4bfa-8aa3-c3c6a676f71a&amp;addToReportTitle=Executive%20Summary" xr:uid="{00000000-0004-0000-0000-000006000000}"/>
  </hyperlinks>
  <pageMargins left="0.70866141732283472" right="0.70866141732283472" top="0.74803149606299213" bottom="0.74803149606299213" header="0" footer="0"/>
  <pageSetup paperSize="9" scale="43" fitToHeight="0" orientation="landscape" r:id="rId8"/>
  <ignoredErrors>
    <ignoredError sqref="CU162:DD164 CU166:DD166 DH166 CU165:DE165 CU161:DE1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HG59"/>
  <sheetViews>
    <sheetView showGridLines="0" zoomScale="85" zoomScaleNormal="85" workbookViewId="0">
      <pane xSplit="2" ySplit="5" topLeftCell="C22" activePane="bottomRight" state="frozen"/>
      <selection activeCell="G22" sqref="G22"/>
      <selection pane="topRight" activeCell="G22" sqref="G22"/>
      <selection pane="bottomLeft" activeCell="G22" sqref="G22"/>
      <selection pane="bottomRight" activeCell="C46" sqref="C46"/>
    </sheetView>
  </sheetViews>
  <sheetFormatPr defaultColWidth="14.44140625" defaultRowHeight="15" customHeight="1" outlineLevelRow="1"/>
  <cols>
    <col min="1" max="1" width="24.44140625" customWidth="1"/>
    <col min="2" max="2" width="14" customWidth="1"/>
    <col min="3" max="3" width="21.109375" customWidth="1"/>
    <col min="4" max="4" width="7.109375" customWidth="1"/>
    <col min="5" max="5" width="21.109375" customWidth="1"/>
    <col min="6" max="6" width="7.109375" customWidth="1"/>
    <col min="7" max="7" width="21.109375" customWidth="1"/>
    <col min="8" max="8" width="7.109375" customWidth="1"/>
    <col min="9" max="9" width="21.109375" customWidth="1"/>
    <col min="10" max="10" width="7.109375" customWidth="1"/>
    <col min="11" max="11" width="21.109375" customWidth="1"/>
    <col min="12" max="12" width="7.109375" customWidth="1"/>
    <col min="13" max="13" width="21.109375" customWidth="1"/>
    <col min="14" max="14" width="7.109375" customWidth="1"/>
    <col min="15" max="15" width="21.109375" customWidth="1"/>
    <col min="16" max="16" width="7.109375" customWidth="1"/>
    <col min="17" max="17" width="21.109375" customWidth="1"/>
    <col min="18" max="18" width="7.109375" customWidth="1"/>
    <col min="19" max="19" width="21.109375" customWidth="1"/>
    <col min="20" max="20" width="7.109375" customWidth="1"/>
    <col min="21" max="21" width="21.109375" customWidth="1"/>
    <col min="22" max="22" width="7.109375" customWidth="1"/>
    <col min="23" max="23" width="21.109375" style="1133" customWidth="1"/>
    <col min="24" max="24" width="7.109375" customWidth="1"/>
    <col min="25" max="25" width="21.109375" customWidth="1"/>
    <col min="26" max="26" width="7.109375" customWidth="1"/>
    <col min="27" max="27" width="21.109375" customWidth="1"/>
    <col min="28" max="28" width="7.109375" customWidth="1"/>
    <col min="29" max="29" width="21.109375" customWidth="1"/>
    <col min="30" max="30" width="7.109375" customWidth="1"/>
    <col min="31" max="31" width="21.109375" customWidth="1"/>
    <col min="32" max="32" width="7.109375" customWidth="1"/>
    <col min="33" max="33" width="21.109375" customWidth="1"/>
    <col min="34" max="34" width="7.109375" customWidth="1"/>
    <col min="35" max="35" width="21.109375" customWidth="1"/>
    <col min="36" max="36" width="7.109375" customWidth="1"/>
    <col min="37" max="37" width="21.109375" customWidth="1"/>
    <col min="38" max="38" width="7.109375" customWidth="1"/>
    <col min="39" max="39" width="21.109375" customWidth="1"/>
    <col min="40" max="40" width="7.109375" customWidth="1"/>
    <col min="41" max="41" width="21.109375" customWidth="1"/>
    <col min="42" max="42" width="7.109375" customWidth="1"/>
    <col min="43" max="43" width="21.109375" customWidth="1"/>
    <col min="44" max="44" width="7.109375" customWidth="1"/>
    <col min="45" max="45" width="21.109375" customWidth="1"/>
    <col min="46" max="46" width="7.109375" customWidth="1"/>
    <col min="47" max="47" width="21.109375" style="1129" customWidth="1"/>
    <col min="48" max="48" width="7.109375" customWidth="1"/>
    <col min="49" max="49" width="21.109375" customWidth="1"/>
    <col min="50" max="50" width="6.88671875" customWidth="1"/>
    <col min="51" max="51" width="21.109375" customWidth="1"/>
    <col min="52" max="52" width="6.88671875" customWidth="1"/>
    <col min="53" max="53" width="21.109375" customWidth="1"/>
    <col min="54" max="54" width="6.88671875" customWidth="1"/>
    <col min="55" max="55" width="21.109375" customWidth="1"/>
    <col min="56" max="56" width="6.88671875" customWidth="1"/>
    <col min="57" max="57" width="21.109375" customWidth="1"/>
    <col min="58" max="58" width="6.88671875" customWidth="1"/>
    <col min="59" max="59" width="21.109375" customWidth="1"/>
    <col min="60" max="60" width="6.88671875" customWidth="1"/>
    <col min="61" max="61" width="21.109375" customWidth="1"/>
    <col min="62" max="62" width="6.88671875" customWidth="1"/>
    <col min="63" max="63" width="21.109375" customWidth="1"/>
    <col min="64" max="64" width="6.88671875" customWidth="1"/>
    <col min="65" max="65" width="21.109375" customWidth="1"/>
    <col min="66" max="66" width="6.88671875" customWidth="1"/>
    <col min="67" max="67" width="21.109375" customWidth="1"/>
    <col min="68" max="68" width="6.88671875" customWidth="1"/>
    <col min="69" max="69" width="21.109375" customWidth="1"/>
    <col min="70" max="70" width="6.88671875" customWidth="1"/>
    <col min="71" max="71" width="21.109375" style="1074" customWidth="1"/>
    <col min="72" max="72" width="6.88671875" customWidth="1"/>
    <col min="73" max="73" width="21.109375" customWidth="1"/>
    <col min="74" max="74" width="8.44140625" customWidth="1"/>
    <col min="75" max="75" width="21.109375" customWidth="1"/>
    <col min="76" max="76" width="8.44140625" customWidth="1"/>
    <col min="77" max="77" width="21.109375" customWidth="1"/>
    <col min="78" max="78" width="8.44140625" customWidth="1"/>
    <col min="79" max="79" width="21.109375" customWidth="1"/>
    <col min="80" max="80" width="8.44140625" customWidth="1"/>
    <col min="81" max="81" width="21.109375" customWidth="1"/>
    <col min="82" max="82" width="8.44140625" customWidth="1"/>
    <col min="83" max="83" width="21.109375" customWidth="1"/>
    <col min="84" max="84" width="5.88671875" customWidth="1"/>
    <col min="85" max="85" width="21.109375" customWidth="1"/>
    <col min="86" max="86" width="5.88671875" customWidth="1"/>
    <col min="87" max="87" width="21.109375" customWidth="1"/>
    <col min="88" max="88" width="5.88671875" customWidth="1"/>
    <col min="89" max="89" width="21.109375" customWidth="1"/>
    <col min="90" max="90" width="10.109375" customWidth="1"/>
    <col min="91" max="91" width="21.109375" customWidth="1"/>
    <col min="92" max="92" width="10.109375" customWidth="1"/>
    <col min="93" max="93" width="21.109375" customWidth="1"/>
    <col min="94" max="94" width="10.109375" customWidth="1"/>
    <col min="95" max="95" width="21.109375" customWidth="1"/>
    <col min="96" max="96" width="10.109375" customWidth="1"/>
    <col min="97" max="97" width="21.109375" customWidth="1"/>
    <col min="98" max="98" width="9.5546875" customWidth="1"/>
    <col min="99" max="99" width="19.44140625" customWidth="1"/>
    <col min="100" max="100" width="5" customWidth="1"/>
    <col min="101" max="101" width="19.44140625" customWidth="1"/>
    <col min="102" max="102" width="5" customWidth="1"/>
    <col min="103" max="103" width="19.44140625" customWidth="1"/>
    <col min="104" max="104" width="5.5546875" customWidth="1"/>
    <col min="105" max="105" width="19.44140625" customWidth="1"/>
    <col min="106" max="106" width="5.5546875" customWidth="1"/>
    <col min="107" max="107" width="19.44140625" customWidth="1"/>
    <col min="108" max="108" width="5.5546875" customWidth="1"/>
    <col min="109" max="109" width="19.44140625" customWidth="1"/>
    <col min="110" max="110" width="5.5546875" customWidth="1"/>
    <col min="111" max="111" width="19.44140625" customWidth="1"/>
    <col min="112" max="112" width="5.5546875" customWidth="1"/>
    <col min="113" max="113" width="19.44140625" customWidth="1"/>
    <col min="114" max="114" width="5.5546875" customWidth="1"/>
    <col min="115" max="115" width="19.44140625" customWidth="1"/>
    <col min="116" max="116" width="5.5546875" customWidth="1"/>
    <col min="117" max="117" width="19.44140625" customWidth="1"/>
    <col min="118" max="118" width="5.5546875" customWidth="1"/>
    <col min="119" max="119" width="19.44140625" customWidth="1"/>
    <col min="120" max="120" width="5.5546875" customWidth="1"/>
    <col min="121" max="121" width="19.44140625" customWidth="1"/>
    <col min="122" max="122" width="5.5546875" customWidth="1"/>
    <col min="123" max="123" width="19.44140625" customWidth="1"/>
    <col min="124" max="124" width="5.5546875" customWidth="1"/>
    <col min="125" max="125" width="19.44140625" customWidth="1"/>
    <col min="126" max="126" width="5.5546875" customWidth="1"/>
    <col min="127" max="127" width="19.44140625" customWidth="1"/>
    <col min="128" max="128" width="5.5546875" customWidth="1"/>
    <col min="129" max="129" width="19.44140625" customWidth="1"/>
    <col min="130" max="130" width="5.5546875" customWidth="1"/>
    <col min="131" max="131" width="19.44140625" customWidth="1"/>
    <col min="132" max="132" width="5.5546875" customWidth="1"/>
    <col min="133" max="133" width="19.44140625" customWidth="1"/>
    <col min="134" max="134" width="5.5546875" customWidth="1"/>
    <col min="135" max="135" width="19.44140625" customWidth="1"/>
    <col min="136" max="136" width="5.5546875" customWidth="1"/>
    <col min="137" max="137" width="19.44140625" customWidth="1"/>
    <col min="138" max="138" width="5.5546875" customWidth="1"/>
    <col min="139" max="139" width="19.44140625" customWidth="1"/>
    <col min="140" max="140" width="5.5546875" customWidth="1"/>
    <col min="141" max="141" width="19.44140625" customWidth="1"/>
    <col min="142" max="142" width="5.5546875" customWidth="1"/>
    <col min="143" max="143" width="19.44140625" customWidth="1"/>
    <col min="144" max="144" width="5.5546875" customWidth="1"/>
    <col min="145" max="145" width="19.44140625" customWidth="1"/>
    <col min="146" max="146" width="4.5546875" customWidth="1"/>
    <col min="147" max="147" width="19.5546875" customWidth="1"/>
    <col min="148" max="148" width="4.5546875" customWidth="1"/>
    <col min="149" max="149" width="19.5546875" customWidth="1"/>
    <col min="150" max="150" width="4.5546875" customWidth="1"/>
    <col min="151" max="151" width="19.5546875" customWidth="1"/>
    <col min="152" max="152" width="4.5546875" customWidth="1"/>
    <col min="153" max="153" width="19.5546875" customWidth="1"/>
    <col min="154" max="154" width="4.5546875" customWidth="1"/>
    <col min="155" max="155" width="15.44140625" customWidth="1"/>
    <col min="156" max="156" width="4.5546875" customWidth="1"/>
    <col min="157" max="157" width="15.44140625" customWidth="1"/>
    <col min="158" max="158" width="4.5546875" customWidth="1"/>
    <col min="159" max="159" width="15.44140625" customWidth="1"/>
    <col min="160" max="160" width="4.5546875" customWidth="1"/>
    <col min="161" max="161" width="14" customWidth="1"/>
    <col min="162" max="162" width="4.5546875" customWidth="1"/>
    <col min="163" max="163" width="14" customWidth="1"/>
    <col min="164" max="164" width="4.5546875" customWidth="1"/>
    <col min="165" max="165" width="18" customWidth="1"/>
    <col min="166" max="166" width="4.5546875" customWidth="1"/>
    <col min="167" max="167" width="17.5546875" customWidth="1"/>
    <col min="168" max="168" width="4.5546875" customWidth="1"/>
    <col min="169" max="169" width="17.5546875" customWidth="1"/>
    <col min="170" max="170" width="4.5546875" customWidth="1"/>
    <col min="171" max="171" width="17.5546875" customWidth="1"/>
    <col min="172" max="172" width="4.5546875" customWidth="1"/>
    <col min="173" max="173" width="17.5546875" customWidth="1"/>
    <col min="174" max="174" width="4.5546875" customWidth="1"/>
    <col min="175" max="175" width="17.5546875" customWidth="1"/>
    <col min="176" max="176" width="4.5546875" customWidth="1"/>
    <col min="177" max="177" width="18" customWidth="1"/>
    <col min="178" max="178" width="4.5546875" customWidth="1"/>
    <col min="179" max="179" width="17.5546875" customWidth="1"/>
    <col min="180" max="180" width="4.5546875" customWidth="1"/>
    <col min="181" max="181" width="17.5546875" customWidth="1"/>
    <col min="182" max="182" width="4.5546875" customWidth="1"/>
    <col min="183" max="183" width="17.5546875" customWidth="1"/>
    <col min="184" max="184" width="4.5546875" customWidth="1"/>
    <col min="185" max="185" width="17.5546875" customWidth="1"/>
    <col min="186" max="186" width="4.5546875" customWidth="1"/>
    <col min="187" max="187" width="17.5546875" customWidth="1"/>
    <col min="188" max="188" width="4.5546875" customWidth="1"/>
    <col min="189" max="189" width="17.5546875" customWidth="1"/>
    <col min="190" max="190" width="4.5546875" customWidth="1"/>
    <col min="191" max="191" width="17.5546875" customWidth="1"/>
    <col min="192" max="192" width="4.5546875" customWidth="1"/>
    <col min="193" max="193" width="17.5546875" customWidth="1"/>
    <col min="194" max="194" width="3.5546875" customWidth="1"/>
    <col min="195" max="195" width="17.5546875" customWidth="1"/>
    <col min="196" max="196" width="4.44140625" customWidth="1"/>
    <col min="197" max="197" width="17.5546875" customWidth="1"/>
    <col min="198" max="198" width="3.44140625" customWidth="1"/>
    <col min="199" max="199" width="17.5546875" customWidth="1"/>
    <col min="200" max="200" width="3.44140625" customWidth="1"/>
    <col min="201" max="201" width="17.5546875" customWidth="1"/>
    <col min="202" max="202" width="3.44140625" customWidth="1"/>
    <col min="203" max="203" width="17.5546875" customWidth="1"/>
    <col min="204" max="204" width="4.44140625" customWidth="1"/>
    <col min="205" max="205" width="17.5546875" customWidth="1"/>
    <col min="206" max="206" width="3.44140625" customWidth="1"/>
    <col min="207" max="207" width="17.5546875" customWidth="1"/>
    <col min="208" max="208" width="3.44140625" customWidth="1"/>
    <col min="209" max="209" width="17.5546875" customWidth="1"/>
    <col min="210" max="210" width="3.44140625" customWidth="1"/>
    <col min="211" max="211" width="17.5546875" customWidth="1"/>
    <col min="212" max="212" width="3.44140625" customWidth="1"/>
    <col min="213" max="213" width="17.5546875" customWidth="1"/>
    <col min="214" max="214" width="3.5546875" customWidth="1"/>
    <col min="215" max="215" width="14.5546875" hidden="1" customWidth="1"/>
    <col min="216" max="216" width="3.5546875" customWidth="1"/>
    <col min="217" max="217" width="9.44140625" customWidth="1"/>
  </cols>
  <sheetData>
    <row r="1" spans="1:215" ht="12.75" customHeight="1">
      <c r="A1" s="74" t="s">
        <v>146</v>
      </c>
      <c r="B1" s="74"/>
      <c r="C1" s="650"/>
      <c r="D1" s="400"/>
      <c r="E1" s="650"/>
      <c r="F1" s="400"/>
      <c r="G1" s="650"/>
      <c r="H1" s="400"/>
      <c r="I1" s="650"/>
      <c r="J1" s="400"/>
      <c r="K1" s="650"/>
      <c r="L1" s="400"/>
      <c r="M1" s="650"/>
      <c r="N1" s="400"/>
      <c r="O1" s="650"/>
      <c r="P1" s="400"/>
      <c r="Q1" s="650"/>
      <c r="R1" s="400"/>
      <c r="S1" s="650"/>
      <c r="T1" s="400"/>
      <c r="U1" s="650"/>
      <c r="V1" s="400"/>
      <c r="W1" s="1134"/>
      <c r="X1" s="400"/>
      <c r="Y1" s="650"/>
      <c r="Z1" s="400"/>
      <c r="AA1" s="650"/>
      <c r="AB1" s="400"/>
      <c r="AC1" s="650"/>
      <c r="AD1" s="400"/>
      <c r="AE1" s="650"/>
      <c r="AF1" s="400"/>
      <c r="AG1" s="650"/>
      <c r="AH1" s="400"/>
      <c r="AI1" s="650"/>
      <c r="AJ1" s="400"/>
      <c r="AK1" s="650"/>
      <c r="AL1" s="400"/>
      <c r="AM1" s="650"/>
      <c r="AN1" s="400"/>
      <c r="AO1" s="650"/>
      <c r="AP1" s="400"/>
      <c r="AQ1" s="650"/>
      <c r="AR1" s="400"/>
      <c r="AS1" s="650"/>
      <c r="AT1" s="400"/>
      <c r="AU1" s="1102"/>
      <c r="AV1" s="400"/>
      <c r="AW1" s="650"/>
      <c r="AX1" s="400"/>
      <c r="AY1" s="881"/>
      <c r="AZ1" s="400"/>
      <c r="BA1" s="650"/>
      <c r="BB1" s="400"/>
      <c r="BC1" s="650"/>
      <c r="BD1" s="400"/>
      <c r="BE1" s="650"/>
      <c r="BF1" s="400"/>
      <c r="BG1" s="650"/>
      <c r="BH1" s="400"/>
      <c r="BI1" s="650"/>
      <c r="BJ1" s="400"/>
      <c r="BK1" s="650"/>
      <c r="BL1" s="400"/>
      <c r="BM1" s="650"/>
      <c r="BN1" s="400"/>
      <c r="BO1" s="650"/>
      <c r="BP1" s="400"/>
      <c r="BQ1" s="650"/>
      <c r="BR1" s="400"/>
      <c r="BS1" s="1075"/>
      <c r="BT1" s="400"/>
      <c r="BU1" s="650"/>
      <c r="BV1" s="400"/>
      <c r="BW1" s="74"/>
      <c r="BX1" s="400"/>
      <c r="BY1" s="74"/>
      <c r="BZ1" s="400"/>
      <c r="CA1" s="74"/>
      <c r="CB1" s="400"/>
      <c r="CC1" s="74"/>
      <c r="CD1" s="400"/>
      <c r="CE1" s="74"/>
      <c r="CF1" s="400"/>
      <c r="CG1" s="74"/>
      <c r="CH1" s="400"/>
      <c r="CI1" s="74"/>
      <c r="CJ1" s="400"/>
      <c r="CK1" s="74"/>
      <c r="CL1" s="400"/>
      <c r="CM1" s="74"/>
      <c r="CN1" s="400"/>
      <c r="CO1" s="74"/>
      <c r="CP1" s="400"/>
      <c r="CQ1" s="74"/>
      <c r="CR1" s="400"/>
      <c r="CS1" s="74"/>
      <c r="CT1" s="74"/>
      <c r="CU1" s="75"/>
      <c r="CV1" s="74"/>
      <c r="CW1" s="75"/>
      <c r="CX1" s="74"/>
      <c r="CY1" s="75"/>
      <c r="CZ1" s="74"/>
      <c r="DA1" s="75"/>
      <c r="DB1" s="74"/>
      <c r="DC1" s="75"/>
      <c r="DD1" s="74"/>
      <c r="DE1" s="75"/>
      <c r="DF1" s="74"/>
      <c r="DG1" s="75"/>
      <c r="DH1" s="74"/>
      <c r="DI1" s="75"/>
      <c r="DJ1" s="74"/>
      <c r="DK1" s="75"/>
      <c r="DL1" s="74"/>
      <c r="DM1" s="75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  <c r="FU1" s="74"/>
      <c r="FV1" s="74"/>
      <c r="FW1" s="74"/>
      <c r="FX1" s="74"/>
      <c r="FY1" s="74"/>
      <c r="FZ1" s="74"/>
      <c r="GA1" s="74"/>
      <c r="GB1" s="74"/>
      <c r="GC1" s="74"/>
      <c r="GD1" s="74"/>
      <c r="GE1" s="74"/>
      <c r="GF1" s="74"/>
      <c r="GG1" s="74"/>
      <c r="GH1" s="74"/>
      <c r="GI1" s="74"/>
      <c r="GJ1" s="74"/>
      <c r="GK1" s="74"/>
      <c r="GL1" s="74"/>
      <c r="GM1" s="74"/>
      <c r="GN1" s="74"/>
      <c r="GO1" s="74"/>
      <c r="GP1" s="74"/>
      <c r="GQ1" s="74"/>
      <c r="GR1" s="74"/>
      <c r="GS1" s="74"/>
      <c r="GT1" s="74"/>
      <c r="GU1" s="74"/>
      <c r="GV1" s="74"/>
      <c r="GW1" s="74"/>
      <c r="GX1" s="74"/>
      <c r="GY1" s="74"/>
      <c r="GZ1" s="74"/>
      <c r="HA1" s="74"/>
      <c r="HB1" s="74"/>
      <c r="HC1" s="74"/>
      <c r="HD1" s="74"/>
      <c r="HE1" s="74"/>
      <c r="HF1" s="74"/>
      <c r="HG1" s="74"/>
    </row>
    <row r="2" spans="1:215" ht="12.75" customHeight="1">
      <c r="A2" s="74" t="s">
        <v>1</v>
      </c>
      <c r="B2" s="74"/>
      <c r="C2" s="650"/>
      <c r="D2" s="400"/>
      <c r="E2" s="650"/>
      <c r="F2" s="400"/>
      <c r="G2" s="650"/>
      <c r="H2" s="400"/>
      <c r="I2" s="650"/>
      <c r="J2" s="400"/>
      <c r="K2" s="650"/>
      <c r="L2" s="400"/>
      <c r="M2" s="650"/>
      <c r="N2" s="400"/>
      <c r="O2" s="650"/>
      <c r="P2" s="400"/>
      <c r="Q2" s="650"/>
      <c r="R2" s="400"/>
      <c r="S2" s="650"/>
      <c r="T2" s="400"/>
      <c r="U2" s="650"/>
      <c r="V2" s="400"/>
      <c r="W2" s="1134"/>
      <c r="X2" s="400"/>
      <c r="Y2" s="650"/>
      <c r="Z2" s="400"/>
      <c r="AA2" s="650"/>
      <c r="AB2" s="400"/>
      <c r="AC2" s="650"/>
      <c r="AD2" s="400"/>
      <c r="AE2" s="650"/>
      <c r="AF2" s="400"/>
      <c r="AG2" s="650"/>
      <c r="AH2" s="400"/>
      <c r="AI2" s="650"/>
      <c r="AJ2" s="400"/>
      <c r="AK2" s="650"/>
      <c r="AL2" s="400"/>
      <c r="AM2" s="650"/>
      <c r="AN2" s="400"/>
      <c r="AO2" s="650"/>
      <c r="AP2" s="400"/>
      <c r="AQ2" s="650"/>
      <c r="AR2" s="400"/>
      <c r="AS2" s="650"/>
      <c r="AT2" s="400"/>
      <c r="AU2" s="1102"/>
      <c r="AV2" s="400"/>
      <c r="AW2" s="650"/>
      <c r="AX2" s="400"/>
      <c r="AY2" s="881"/>
      <c r="AZ2" s="400"/>
      <c r="BA2" s="650"/>
      <c r="BB2" s="400"/>
      <c r="BC2" s="650"/>
      <c r="BD2" s="400"/>
      <c r="BE2" s="650"/>
      <c r="BF2" s="400"/>
      <c r="BG2" s="650"/>
      <c r="BH2" s="400"/>
      <c r="BI2" s="650"/>
      <c r="BJ2" s="400"/>
      <c r="BK2" s="650"/>
      <c r="BL2" s="400"/>
      <c r="BM2" s="650"/>
      <c r="BN2" s="400"/>
      <c r="BO2" s="650"/>
      <c r="BP2" s="400"/>
      <c r="BQ2" s="650"/>
      <c r="BR2" s="400"/>
      <c r="BS2" s="1075"/>
      <c r="BT2" s="400"/>
      <c r="BU2" s="650"/>
      <c r="BV2" s="400"/>
      <c r="BW2" s="74"/>
      <c r="BX2" s="400"/>
      <c r="BY2" s="74"/>
      <c r="BZ2" s="400"/>
      <c r="CA2" s="74"/>
      <c r="CB2" s="400"/>
      <c r="CC2" s="74"/>
      <c r="CD2" s="400"/>
      <c r="CE2" s="74"/>
      <c r="CF2" s="400"/>
      <c r="CG2" s="74"/>
      <c r="CH2" s="400"/>
      <c r="CI2" s="74"/>
      <c r="CJ2" s="400"/>
      <c r="CK2" s="74"/>
      <c r="CL2" s="400"/>
      <c r="CM2" s="74"/>
      <c r="CN2" s="400"/>
      <c r="CO2" s="74"/>
      <c r="CP2" s="400"/>
      <c r="CQ2" s="74"/>
      <c r="CR2" s="400"/>
      <c r="CS2" s="74"/>
      <c r="CT2" s="74"/>
      <c r="CU2" s="75"/>
      <c r="CV2" s="74"/>
      <c r="CW2" s="75"/>
      <c r="CX2" s="74"/>
      <c r="CY2" s="75"/>
      <c r="CZ2" s="74"/>
      <c r="DA2" s="75"/>
      <c r="DB2" s="74"/>
      <c r="DC2" s="75"/>
      <c r="DD2" s="74"/>
      <c r="DE2" s="75"/>
      <c r="DF2" s="74"/>
      <c r="DG2" s="75"/>
      <c r="DH2" s="74"/>
      <c r="DI2" s="75"/>
      <c r="DJ2" s="74"/>
      <c r="DK2" s="75"/>
      <c r="DL2" s="74"/>
      <c r="DM2" s="75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</row>
    <row r="3" spans="1:215" ht="12.75" customHeight="1">
      <c r="A3" s="74" t="s">
        <v>879</v>
      </c>
      <c r="B3" s="74"/>
      <c r="C3" s="1057"/>
      <c r="D3" s="400"/>
      <c r="E3" s="1057"/>
      <c r="F3" s="400"/>
      <c r="G3" s="1057"/>
      <c r="H3" s="400"/>
      <c r="I3" s="1057"/>
      <c r="J3" s="400"/>
      <c r="K3" s="1057"/>
      <c r="L3" s="400"/>
      <c r="M3" s="1057"/>
      <c r="N3" s="400"/>
      <c r="O3" s="1057"/>
      <c r="P3" s="400"/>
      <c r="Q3" s="1057"/>
      <c r="R3" s="400"/>
      <c r="S3" s="1057"/>
      <c r="T3" s="400"/>
      <c r="U3" s="650"/>
      <c r="V3" s="400"/>
      <c r="W3" s="1134"/>
      <c r="X3" s="400"/>
      <c r="Y3" s="650"/>
      <c r="Z3" s="400"/>
      <c r="AA3" s="650"/>
      <c r="AB3" s="400"/>
      <c r="AC3" s="650"/>
      <c r="AD3" s="400"/>
      <c r="AE3" s="650"/>
      <c r="AF3" s="400"/>
      <c r="AG3" s="650"/>
      <c r="AH3" s="400"/>
      <c r="AI3" s="650"/>
      <c r="AJ3" s="400"/>
      <c r="AK3" s="650"/>
      <c r="AL3" s="400"/>
      <c r="AM3" s="650"/>
      <c r="AN3" s="400"/>
      <c r="AO3" s="650"/>
      <c r="AP3" s="400"/>
      <c r="AQ3" s="650"/>
      <c r="AR3" s="400"/>
      <c r="AS3" s="650"/>
      <c r="AT3" s="400"/>
      <c r="AU3" s="1102"/>
      <c r="AV3" s="400"/>
      <c r="AW3" s="650"/>
      <c r="AX3" s="400"/>
      <c r="AY3" s="881"/>
      <c r="AZ3" s="400"/>
      <c r="BA3" s="650"/>
      <c r="BB3" s="400"/>
      <c r="BC3" s="650"/>
      <c r="BD3" s="400"/>
      <c r="BE3" s="650"/>
      <c r="BF3" s="400"/>
      <c r="BG3" s="650"/>
      <c r="BH3" s="400"/>
      <c r="BI3" s="650"/>
      <c r="BJ3" s="400"/>
      <c r="BK3" s="650"/>
      <c r="BL3" s="400"/>
      <c r="BM3" s="650"/>
      <c r="BN3" s="400"/>
      <c r="BO3" s="650"/>
      <c r="BP3" s="400"/>
      <c r="BQ3" s="650"/>
      <c r="BR3" s="400"/>
      <c r="BS3" s="1075"/>
      <c r="BT3" s="400"/>
      <c r="BU3" s="650"/>
      <c r="BV3" s="400"/>
      <c r="BW3" s="74"/>
      <c r="BX3" s="400"/>
      <c r="BY3" s="74"/>
      <c r="BZ3" s="400"/>
      <c r="CA3" s="74"/>
      <c r="CB3" s="400"/>
      <c r="CC3" s="74"/>
      <c r="CD3" s="400"/>
      <c r="CE3" s="74"/>
      <c r="CF3" s="400"/>
      <c r="CG3" s="74"/>
      <c r="CH3" s="400"/>
      <c r="CI3" s="74"/>
      <c r="CJ3" s="400"/>
      <c r="CK3" s="74"/>
      <c r="CL3" s="400"/>
      <c r="CM3" s="74"/>
      <c r="CN3" s="400"/>
      <c r="CO3" s="74"/>
      <c r="CP3" s="400"/>
      <c r="CQ3" s="74"/>
      <c r="CR3" s="400"/>
      <c r="CS3" s="74"/>
      <c r="CT3" s="74"/>
      <c r="CU3" s="75"/>
      <c r="CV3" s="74"/>
      <c r="CW3" s="75"/>
      <c r="CX3" s="74"/>
      <c r="CY3" s="75"/>
      <c r="CZ3" s="74"/>
      <c r="DA3" s="75"/>
      <c r="DB3" s="74"/>
      <c r="DC3" s="75"/>
      <c r="DD3" s="74"/>
      <c r="DE3" s="75"/>
      <c r="DF3" s="74"/>
      <c r="DG3" s="75"/>
      <c r="DH3" s="74"/>
      <c r="DI3" s="75"/>
      <c r="DJ3" s="74"/>
      <c r="DK3" s="75"/>
      <c r="DL3" s="74"/>
      <c r="DM3" s="75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74"/>
      <c r="FL3" s="74"/>
      <c r="FM3" s="74"/>
      <c r="FN3" s="74"/>
      <c r="FO3" s="74"/>
      <c r="FP3" s="74"/>
      <c r="FQ3" s="74"/>
      <c r="FR3" s="74"/>
      <c r="FS3" s="74"/>
      <c r="FT3" s="74"/>
      <c r="FU3" s="74"/>
      <c r="FV3" s="74"/>
      <c r="FW3" s="74"/>
      <c r="FX3" s="74"/>
      <c r="FY3" s="74"/>
      <c r="FZ3" s="74"/>
      <c r="GA3" s="74"/>
      <c r="GB3" s="74"/>
      <c r="GC3" s="74"/>
      <c r="GD3" s="74"/>
      <c r="GE3" s="74"/>
      <c r="GF3" s="74"/>
      <c r="GG3" s="74"/>
      <c r="GH3" s="74"/>
      <c r="GI3" s="74"/>
      <c r="GJ3" s="74"/>
      <c r="GK3" s="74"/>
      <c r="GL3" s="74"/>
      <c r="GM3" s="74"/>
      <c r="GN3" s="74"/>
      <c r="GO3" s="74"/>
      <c r="GP3" s="74"/>
      <c r="GQ3" s="74"/>
      <c r="GR3" s="74"/>
      <c r="GS3" s="74"/>
      <c r="GT3" s="74"/>
      <c r="GU3" s="74"/>
      <c r="GV3" s="74"/>
      <c r="GW3" s="74"/>
      <c r="GX3" s="74"/>
      <c r="GY3" s="74"/>
      <c r="GZ3" s="74"/>
      <c r="HA3" s="74"/>
      <c r="HB3" s="74"/>
      <c r="HC3" s="74"/>
      <c r="HD3" s="74"/>
      <c r="HE3" s="74"/>
      <c r="HF3" s="74"/>
      <c r="HG3" s="74"/>
    </row>
    <row r="4" spans="1:215" ht="12.75" customHeight="1">
      <c r="A4" s="76"/>
      <c r="B4" s="76"/>
      <c r="C4" s="651"/>
      <c r="D4" s="401"/>
      <c r="E4" s="651"/>
      <c r="F4" s="401"/>
      <c r="G4" s="651"/>
      <c r="H4" s="401"/>
      <c r="I4" s="651"/>
      <c r="J4" s="401"/>
      <c r="K4" s="651"/>
      <c r="L4" s="401"/>
      <c r="M4" s="651"/>
      <c r="N4" s="882"/>
      <c r="O4" s="651"/>
      <c r="P4" s="882"/>
      <c r="Q4" s="651"/>
      <c r="R4" s="882"/>
      <c r="S4" s="651"/>
      <c r="T4" s="882"/>
      <c r="U4" s="1182"/>
      <c r="V4" s="401"/>
      <c r="W4" s="1135"/>
      <c r="X4" s="401"/>
      <c r="Y4" s="651"/>
      <c r="Z4" s="401"/>
      <c r="AA4" s="651"/>
      <c r="AB4" s="401"/>
      <c r="AC4" s="651"/>
      <c r="AD4" s="401"/>
      <c r="AE4" s="651"/>
      <c r="AF4" s="401"/>
      <c r="AG4" s="651"/>
      <c r="AH4" s="401"/>
      <c r="AI4" s="651"/>
      <c r="AJ4" s="401"/>
      <c r="AK4" s="651"/>
      <c r="AL4" s="401"/>
      <c r="AM4" s="651"/>
      <c r="AN4" s="401"/>
      <c r="AO4" s="651"/>
      <c r="AP4" s="401"/>
      <c r="AQ4" s="651"/>
      <c r="AR4" s="401"/>
      <c r="AS4" s="651"/>
      <c r="AT4" s="401"/>
      <c r="AU4" s="1103"/>
      <c r="AV4" s="401"/>
      <c r="AW4" s="651"/>
      <c r="AX4" s="401"/>
      <c r="AY4" s="882"/>
      <c r="AZ4" s="401"/>
      <c r="BA4" s="651"/>
      <c r="BB4" s="401"/>
      <c r="BC4" s="651"/>
      <c r="BD4" s="401"/>
      <c r="BE4" s="651"/>
      <c r="BF4" s="401"/>
      <c r="BG4" s="651"/>
      <c r="BH4" s="401"/>
      <c r="BI4" s="651"/>
      <c r="BJ4" s="401"/>
      <c r="BK4" s="651"/>
      <c r="BL4" s="401"/>
      <c r="BM4" s="651"/>
      <c r="BN4" s="401"/>
      <c r="BO4" s="651"/>
      <c r="BP4" s="401"/>
      <c r="BQ4" s="651"/>
      <c r="BR4" s="401"/>
      <c r="BS4" s="1076"/>
      <c r="BT4" s="401"/>
      <c r="BU4" s="651"/>
      <c r="BV4" s="401"/>
      <c r="BW4" s="76"/>
      <c r="BX4" s="401"/>
      <c r="BY4" s="76"/>
      <c r="BZ4" s="401"/>
      <c r="CA4" s="76"/>
      <c r="CB4" s="401"/>
      <c r="CC4" s="76"/>
      <c r="CD4" s="401"/>
      <c r="CE4" s="76"/>
      <c r="CF4" s="401"/>
      <c r="CG4" s="76"/>
      <c r="CH4" s="401"/>
      <c r="CI4" s="76"/>
      <c r="CJ4" s="401"/>
      <c r="CK4" s="76"/>
      <c r="CL4" s="401"/>
      <c r="CM4" s="76"/>
      <c r="CN4" s="401"/>
      <c r="CO4" s="76"/>
      <c r="CP4" s="401"/>
      <c r="CQ4" s="76"/>
      <c r="CR4" s="401"/>
      <c r="CS4" s="76"/>
      <c r="CT4" s="76"/>
      <c r="CU4" s="77"/>
      <c r="CV4" s="76"/>
      <c r="CW4" s="77"/>
      <c r="CX4" s="76"/>
      <c r="CY4" s="77"/>
      <c r="CZ4" s="76"/>
      <c r="DA4" s="77"/>
      <c r="DB4" s="76"/>
      <c r="DC4" s="77"/>
      <c r="DD4" s="76"/>
      <c r="DE4" s="77"/>
      <c r="DF4" s="76"/>
      <c r="DG4" s="77"/>
      <c r="DH4" s="76"/>
      <c r="DI4" s="77"/>
      <c r="DJ4" s="76"/>
      <c r="DK4" s="77"/>
      <c r="DL4" s="76"/>
      <c r="DM4" s="77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  <c r="HD4" s="76"/>
      <c r="HE4" s="76"/>
      <c r="HF4" s="76"/>
      <c r="HG4" s="76"/>
    </row>
    <row r="5" spans="1:215" ht="12.75" customHeight="1">
      <c r="A5" s="13"/>
      <c r="B5" s="78" t="s">
        <v>147</v>
      </c>
      <c r="C5" s="79">
        <v>46022</v>
      </c>
      <c r="D5" s="406"/>
      <c r="E5" s="79">
        <v>45991</v>
      </c>
      <c r="F5" s="406"/>
      <c r="G5" s="79">
        <v>45961</v>
      </c>
      <c r="H5" s="406"/>
      <c r="I5" s="79">
        <v>45930</v>
      </c>
      <c r="J5" s="406"/>
      <c r="K5" s="79">
        <v>45900</v>
      </c>
      <c r="L5" s="406"/>
      <c r="M5" s="79">
        <v>45869</v>
      </c>
      <c r="N5" s="1183"/>
      <c r="O5" s="79">
        <v>45838</v>
      </c>
      <c r="P5" s="1183"/>
      <c r="Q5" s="79">
        <v>45808</v>
      </c>
      <c r="R5" s="1183"/>
      <c r="S5" s="79">
        <v>45777</v>
      </c>
      <c r="T5" s="1183"/>
      <c r="U5" s="79">
        <v>45747</v>
      </c>
      <c r="V5" s="406"/>
      <c r="W5" s="1132">
        <v>45716</v>
      </c>
      <c r="X5" s="406"/>
      <c r="Y5" s="79">
        <v>45688</v>
      </c>
      <c r="Z5" s="406"/>
      <c r="AA5" s="79">
        <v>45657</v>
      </c>
      <c r="AB5" s="406"/>
      <c r="AC5" s="79">
        <v>45626</v>
      </c>
      <c r="AD5" s="406"/>
      <c r="AE5" s="79">
        <v>45596</v>
      </c>
      <c r="AF5" s="406"/>
      <c r="AG5" s="79">
        <v>45565</v>
      </c>
      <c r="AH5" s="406"/>
      <c r="AI5" s="79">
        <v>45535</v>
      </c>
      <c r="AJ5" s="406"/>
      <c r="AK5" s="79">
        <v>45504</v>
      </c>
      <c r="AL5" s="406"/>
      <c r="AM5" s="79">
        <v>45473</v>
      </c>
      <c r="AN5" s="406"/>
      <c r="AO5" s="79">
        <v>45443</v>
      </c>
      <c r="AP5" s="406"/>
      <c r="AQ5" s="79">
        <v>45412</v>
      </c>
      <c r="AR5" s="406"/>
      <c r="AS5" s="79">
        <v>45382</v>
      </c>
      <c r="AT5" s="406"/>
      <c r="AU5" s="1104">
        <v>45351</v>
      </c>
      <c r="AV5" s="406"/>
      <c r="AW5" s="79">
        <v>45322</v>
      </c>
      <c r="AX5" s="406"/>
      <c r="AY5" s="79">
        <v>45291</v>
      </c>
      <c r="AZ5" s="406"/>
      <c r="BA5" s="79">
        <v>45260</v>
      </c>
      <c r="BB5" s="406"/>
      <c r="BC5" s="79">
        <v>45230</v>
      </c>
      <c r="BD5" s="406"/>
      <c r="BE5" s="79">
        <v>45199</v>
      </c>
      <c r="BF5" s="406"/>
      <c r="BG5" s="79">
        <v>45169</v>
      </c>
      <c r="BH5" s="406"/>
      <c r="BI5" s="79">
        <v>45138</v>
      </c>
      <c r="BJ5" s="406"/>
      <c r="BK5" s="79">
        <v>45107</v>
      </c>
      <c r="BL5" s="406"/>
      <c r="BM5" s="79">
        <v>45077</v>
      </c>
      <c r="BN5" s="406"/>
      <c r="BO5" s="79">
        <v>45046</v>
      </c>
      <c r="BP5" s="406"/>
      <c r="BQ5" s="79">
        <v>45016</v>
      </c>
      <c r="BR5" s="406"/>
      <c r="BS5" s="1073">
        <v>44985</v>
      </c>
      <c r="BT5" s="406"/>
      <c r="BU5" s="79">
        <v>44957</v>
      </c>
      <c r="BV5" s="406"/>
      <c r="BW5" s="79">
        <v>44926</v>
      </c>
      <c r="BX5" s="406"/>
      <c r="BY5" s="79">
        <v>44895</v>
      </c>
      <c r="BZ5" s="406"/>
      <c r="CA5" s="79">
        <v>44865</v>
      </c>
      <c r="CB5" s="406"/>
      <c r="CC5" s="79">
        <v>44834</v>
      </c>
      <c r="CD5" s="406"/>
      <c r="CE5" s="79">
        <v>44804</v>
      </c>
      <c r="CF5" s="406"/>
      <c r="CG5" s="79">
        <v>44773</v>
      </c>
      <c r="CH5" s="406"/>
      <c r="CI5" s="79">
        <v>44742</v>
      </c>
      <c r="CJ5" s="406"/>
      <c r="CK5" s="79">
        <v>44712</v>
      </c>
      <c r="CL5" s="406"/>
      <c r="CM5" s="79">
        <v>44681</v>
      </c>
      <c r="CN5" s="406"/>
      <c r="CO5" s="79">
        <v>44651</v>
      </c>
      <c r="CP5" s="406"/>
      <c r="CQ5" s="79">
        <v>44620</v>
      </c>
      <c r="CR5" s="406"/>
      <c r="CS5" s="79" t="s">
        <v>148</v>
      </c>
      <c r="CT5" s="78"/>
      <c r="CU5" s="79" t="s">
        <v>149</v>
      </c>
      <c r="CV5" s="78"/>
      <c r="CW5" s="79" t="s">
        <v>150</v>
      </c>
      <c r="CX5" s="78"/>
      <c r="CY5" s="79" t="s">
        <v>151</v>
      </c>
      <c r="CZ5" s="78"/>
      <c r="DA5" s="79" t="s">
        <v>152</v>
      </c>
      <c r="DB5" s="78"/>
      <c r="DC5" s="79" t="s">
        <v>153</v>
      </c>
      <c r="DD5" s="78"/>
      <c r="DE5" s="79" t="s">
        <v>154</v>
      </c>
      <c r="DF5" s="78"/>
      <c r="DG5" s="79" t="s">
        <v>155</v>
      </c>
      <c r="DH5" s="78"/>
      <c r="DI5" s="79" t="s">
        <v>156</v>
      </c>
      <c r="DJ5" s="78"/>
      <c r="DK5" s="79" t="s">
        <v>157</v>
      </c>
      <c r="DL5" s="78"/>
      <c r="DM5" s="79" t="s">
        <v>158</v>
      </c>
      <c r="DN5" s="78"/>
      <c r="DO5" s="80" t="s">
        <v>159</v>
      </c>
      <c r="DP5" s="78"/>
      <c r="DQ5" s="80" t="s">
        <v>160</v>
      </c>
      <c r="DR5" s="78"/>
      <c r="DS5" s="80" t="s">
        <v>161</v>
      </c>
      <c r="DT5" s="78"/>
      <c r="DU5" s="80" t="s">
        <v>162</v>
      </c>
      <c r="DV5" s="78"/>
      <c r="DW5" s="80" t="s">
        <v>163</v>
      </c>
      <c r="DX5" s="78"/>
      <c r="DY5" s="80" t="s">
        <v>164</v>
      </c>
      <c r="DZ5" s="78"/>
      <c r="EA5" s="80" t="s">
        <v>165</v>
      </c>
      <c r="EB5" s="78"/>
      <c r="EC5" s="80" t="s">
        <v>166</v>
      </c>
      <c r="ED5" s="78"/>
      <c r="EE5" s="80" t="s">
        <v>167</v>
      </c>
      <c r="EF5" s="78"/>
      <c r="EG5" s="80" t="s">
        <v>168</v>
      </c>
      <c r="EH5" s="78"/>
      <c r="EI5" s="80" t="s">
        <v>169</v>
      </c>
      <c r="EJ5" s="78"/>
      <c r="EK5" s="80" t="s">
        <v>170</v>
      </c>
      <c r="EL5" s="78"/>
      <c r="EM5" s="80" t="s">
        <v>171</v>
      </c>
      <c r="EN5" s="78"/>
      <c r="EO5" s="80" t="s">
        <v>172</v>
      </c>
      <c r="EP5" s="78"/>
      <c r="EQ5" s="80" t="s">
        <v>173</v>
      </c>
      <c r="ER5" s="78"/>
      <c r="ES5" s="80" t="s">
        <v>174</v>
      </c>
      <c r="ET5" s="78"/>
      <c r="EU5" s="80" t="s">
        <v>175</v>
      </c>
      <c r="EV5" s="78"/>
      <c r="EW5" s="80" t="s">
        <v>176</v>
      </c>
      <c r="EX5" s="78"/>
      <c r="EY5" s="80" t="s">
        <v>177</v>
      </c>
      <c r="EZ5" s="78"/>
      <c r="FA5" s="80" t="s">
        <v>178</v>
      </c>
      <c r="FB5" s="78"/>
      <c r="FC5" s="80" t="s">
        <v>179</v>
      </c>
      <c r="FD5" s="78"/>
      <c r="FE5" s="80" t="s">
        <v>180</v>
      </c>
      <c r="FF5" s="78"/>
      <c r="FG5" s="80" t="s">
        <v>181</v>
      </c>
      <c r="FH5" s="78"/>
      <c r="FI5" s="80" t="s">
        <v>182</v>
      </c>
      <c r="FJ5" s="78"/>
      <c r="FK5" s="80" t="s">
        <v>183</v>
      </c>
      <c r="FL5" s="78"/>
      <c r="FM5" s="80" t="s">
        <v>184</v>
      </c>
      <c r="FN5" s="78"/>
      <c r="FO5" s="80" t="s">
        <v>185</v>
      </c>
      <c r="FP5" s="78"/>
      <c r="FQ5" s="80" t="s">
        <v>186</v>
      </c>
      <c r="FR5" s="78"/>
      <c r="FS5" s="80" t="s">
        <v>187</v>
      </c>
      <c r="FT5" s="78"/>
      <c r="FU5" s="80" t="s">
        <v>188</v>
      </c>
      <c r="FV5" s="78"/>
      <c r="FW5" s="80" t="s">
        <v>189</v>
      </c>
      <c r="FX5" s="78"/>
      <c r="FY5" s="80" t="s">
        <v>190</v>
      </c>
      <c r="FZ5" s="78"/>
      <c r="GA5" s="80" t="s">
        <v>191</v>
      </c>
      <c r="GB5" s="78"/>
      <c r="GC5" s="80" t="s">
        <v>192</v>
      </c>
      <c r="GD5" s="78"/>
      <c r="GE5" s="80" t="s">
        <v>193</v>
      </c>
      <c r="GF5" s="78"/>
      <c r="GG5" s="80" t="s">
        <v>194</v>
      </c>
      <c r="GH5" s="78"/>
      <c r="GI5" s="80" t="s">
        <v>195</v>
      </c>
      <c r="GJ5" s="78"/>
      <c r="GK5" s="80" t="s">
        <v>196</v>
      </c>
      <c r="GL5" s="78"/>
      <c r="GM5" s="80" t="s">
        <v>197</v>
      </c>
      <c r="GN5" s="78"/>
      <c r="GO5" s="80" t="s">
        <v>198</v>
      </c>
      <c r="GP5" s="78"/>
      <c r="GQ5" s="80" t="s">
        <v>199</v>
      </c>
      <c r="GR5" s="78"/>
      <c r="GS5" s="80" t="s">
        <v>200</v>
      </c>
      <c r="GT5" s="78"/>
      <c r="GU5" s="80" t="s">
        <v>201</v>
      </c>
      <c r="GV5" s="78"/>
      <c r="GW5" s="80" t="s">
        <v>202</v>
      </c>
      <c r="GX5" s="78"/>
      <c r="GY5" s="80" t="s">
        <v>203</v>
      </c>
      <c r="GZ5" s="78"/>
      <c r="HA5" s="80" t="s">
        <v>204</v>
      </c>
      <c r="HB5" s="78"/>
      <c r="HC5" s="78" t="s">
        <v>205</v>
      </c>
      <c r="HD5" s="78"/>
      <c r="HE5" s="78" t="s">
        <v>206</v>
      </c>
      <c r="HF5" s="78"/>
      <c r="HG5" s="78" t="s">
        <v>207</v>
      </c>
    </row>
    <row r="6" spans="1:215" ht="12.75" customHeight="1">
      <c r="A6" s="76"/>
      <c r="B6" s="76"/>
      <c r="C6" s="651"/>
      <c r="D6" s="401"/>
      <c r="E6" s="651"/>
      <c r="F6" s="401"/>
      <c r="G6" s="651"/>
      <c r="H6" s="401"/>
      <c r="I6" s="651"/>
      <c r="J6" s="401"/>
      <c r="K6" s="651"/>
      <c r="L6" s="401"/>
      <c r="M6" s="651"/>
      <c r="N6" s="401"/>
      <c r="O6" s="651"/>
      <c r="P6" s="401"/>
      <c r="Q6" s="651"/>
      <c r="R6" s="401"/>
      <c r="S6" s="651"/>
      <c r="T6" s="401"/>
      <c r="U6" s="651"/>
      <c r="V6" s="401"/>
      <c r="W6" s="1135"/>
      <c r="X6" s="401"/>
      <c r="Y6" s="651"/>
      <c r="Z6" s="401"/>
      <c r="AA6" s="651"/>
      <c r="AB6" s="401"/>
      <c r="AC6" s="651"/>
      <c r="AD6" s="401"/>
      <c r="AE6" s="651"/>
      <c r="AF6" s="401"/>
      <c r="AG6" s="651"/>
      <c r="AH6" s="401"/>
      <c r="AI6" s="651"/>
      <c r="AJ6" s="401"/>
      <c r="AK6" s="651"/>
      <c r="AL6" s="401"/>
      <c r="AM6" s="651"/>
      <c r="AN6" s="401"/>
      <c r="AO6" s="651"/>
      <c r="AP6" s="401"/>
      <c r="AQ6" s="651"/>
      <c r="AR6" s="401"/>
      <c r="AS6" s="651"/>
      <c r="AT6" s="401"/>
      <c r="AU6" s="1103"/>
      <c r="AV6" s="401"/>
      <c r="AW6" s="651"/>
      <c r="AX6" s="401"/>
      <c r="AY6" s="882"/>
      <c r="AZ6" s="401"/>
      <c r="BA6" s="651"/>
      <c r="BB6" s="401"/>
      <c r="BC6" s="651"/>
      <c r="BD6" s="401"/>
      <c r="BE6" s="651"/>
      <c r="BF6" s="401"/>
      <c r="BG6" s="651"/>
      <c r="BH6" s="401"/>
      <c r="BI6" s="651"/>
      <c r="BJ6" s="401"/>
      <c r="BK6" s="651"/>
      <c r="BL6" s="401"/>
      <c r="BM6" s="651"/>
      <c r="BN6" s="401"/>
      <c r="BO6" s="651"/>
      <c r="BP6" s="401"/>
      <c r="BQ6" s="651"/>
      <c r="BR6" s="401"/>
      <c r="BS6" s="1076"/>
      <c r="BT6" s="401"/>
      <c r="BU6" s="651"/>
      <c r="BV6" s="401"/>
      <c r="BW6" s="76"/>
      <c r="BX6" s="401"/>
      <c r="BY6" s="76"/>
      <c r="BZ6" s="401"/>
      <c r="CA6" s="76"/>
      <c r="CB6" s="401"/>
      <c r="CC6" s="76"/>
      <c r="CD6" s="401"/>
      <c r="CE6" s="76"/>
      <c r="CF6" s="401"/>
      <c r="CG6" s="76"/>
      <c r="CH6" s="401"/>
      <c r="CI6" s="76"/>
      <c r="CJ6" s="401"/>
      <c r="CK6" s="76"/>
      <c r="CL6" s="401"/>
      <c r="CM6" s="76"/>
      <c r="CN6" s="401"/>
      <c r="CO6" s="76"/>
      <c r="CP6" s="401"/>
      <c r="CQ6" s="76"/>
      <c r="CR6" s="401"/>
      <c r="CS6" s="76"/>
      <c r="CT6" s="76"/>
      <c r="CU6" s="77"/>
      <c r="CV6" s="76"/>
      <c r="CW6" s="77"/>
      <c r="CX6" s="76"/>
      <c r="CY6" s="77"/>
      <c r="CZ6" s="76"/>
      <c r="DA6" s="77"/>
      <c r="DB6" s="76"/>
      <c r="DC6" s="77"/>
      <c r="DD6" s="76"/>
      <c r="DE6" s="77"/>
      <c r="DF6" s="76"/>
      <c r="DG6" s="77"/>
      <c r="DH6" s="76"/>
      <c r="DI6" s="77"/>
      <c r="DJ6" s="76"/>
      <c r="DK6" s="77"/>
      <c r="DL6" s="76"/>
      <c r="DM6" s="77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  <c r="HD6" s="76"/>
      <c r="HE6" s="76"/>
      <c r="HF6" s="76"/>
      <c r="HG6" s="76"/>
    </row>
    <row r="7" spans="1:215" ht="12.75" customHeight="1">
      <c r="A7" s="13" t="s">
        <v>208</v>
      </c>
      <c r="B7" s="13"/>
      <c r="C7" s="81">
        <f>SUM(C8:C17)</f>
        <v>2072126268.1900003</v>
      </c>
      <c r="D7" s="402"/>
      <c r="E7" s="81">
        <f>SUM(E8:E17)</f>
        <v>1991453678.1500001</v>
      </c>
      <c r="F7" s="402"/>
      <c r="G7" s="81">
        <f>SUM(G8:G17)</f>
        <v>1947740916.8000002</v>
      </c>
      <c r="H7" s="402"/>
      <c r="I7" s="81">
        <v>1981390780.6100001</v>
      </c>
      <c r="J7" s="402"/>
      <c r="K7" s="81">
        <v>2109018895.7700002</v>
      </c>
      <c r="L7" s="402"/>
      <c r="M7" s="81">
        <f>SUM(M8:M17)</f>
        <v>2151857782.3299999</v>
      </c>
      <c r="N7" s="402"/>
      <c r="O7" s="81">
        <f>SUM(O8:O17)</f>
        <v>2192448041.4099998</v>
      </c>
      <c r="P7" s="402"/>
      <c r="Q7" s="81">
        <f>SUM(Q8:Q17)</f>
        <v>2200529525.3499994</v>
      </c>
      <c r="R7" s="402"/>
      <c r="S7" s="81">
        <f>SUM(S8:S17)</f>
        <v>2237525736.4800005</v>
      </c>
      <c r="T7" s="402"/>
      <c r="U7" s="81">
        <f>SUM(U8:U17)</f>
        <v>2052621418.4100003</v>
      </c>
      <c r="V7" s="402"/>
      <c r="W7" s="1136">
        <f>SUM(W8:W17)</f>
        <v>2167508572.8299999</v>
      </c>
      <c r="X7" s="402"/>
      <c r="Y7" s="81">
        <v>2223131690.8600001</v>
      </c>
      <c r="Z7" s="402"/>
      <c r="AA7" s="81">
        <v>2249999971.4799995</v>
      </c>
      <c r="AB7" s="402"/>
      <c r="AC7" s="81">
        <v>2306836043.5399995</v>
      </c>
      <c r="AD7" s="402"/>
      <c r="AE7" s="81">
        <v>2320280035.29</v>
      </c>
      <c r="AF7" s="402"/>
      <c r="AG7" s="81">
        <v>2202316672.5899997</v>
      </c>
      <c r="AH7" s="402"/>
      <c r="AI7" s="81">
        <v>2250599644.8799996</v>
      </c>
      <c r="AJ7" s="402"/>
      <c r="AK7" s="81">
        <v>2096293237.5999999</v>
      </c>
      <c r="AL7" s="402"/>
      <c r="AM7" s="81">
        <v>2100168988.4899995</v>
      </c>
      <c r="AN7" s="402"/>
      <c r="AO7" s="81">
        <v>2050399375.0699999</v>
      </c>
      <c r="AP7" s="402"/>
      <c r="AQ7" s="81">
        <v>1919076648.8899996</v>
      </c>
      <c r="AR7" s="402"/>
      <c r="AS7" s="81">
        <v>1844426438.6899998</v>
      </c>
      <c r="AT7" s="402"/>
      <c r="AU7" s="1105">
        <f>SUM(AU8:AU17)</f>
        <v>1689566082.6299999</v>
      </c>
      <c r="AV7" s="402"/>
      <c r="AW7" s="81">
        <v>1717884904.6500001</v>
      </c>
      <c r="AX7" s="402"/>
      <c r="AY7" s="81">
        <v>1733917895.8999996</v>
      </c>
      <c r="AZ7" s="402"/>
      <c r="BA7" s="81">
        <v>1561674892.9399998</v>
      </c>
      <c r="BB7" s="402"/>
      <c r="BC7" s="81">
        <v>1535832117.6299996</v>
      </c>
      <c r="BD7" s="402"/>
      <c r="BE7" s="81">
        <v>1429968049.5899997</v>
      </c>
      <c r="BF7" s="402"/>
      <c r="BG7" s="81">
        <v>1277240500.4499998</v>
      </c>
      <c r="BH7" s="402"/>
      <c r="BI7" s="81">
        <v>1254929090.7</v>
      </c>
      <c r="BJ7" s="402"/>
      <c r="BK7" s="81">
        <v>1230093120.4799998</v>
      </c>
      <c r="BL7" s="402"/>
      <c r="BM7" s="81">
        <v>1235772556.4299998</v>
      </c>
      <c r="BN7" s="402"/>
      <c r="BO7" s="81">
        <v>1205323513.1199999</v>
      </c>
      <c r="BP7" s="402"/>
      <c r="BQ7" s="81">
        <f>SUM(BQ8:BQ17)</f>
        <v>554687925.25999999</v>
      </c>
      <c r="BR7" s="402"/>
      <c r="BS7" s="1077">
        <f>SUM(BS8:BS17)</f>
        <v>1077201207.8299999</v>
      </c>
      <c r="BT7" s="402"/>
      <c r="BU7" s="81">
        <v>1183153376.28</v>
      </c>
      <c r="BV7" s="402"/>
      <c r="BW7" s="81">
        <v>826638881.8900001</v>
      </c>
      <c r="BX7" s="402"/>
      <c r="BY7" s="81">
        <v>820247235.07000005</v>
      </c>
      <c r="BZ7" s="402"/>
      <c r="CA7" s="81">
        <v>730396142.29000008</v>
      </c>
      <c r="CB7" s="402"/>
      <c r="CC7" s="81">
        <v>728941632.11000001</v>
      </c>
      <c r="CD7" s="402"/>
      <c r="CE7" s="81">
        <v>749572285.17999983</v>
      </c>
      <c r="CF7" s="402"/>
      <c r="CG7" s="81">
        <v>754744127.38999987</v>
      </c>
      <c r="CH7" s="402"/>
      <c r="CI7" s="81">
        <v>652826985.93999982</v>
      </c>
      <c r="CJ7" s="402"/>
      <c r="CK7" s="81">
        <v>649661373.08999979</v>
      </c>
      <c r="CL7" s="402"/>
      <c r="CM7" s="81">
        <v>643938812.63999999</v>
      </c>
      <c r="CN7" s="402"/>
      <c r="CO7" s="81">
        <f>SUM(CO8:CO17)</f>
        <v>647834660.06999993</v>
      </c>
      <c r="CP7" s="402"/>
      <c r="CQ7" s="81">
        <f>SUM(CQ8:CQ17)</f>
        <v>607660847.62000012</v>
      </c>
      <c r="CR7" s="402"/>
      <c r="CS7" s="81">
        <f>SUM(CS8:CS17)</f>
        <v>572760289.10000002</v>
      </c>
      <c r="CT7" s="13"/>
      <c r="CU7" s="81">
        <f>SUM(CU8:CU17)</f>
        <v>499874018.42999995</v>
      </c>
      <c r="CV7" s="13"/>
      <c r="CW7" s="81">
        <f>SUM(CW8:CW17)</f>
        <v>513058682.72999996</v>
      </c>
      <c r="CX7" s="13"/>
      <c r="CY7" s="81">
        <f>SUM(CY8:CY17)</f>
        <v>508406085.56999993</v>
      </c>
      <c r="CZ7" s="13"/>
      <c r="DA7" s="81">
        <f>SUM(DA8:DA17)</f>
        <v>425065807.08999997</v>
      </c>
      <c r="DB7" s="13"/>
      <c r="DC7" s="81">
        <f>SUM(DC8:DC17)</f>
        <v>425118541.87</v>
      </c>
      <c r="DD7" s="13"/>
      <c r="DE7" s="81">
        <f>SUM(DE8:DE17)</f>
        <v>391475815.64999998</v>
      </c>
      <c r="DF7" s="13"/>
      <c r="DG7" s="81">
        <f>SUM(DG8:DG17)</f>
        <v>357507254.74000007</v>
      </c>
      <c r="DH7" s="13"/>
      <c r="DI7" s="81">
        <f>SUM(DI8:DI17)</f>
        <v>319403973.40000004</v>
      </c>
      <c r="DJ7" s="13"/>
      <c r="DK7" s="81">
        <f>SUM(DK8:DK17)</f>
        <v>323030991.07999992</v>
      </c>
      <c r="DL7" s="13"/>
      <c r="DM7" s="81">
        <f>SUM(DM8:DM17)</f>
        <v>303010334.57000005</v>
      </c>
      <c r="DN7" s="13"/>
      <c r="DO7" s="82">
        <v>301651035.19999999</v>
      </c>
      <c r="DP7" s="13"/>
      <c r="DQ7" s="82">
        <v>270147934.22000003</v>
      </c>
      <c r="DR7" s="13"/>
      <c r="DS7" s="82">
        <v>269088456.95999998</v>
      </c>
      <c r="DT7" s="13"/>
      <c r="DU7" s="82">
        <v>284714342.76000005</v>
      </c>
      <c r="DV7" s="13"/>
      <c r="DW7" s="82">
        <v>307475116.01999998</v>
      </c>
      <c r="DX7" s="13"/>
      <c r="DY7" s="82">
        <v>319553540.14999992</v>
      </c>
      <c r="DZ7" s="13"/>
      <c r="EA7" s="82">
        <v>270307397.86000001</v>
      </c>
      <c r="EB7" s="13"/>
      <c r="EC7" s="82">
        <v>267702006.10000002</v>
      </c>
      <c r="ED7" s="13"/>
      <c r="EE7" s="82">
        <v>269204600.50000006</v>
      </c>
      <c r="EF7" s="13"/>
      <c r="EG7" s="82">
        <v>268562691.57999998</v>
      </c>
      <c r="EH7" s="13"/>
      <c r="EI7" s="82">
        <v>267410903.13999996</v>
      </c>
      <c r="EJ7" s="13"/>
      <c r="EK7" s="82">
        <v>272113908.20999998</v>
      </c>
      <c r="EL7" s="13"/>
      <c r="EM7" s="82">
        <v>277395865.19</v>
      </c>
      <c r="EN7" s="13"/>
      <c r="EO7" s="82">
        <v>279803851.04000002</v>
      </c>
      <c r="EP7" s="13"/>
      <c r="EQ7" s="82">
        <v>277632780.33999997</v>
      </c>
      <c r="ER7" s="13"/>
      <c r="ES7" s="82">
        <v>244127336.88999996</v>
      </c>
      <c r="ET7" s="13"/>
      <c r="EU7" s="82">
        <v>199662304.22</v>
      </c>
      <c r="EV7" s="13"/>
      <c r="EW7" s="82">
        <v>177021242.72999999</v>
      </c>
      <c r="EX7" s="13"/>
      <c r="EY7" s="82">
        <v>174345072.27000001</v>
      </c>
      <c r="EZ7" s="13"/>
      <c r="FA7" s="82">
        <v>176384156.18000001</v>
      </c>
      <c r="FB7" s="13"/>
      <c r="FC7" s="82">
        <v>179945328.55000001</v>
      </c>
      <c r="FD7" s="13"/>
      <c r="FE7" s="82">
        <v>90524982.600000009</v>
      </c>
      <c r="FF7" s="13"/>
      <c r="FG7" s="82">
        <v>89224776.390000015</v>
      </c>
      <c r="FH7" s="13"/>
      <c r="FI7" s="82">
        <v>87836056.950000003</v>
      </c>
      <c r="FJ7" s="13"/>
      <c r="FK7" s="82">
        <v>76859701.910000026</v>
      </c>
      <c r="FL7" s="13"/>
      <c r="FM7" s="82">
        <v>76851290.109999999</v>
      </c>
      <c r="FN7" s="13"/>
      <c r="FO7" s="82">
        <v>80968553.079999998</v>
      </c>
      <c r="FP7" s="13"/>
      <c r="FQ7" s="82">
        <v>65961033.350000009</v>
      </c>
      <c r="FR7" s="13"/>
      <c r="FS7" s="82">
        <v>67506266.989999995</v>
      </c>
      <c r="FT7" s="13"/>
      <c r="FU7" s="82">
        <v>46447927.750000007</v>
      </c>
      <c r="FV7" s="13"/>
      <c r="FW7" s="82">
        <v>41982556.870000005</v>
      </c>
      <c r="FX7" s="13"/>
      <c r="FY7" s="82">
        <v>38595572.32</v>
      </c>
      <c r="FZ7" s="13"/>
      <c r="GA7" s="82">
        <v>33396339.000000007</v>
      </c>
      <c r="GB7" s="13"/>
      <c r="GC7" s="82">
        <v>33009429.270000003</v>
      </c>
      <c r="GD7" s="13"/>
      <c r="GE7" s="82">
        <v>31529369.200000003</v>
      </c>
      <c r="GF7" s="13"/>
      <c r="GG7" s="82">
        <v>31428513.99000001</v>
      </c>
      <c r="GH7" s="13"/>
      <c r="GI7" s="73">
        <v>31020181.919999991</v>
      </c>
      <c r="GJ7" s="13"/>
      <c r="GK7" s="73">
        <v>27087750.090000004</v>
      </c>
      <c r="GL7" s="13"/>
      <c r="GM7" s="73">
        <v>27071748.059999984</v>
      </c>
      <c r="GN7" s="13"/>
      <c r="GO7" s="73">
        <v>28067167.850000013</v>
      </c>
      <c r="GP7" s="13"/>
      <c r="GQ7" s="73">
        <v>27425147.010000005</v>
      </c>
      <c r="GR7" s="13"/>
      <c r="GS7" s="73">
        <v>24771482.400000002</v>
      </c>
      <c r="GT7" s="13"/>
      <c r="GU7" s="73">
        <v>25119065.539999992</v>
      </c>
      <c r="GV7" s="13"/>
      <c r="GW7" s="73">
        <v>24440237.310000002</v>
      </c>
      <c r="GX7" s="73"/>
      <c r="GY7" s="73">
        <v>24597276.120000001</v>
      </c>
      <c r="GZ7" s="73"/>
      <c r="HA7" s="73">
        <v>22438710.259999998</v>
      </c>
      <c r="HB7" s="13"/>
      <c r="HC7" s="73">
        <v>22129892.800000004</v>
      </c>
      <c r="HD7" s="73"/>
      <c r="HE7" s="73">
        <v>22332816.099999998</v>
      </c>
      <c r="HF7" s="73"/>
      <c r="HG7" s="73">
        <v>22737686.420000002</v>
      </c>
    </row>
    <row r="8" spans="1:215" ht="12.75" customHeight="1">
      <c r="A8" s="76" t="s">
        <v>209</v>
      </c>
      <c r="B8" s="76"/>
      <c r="C8" s="83">
        <v>46703517.230000019</v>
      </c>
      <c r="D8" s="873"/>
      <c r="E8" s="83">
        <v>38038010.539999999</v>
      </c>
      <c r="F8" s="873"/>
      <c r="G8" s="83">
        <v>38057566.219999999</v>
      </c>
      <c r="H8" s="873"/>
      <c r="I8" s="83">
        <v>40296682</v>
      </c>
      <c r="J8" s="873"/>
      <c r="K8" s="83">
        <v>41380622.75</v>
      </c>
      <c r="L8" s="873"/>
      <c r="M8" s="83">
        <v>43032626.060000002</v>
      </c>
      <c r="N8" s="873"/>
      <c r="O8" s="83">
        <v>66618857.25</v>
      </c>
      <c r="P8" s="873"/>
      <c r="Q8" s="83">
        <v>49675407.18</v>
      </c>
      <c r="R8" s="873"/>
      <c r="S8" s="83">
        <v>26615000.920000002</v>
      </c>
      <c r="T8" s="873"/>
      <c r="U8" s="83">
        <v>56762148.490000002</v>
      </c>
      <c r="V8" s="873"/>
      <c r="W8" s="1137">
        <v>41210243.119999997</v>
      </c>
      <c r="X8" s="873"/>
      <c r="Y8" s="83">
        <v>32658375.359999999</v>
      </c>
      <c r="Z8" s="873"/>
      <c r="AA8" s="83">
        <v>32579933.809999999</v>
      </c>
      <c r="AB8" s="873"/>
      <c r="AC8" s="83">
        <v>41195859.440000027</v>
      </c>
      <c r="AD8" s="873"/>
      <c r="AE8" s="83">
        <v>63666235.020000003</v>
      </c>
      <c r="AF8" s="873"/>
      <c r="AG8" s="83">
        <v>34322887.700000003</v>
      </c>
      <c r="AH8" s="873"/>
      <c r="AI8" s="83">
        <v>38074906</v>
      </c>
      <c r="AJ8" s="401"/>
      <c r="AK8" s="83">
        <v>23161933.010000002</v>
      </c>
      <c r="AL8" s="401"/>
      <c r="AM8" s="83">
        <v>72008771.069999993</v>
      </c>
      <c r="AN8" s="401"/>
      <c r="AO8" s="83">
        <v>43705687.329999998</v>
      </c>
      <c r="AP8" s="401"/>
      <c r="AQ8" s="83">
        <v>27058868.739999998</v>
      </c>
      <c r="AR8" s="401"/>
      <c r="AS8" s="83">
        <v>38076301.75</v>
      </c>
      <c r="AT8" s="401"/>
      <c r="AU8" s="1106">
        <v>8466106.9600000009</v>
      </c>
      <c r="AV8" s="401"/>
      <c r="AW8" s="83">
        <v>19892581.739999998</v>
      </c>
      <c r="AX8" s="401"/>
      <c r="AY8" s="883">
        <v>26206943.239999998</v>
      </c>
      <c r="AZ8" s="401"/>
      <c r="BA8" s="83">
        <v>22515441</v>
      </c>
      <c r="BB8" s="401"/>
      <c r="BC8" s="83">
        <v>161007677.44</v>
      </c>
      <c r="BD8" s="401"/>
      <c r="BE8" s="83">
        <v>59079174.520000003</v>
      </c>
      <c r="BF8" s="401"/>
      <c r="BG8" s="83">
        <v>22780794.760000002</v>
      </c>
      <c r="BH8" s="401"/>
      <c r="BI8" s="83">
        <v>42452570.619999997</v>
      </c>
      <c r="BJ8" s="401"/>
      <c r="BK8" s="83">
        <v>25095351.300000001</v>
      </c>
      <c r="BL8" s="401"/>
      <c r="BM8" s="83">
        <v>23997635</v>
      </c>
      <c r="BN8" s="401"/>
      <c r="BO8" s="83">
        <v>22517338.469999999</v>
      </c>
      <c r="BP8" s="401"/>
      <c r="BQ8" s="83">
        <v>11510023</v>
      </c>
      <c r="BR8" s="401"/>
      <c r="BS8" s="1078">
        <v>311495685.31999993</v>
      </c>
      <c r="BT8" s="401"/>
      <c r="BU8" s="83">
        <v>416300945.44999999</v>
      </c>
      <c r="BV8" s="401"/>
      <c r="BW8" s="83">
        <v>91652755.659999996</v>
      </c>
      <c r="BX8" s="401"/>
      <c r="BY8" s="83">
        <v>70735831.450000003</v>
      </c>
      <c r="BZ8" s="401"/>
      <c r="CA8" s="83">
        <v>47435565.140000001</v>
      </c>
      <c r="CB8" s="401"/>
      <c r="CC8" s="83">
        <v>62296601.659999996</v>
      </c>
      <c r="CD8" s="401"/>
      <c r="CE8" s="83">
        <v>122025858</v>
      </c>
      <c r="CF8" s="401"/>
      <c r="CG8" s="83">
        <v>150142123</v>
      </c>
      <c r="CH8" s="401"/>
      <c r="CI8" s="83">
        <v>12395297.619999999</v>
      </c>
      <c r="CJ8" s="401"/>
      <c r="CK8" s="83">
        <v>11578254</v>
      </c>
      <c r="CL8" s="401"/>
      <c r="CM8" s="83">
        <v>14314167.77</v>
      </c>
      <c r="CN8" s="401"/>
      <c r="CO8" s="83">
        <v>46108806.289999999</v>
      </c>
      <c r="CP8" s="401"/>
      <c r="CQ8" s="83">
        <v>19282405.559999999</v>
      </c>
      <c r="CR8" s="401"/>
      <c r="CS8" s="83">
        <v>16343471.23</v>
      </c>
      <c r="CT8" s="76"/>
      <c r="CU8" s="83">
        <v>13283190.859999999</v>
      </c>
      <c r="CV8" s="76"/>
      <c r="CW8" s="83">
        <v>4109352</v>
      </c>
      <c r="CX8" s="76"/>
      <c r="CY8" s="83">
        <v>11430254.880000001</v>
      </c>
      <c r="CZ8" s="76"/>
      <c r="DA8" s="83">
        <v>6354640.7599999998</v>
      </c>
      <c r="DB8" s="76"/>
      <c r="DC8" s="83">
        <v>6912516.4699999997</v>
      </c>
      <c r="DD8" s="76"/>
      <c r="DE8" s="83">
        <v>6908378.5899999999</v>
      </c>
      <c r="DF8" s="76"/>
      <c r="DG8" s="83">
        <v>24967152.699999999</v>
      </c>
      <c r="DH8" s="76"/>
      <c r="DI8" s="83">
        <v>6726657.9299999997</v>
      </c>
      <c r="DJ8" s="76"/>
      <c r="DK8" s="83">
        <v>5702844.1200000001</v>
      </c>
      <c r="DL8" s="76"/>
      <c r="DM8" s="83">
        <v>4764699.07</v>
      </c>
      <c r="DN8" s="76"/>
      <c r="DO8" s="84">
        <v>5925577.5</v>
      </c>
      <c r="DP8" s="76"/>
      <c r="DQ8" s="84">
        <v>6977360.0899999999</v>
      </c>
      <c r="DR8" s="76"/>
      <c r="DS8" s="84">
        <v>8175547.0800000001</v>
      </c>
      <c r="DT8" s="76"/>
      <c r="DU8" s="84">
        <v>6134514.7199999997</v>
      </c>
      <c r="DV8" s="76"/>
      <c r="DW8" s="84">
        <v>5407838.75</v>
      </c>
      <c r="DX8" s="76"/>
      <c r="DY8" s="84">
        <v>3296504.74</v>
      </c>
      <c r="DZ8" s="76"/>
      <c r="EA8" s="84">
        <v>23306833.309999999</v>
      </c>
      <c r="EB8" s="76"/>
      <c r="EC8" s="83">
        <v>24640199.949999999</v>
      </c>
      <c r="ED8" s="76"/>
      <c r="EE8" s="84">
        <v>28070477.300000001</v>
      </c>
      <c r="EF8" s="76"/>
      <c r="EG8" s="83">
        <v>24530681.370000001</v>
      </c>
      <c r="EH8" s="76"/>
      <c r="EI8" s="83">
        <v>22040176.300000001</v>
      </c>
      <c r="EJ8" s="76"/>
      <c r="EK8" s="83">
        <v>27937728.899999999</v>
      </c>
      <c r="EL8" s="76"/>
      <c r="EM8" s="83">
        <v>35049424.729999997</v>
      </c>
      <c r="EN8" s="76"/>
      <c r="EO8" s="83">
        <v>50771437.710000001</v>
      </c>
      <c r="EP8" s="76"/>
      <c r="EQ8" s="84">
        <v>51911161.910000004</v>
      </c>
      <c r="ER8" s="76"/>
      <c r="ES8" s="84">
        <v>21227342.91</v>
      </c>
      <c r="ET8" s="76"/>
      <c r="EU8" s="84">
        <v>5484862.8900000006</v>
      </c>
      <c r="EV8" s="76"/>
      <c r="EW8" s="84">
        <v>6552421.5599999996</v>
      </c>
      <c r="EX8" s="76"/>
      <c r="EY8" s="84">
        <v>7425167.5299999993</v>
      </c>
      <c r="EZ8" s="76"/>
      <c r="FA8" s="84">
        <v>47740848.020000003</v>
      </c>
      <c r="FB8" s="76"/>
      <c r="FC8" s="84">
        <v>21050055.780000001</v>
      </c>
      <c r="FD8" s="76"/>
      <c r="FE8" s="84">
        <v>8496771.5199999996</v>
      </c>
      <c r="FF8" s="76"/>
      <c r="FG8" s="84">
        <v>7801128.5999999996</v>
      </c>
      <c r="FH8" s="76"/>
      <c r="FI8" s="84">
        <v>18355518.18</v>
      </c>
      <c r="FJ8" s="76"/>
      <c r="FK8" s="84">
        <v>4232869.6400000006</v>
      </c>
      <c r="FL8" s="76"/>
      <c r="FM8" s="84">
        <v>5660186.7800000003</v>
      </c>
      <c r="FN8" s="76"/>
      <c r="FO8" s="84">
        <v>13730333.52</v>
      </c>
      <c r="FP8" s="76"/>
      <c r="FQ8" s="84">
        <v>7236672.8099999996</v>
      </c>
      <c r="FR8" s="76"/>
      <c r="FS8" s="84">
        <v>19226141.879999999</v>
      </c>
      <c r="FT8" s="76"/>
      <c r="FU8" s="84">
        <v>4978040.51</v>
      </c>
      <c r="FV8" s="76"/>
      <c r="FW8" s="84">
        <v>3321017.79</v>
      </c>
      <c r="FX8" s="76"/>
      <c r="FY8" s="84">
        <v>4084405.5500000003</v>
      </c>
      <c r="FZ8" s="76"/>
      <c r="GA8" s="84">
        <v>3118219.18</v>
      </c>
      <c r="GB8" s="76"/>
      <c r="GC8" s="84">
        <v>1498945.3</v>
      </c>
      <c r="GD8" s="76"/>
      <c r="GE8" s="84">
        <v>2908466</v>
      </c>
      <c r="GF8" s="76"/>
      <c r="GG8" s="84">
        <v>3644314.4499999997</v>
      </c>
      <c r="GH8" s="76"/>
      <c r="GI8" s="85">
        <v>3766000.9</v>
      </c>
      <c r="GJ8" s="76"/>
      <c r="GK8" s="85">
        <v>1372327.97</v>
      </c>
      <c r="GL8" s="76"/>
      <c r="GM8" s="85">
        <v>2441615.52</v>
      </c>
      <c r="GN8" s="76"/>
      <c r="GO8" s="85">
        <v>3155860.46</v>
      </c>
      <c r="GP8" s="76"/>
      <c r="GQ8" s="85">
        <v>2037962.76</v>
      </c>
      <c r="GR8" s="76"/>
      <c r="GS8" s="85">
        <v>1847396.51</v>
      </c>
      <c r="GT8" s="76"/>
      <c r="GU8" s="85">
        <v>1715156.21</v>
      </c>
      <c r="GV8" s="76"/>
      <c r="GW8" s="85">
        <v>1006738.1</v>
      </c>
      <c r="GX8" s="86"/>
      <c r="GY8" s="85">
        <v>1605637.6600000001</v>
      </c>
      <c r="GZ8" s="86"/>
      <c r="HA8" s="85">
        <v>493989.11000000004</v>
      </c>
      <c r="HB8" s="76"/>
      <c r="HC8" s="85">
        <v>1067168.47</v>
      </c>
      <c r="HD8" s="86"/>
      <c r="HE8" s="85">
        <v>831169.98</v>
      </c>
      <c r="HF8" s="86"/>
      <c r="HG8" s="86">
        <v>1817724.01</v>
      </c>
    </row>
    <row r="9" spans="1:215" ht="12.75" customHeight="1">
      <c r="A9" s="76" t="s">
        <v>210</v>
      </c>
      <c r="B9" s="87" t="s">
        <v>211</v>
      </c>
      <c r="C9" s="88">
        <f>'Notes - Dec25'!C42</f>
        <v>170706916.85999998</v>
      </c>
      <c r="D9" s="939"/>
      <c r="E9" s="88">
        <f>'Notes - Dec25'!E42</f>
        <v>50807983.509999998</v>
      </c>
      <c r="F9" s="939"/>
      <c r="G9" s="88">
        <f>'Notes - Dec25'!G42</f>
        <v>81780345.660000011</v>
      </c>
      <c r="H9" s="939"/>
      <c r="I9" s="88">
        <v>74237361.410000011</v>
      </c>
      <c r="J9" s="939"/>
      <c r="K9" s="88">
        <v>193583204.5</v>
      </c>
      <c r="L9" s="939"/>
      <c r="M9" s="88">
        <v>209575243.59999999</v>
      </c>
      <c r="N9" s="939"/>
      <c r="O9" s="88">
        <v>238526264.33000001</v>
      </c>
      <c r="P9" s="939"/>
      <c r="Q9" s="88">
        <v>230213142.88</v>
      </c>
      <c r="R9" s="939"/>
      <c r="S9" s="88">
        <v>284145210.02999997</v>
      </c>
      <c r="T9" s="939"/>
      <c r="U9" s="88">
        <v>43436803.079999998</v>
      </c>
      <c r="V9" s="939"/>
      <c r="W9" s="1138">
        <v>103720290.25</v>
      </c>
      <c r="X9" s="939"/>
      <c r="Y9" s="88">
        <v>129715212.62</v>
      </c>
      <c r="Z9" s="939"/>
      <c r="AA9" s="88">
        <v>138441400.31</v>
      </c>
      <c r="AB9" s="939"/>
      <c r="AC9" s="88">
        <v>107288230.50999999</v>
      </c>
      <c r="AD9" s="939"/>
      <c r="AE9" s="88">
        <v>127403553.97</v>
      </c>
      <c r="AF9" s="939"/>
      <c r="AG9" s="88">
        <v>97741475.689999998</v>
      </c>
      <c r="AH9" s="939"/>
      <c r="AI9" s="88">
        <f>'Notes - Dec25'!AE42</f>
        <v>127403553.97</v>
      </c>
      <c r="AJ9" s="939"/>
      <c r="AK9" s="88">
        <v>67042339.700000003</v>
      </c>
      <c r="AL9" s="939"/>
      <c r="AM9" s="88">
        <v>85725012.489999995</v>
      </c>
      <c r="AN9" s="939"/>
      <c r="AO9" s="88">
        <v>119744869.54000001</v>
      </c>
      <c r="AP9" s="939"/>
      <c r="AQ9" s="88">
        <v>52837446.380000003</v>
      </c>
      <c r="AR9" s="939"/>
      <c r="AS9" s="88">
        <v>11875443.460000001</v>
      </c>
      <c r="AT9" s="407"/>
      <c r="AU9" s="1107">
        <v>1063217.3400000001</v>
      </c>
      <c r="AV9" s="407"/>
      <c r="AW9" s="88">
        <v>109792331.52</v>
      </c>
      <c r="AX9" s="407"/>
      <c r="AY9" s="884">
        <v>216675871.28999999</v>
      </c>
      <c r="AZ9" s="407"/>
      <c r="BA9" s="88">
        <v>88815846</v>
      </c>
      <c r="BB9" s="407"/>
      <c r="BC9" s="88">
        <v>60153463.270000003</v>
      </c>
      <c r="BD9" s="407"/>
      <c r="BE9" s="88">
        <v>126891326.19</v>
      </c>
      <c r="BF9" s="407"/>
      <c r="BG9" s="88">
        <v>70416171.640000001</v>
      </c>
      <c r="BH9" s="407"/>
      <c r="BI9" s="88">
        <v>116202605.92</v>
      </c>
      <c r="BJ9" s="407"/>
      <c r="BK9" s="88">
        <v>156513095.52000001</v>
      </c>
      <c r="BL9" s="407"/>
      <c r="BM9" s="88">
        <v>221534203</v>
      </c>
      <c r="BN9" s="407"/>
      <c r="BO9" s="88">
        <v>250229211.94</v>
      </c>
      <c r="BP9" s="407"/>
      <c r="BQ9" s="88">
        <v>334580676</v>
      </c>
      <c r="BR9" s="407"/>
      <c r="BS9" s="1079">
        <v>248861.47</v>
      </c>
      <c r="BT9" s="407"/>
      <c r="BU9" s="88">
        <v>247470.72</v>
      </c>
      <c r="BV9" s="407"/>
      <c r="BW9" s="88">
        <v>246129.7</v>
      </c>
      <c r="BX9" s="407"/>
      <c r="BY9" s="88">
        <v>396673.75</v>
      </c>
      <c r="BZ9" s="407"/>
      <c r="CA9" s="88">
        <v>5775722.4699999997</v>
      </c>
      <c r="CB9" s="407"/>
      <c r="CC9" s="88">
        <v>5741455.9699999997</v>
      </c>
      <c r="CD9" s="407"/>
      <c r="CE9" s="88">
        <v>5710596</v>
      </c>
      <c r="CF9" s="407"/>
      <c r="CG9" s="88">
        <v>5680126</v>
      </c>
      <c r="CH9" s="407"/>
      <c r="CI9" s="88">
        <v>64402412.5</v>
      </c>
      <c r="CJ9" s="407"/>
      <c r="CK9" s="88">
        <v>100160401</v>
      </c>
      <c r="CL9" s="407"/>
      <c r="CM9" s="88">
        <v>123667035.69</v>
      </c>
      <c r="CN9" s="407"/>
      <c r="CO9" s="88">
        <f>'Notes - Dec25'!CO42</f>
        <v>110141414.48999999</v>
      </c>
      <c r="CP9" s="407"/>
      <c r="CQ9" s="88">
        <f>'Notes - Dec25'!CQ42</f>
        <v>115794830.34999999</v>
      </c>
      <c r="CR9" s="407"/>
      <c r="CS9" s="88">
        <f>'Notes - Dec25'!CS42</f>
        <v>124064814.39999999</v>
      </c>
      <c r="CT9" s="89"/>
      <c r="CU9" s="88">
        <f>'Notes - Dec25'!CU42</f>
        <v>61352516.549999997</v>
      </c>
      <c r="CV9" s="89"/>
      <c r="CW9" s="88">
        <f>+'Notes - Dec25'!CW42</f>
        <v>79548039</v>
      </c>
      <c r="CX9" s="89"/>
      <c r="CY9" s="88">
        <f>+'Notes - Dec25'!CY42</f>
        <v>108475544.11</v>
      </c>
      <c r="CZ9" s="89"/>
      <c r="DA9" s="88">
        <f>+'Notes - Dec25'!DA42</f>
        <v>57354789.32</v>
      </c>
      <c r="DB9" s="89"/>
      <c r="DC9" s="88">
        <f>+'Notes - Dec25'!DC42</f>
        <v>87143010.420000002</v>
      </c>
      <c r="DD9" s="89"/>
      <c r="DE9" s="88">
        <f>+'Notes - Dec25'!DE42</f>
        <v>83247084.289999992</v>
      </c>
      <c r="DF9" s="89"/>
      <c r="DG9" s="88">
        <f>+'Notes - Dec25'!DG42</f>
        <v>40462362.420000002</v>
      </c>
      <c r="DH9" s="89"/>
      <c r="DI9" s="88">
        <f>+'Notes - Dec25'!DI42</f>
        <v>32669442.879999999</v>
      </c>
      <c r="DJ9" s="89"/>
      <c r="DK9" s="88">
        <f>+'Notes - Dec25'!DK42</f>
        <v>62893341.18</v>
      </c>
      <c r="DL9" s="89"/>
      <c r="DM9" s="88">
        <f>+'Notes - Dec25'!DM42</f>
        <v>50747875.969999999</v>
      </c>
      <c r="DN9" s="89"/>
      <c r="DO9" s="90">
        <v>71550518.629999995</v>
      </c>
      <c r="DP9" s="89"/>
      <c r="DQ9" s="90">
        <v>59723955.609999999</v>
      </c>
      <c r="DR9" s="89"/>
      <c r="DS9" s="90">
        <v>66038455.890000001</v>
      </c>
      <c r="DT9" s="89"/>
      <c r="DU9" s="90">
        <v>81659200.840000004</v>
      </c>
      <c r="DV9" s="89"/>
      <c r="DW9" s="90">
        <v>126753947.39</v>
      </c>
      <c r="DX9" s="89"/>
      <c r="DY9" s="90">
        <v>153317638.06999999</v>
      </c>
      <c r="DZ9" s="89"/>
      <c r="EA9" s="90">
        <v>88452999.799999997</v>
      </c>
      <c r="EB9" s="89"/>
      <c r="EC9" s="90">
        <v>88715907.969999999</v>
      </c>
      <c r="ED9" s="89"/>
      <c r="EE9" s="90">
        <v>79984237.030000001</v>
      </c>
      <c r="EF9" s="89"/>
      <c r="EG9" s="90">
        <v>82254324.049999997</v>
      </c>
      <c r="EH9" s="89"/>
      <c r="EI9" s="90">
        <v>79996764.209999993</v>
      </c>
      <c r="EJ9" s="89"/>
      <c r="EK9" s="90">
        <v>62736056.939999998</v>
      </c>
      <c r="EL9" s="89"/>
      <c r="EM9" s="90">
        <v>52465199.57</v>
      </c>
      <c r="EN9" s="89"/>
      <c r="EO9" s="90">
        <v>61664510.979999997</v>
      </c>
      <c r="EP9" s="89"/>
      <c r="EQ9" s="90">
        <v>65290791.289999999</v>
      </c>
      <c r="ER9" s="89"/>
      <c r="ES9" s="90">
        <v>69919871.460000008</v>
      </c>
      <c r="ET9" s="76"/>
      <c r="EU9" s="90">
        <v>64962949.809999995</v>
      </c>
      <c r="EV9" s="76"/>
      <c r="EW9" s="90">
        <v>52971148.68</v>
      </c>
      <c r="EX9" s="76"/>
      <c r="EY9" s="90">
        <v>60987411.200000003</v>
      </c>
      <c r="EZ9" s="76"/>
      <c r="FA9" s="90">
        <v>41021161.32</v>
      </c>
      <c r="FB9" s="76"/>
      <c r="FC9" s="90">
        <v>73311111.370000005</v>
      </c>
      <c r="FD9" s="76"/>
      <c r="FE9" s="90">
        <v>211641.39</v>
      </c>
      <c r="FF9" s="76"/>
      <c r="FG9" s="90">
        <v>8665305.3599999994</v>
      </c>
      <c r="FH9" s="76"/>
      <c r="FI9" s="90">
        <v>141016.13</v>
      </c>
      <c r="FJ9" s="76"/>
      <c r="FK9" s="90">
        <v>3129983.44</v>
      </c>
      <c r="FL9" s="76"/>
      <c r="FM9" s="90">
        <v>9082520.1699999999</v>
      </c>
      <c r="FN9" s="76"/>
      <c r="FO9" s="90">
        <v>11025359.18</v>
      </c>
      <c r="FP9" s="76"/>
      <c r="FQ9" s="90">
        <v>4009292.9</v>
      </c>
      <c r="FR9" s="76"/>
      <c r="FS9" s="90">
        <v>9285.65</v>
      </c>
      <c r="FT9" s="76"/>
      <c r="FU9" s="90">
        <v>9278.66</v>
      </c>
      <c r="FV9" s="76"/>
      <c r="FW9" s="90">
        <v>9271.4500000000007</v>
      </c>
      <c r="FX9" s="76"/>
      <c r="FY9" s="90">
        <v>9264.25</v>
      </c>
      <c r="FZ9" s="76"/>
      <c r="GA9" s="90">
        <v>9257.31</v>
      </c>
      <c r="GB9" s="76"/>
      <c r="GC9" s="90">
        <v>1895866.14</v>
      </c>
      <c r="GD9" s="76"/>
      <c r="GE9" s="90">
        <v>2382465</v>
      </c>
      <c r="GF9" s="76"/>
      <c r="GG9" s="91">
        <v>2866713.8600000003</v>
      </c>
      <c r="GH9" s="76"/>
      <c r="GI9" s="92">
        <v>2855804.19</v>
      </c>
      <c r="GJ9" s="76"/>
      <c r="GK9" s="92">
        <v>3838203.85</v>
      </c>
      <c r="GL9" s="76"/>
      <c r="GM9" s="92">
        <v>3816668.52</v>
      </c>
      <c r="GN9" s="76"/>
      <c r="GO9" s="92">
        <v>4866941.25</v>
      </c>
      <c r="GP9" s="76"/>
      <c r="GQ9" s="92">
        <v>7125990.2300000004</v>
      </c>
      <c r="GR9" s="76"/>
      <c r="GS9" s="92">
        <v>6191176.0499999998</v>
      </c>
      <c r="GT9" s="76"/>
      <c r="GU9" s="92">
        <v>6768252.5999999996</v>
      </c>
      <c r="GV9" s="76"/>
      <c r="GW9" s="92">
        <v>8221553.0499999998</v>
      </c>
      <c r="GX9" s="70"/>
      <c r="GY9" s="92">
        <v>8670910.7599999998</v>
      </c>
      <c r="GZ9" s="70"/>
      <c r="HA9" s="92">
        <v>8916823.5399999991</v>
      </c>
      <c r="HB9" s="76"/>
      <c r="HC9" s="92">
        <v>9224313.8900000006</v>
      </c>
      <c r="HD9" s="70"/>
      <c r="HE9" s="92">
        <v>10664451.140000001</v>
      </c>
      <c r="HF9" s="70"/>
      <c r="HG9" s="70">
        <v>11006669.75</v>
      </c>
    </row>
    <row r="10" spans="1:215" ht="12.75" customHeight="1">
      <c r="A10" s="76" t="s">
        <v>212</v>
      </c>
      <c r="B10" s="87" t="s">
        <v>213</v>
      </c>
      <c r="C10" s="93">
        <f>+'Notes - Dec25'!C15</f>
        <v>1506856930.9400001</v>
      </c>
      <c r="D10" s="940"/>
      <c r="E10" s="93">
        <f>+'Notes - Dec25'!E15</f>
        <v>1554309580.0999999</v>
      </c>
      <c r="F10" s="940"/>
      <c r="G10" s="93">
        <f>+'Notes - Dec25'!G15</f>
        <v>1487162970.4099998</v>
      </c>
      <c r="H10" s="940"/>
      <c r="I10" s="93">
        <v>1529150074.27</v>
      </c>
      <c r="J10" s="940"/>
      <c r="K10" s="93">
        <v>1540093019.8600001</v>
      </c>
      <c r="L10" s="940"/>
      <c r="M10" s="93">
        <f>'Notes - Dec25'!M15</f>
        <v>1569807333.54</v>
      </c>
      <c r="N10" s="940"/>
      <c r="O10" s="93">
        <f>'Notes - Dec25'!O15</f>
        <v>1562448764.5</v>
      </c>
      <c r="P10" s="940"/>
      <c r="Q10" s="93">
        <f>'Notes - Dec25'!Q15</f>
        <v>1600986778.1799998</v>
      </c>
      <c r="R10" s="940"/>
      <c r="S10" s="93">
        <f>'Notes - Dec25'!S15</f>
        <v>1617153550.9500003</v>
      </c>
      <c r="T10" s="940"/>
      <c r="U10" s="93">
        <f>'Notes - Dec25'!U15</f>
        <v>1653313533.1700001</v>
      </c>
      <c r="V10" s="940"/>
      <c r="W10" s="1139">
        <f>'Notes - Dec25'!W15</f>
        <v>1728136039.23</v>
      </c>
      <c r="X10" s="940"/>
      <c r="Y10" s="93">
        <v>1791468947.51</v>
      </c>
      <c r="Z10" s="940"/>
      <c r="AA10" s="93">
        <v>1810675260.3499999</v>
      </c>
      <c r="AB10" s="940"/>
      <c r="AC10" s="93">
        <v>1889594988.6699998</v>
      </c>
      <c r="AD10" s="940"/>
      <c r="AE10" s="93">
        <v>1875887132.55</v>
      </c>
      <c r="AF10" s="940"/>
      <c r="AG10" s="93">
        <v>1829423890.3499999</v>
      </c>
      <c r="AH10" s="940"/>
      <c r="AI10" s="93">
        <v>1795364841.0199997</v>
      </c>
      <c r="AJ10" s="940"/>
      <c r="AK10" s="93">
        <v>1769298480.5799999</v>
      </c>
      <c r="AL10" s="940"/>
      <c r="AM10" s="93">
        <v>1712306711.4799998</v>
      </c>
      <c r="AN10" s="940"/>
      <c r="AO10" s="93">
        <v>1667945604.77</v>
      </c>
      <c r="AP10" s="940"/>
      <c r="AQ10" s="93">
        <v>1631532555.2399998</v>
      </c>
      <c r="AR10" s="940"/>
      <c r="AS10" s="93">
        <v>1592918485.1799998</v>
      </c>
      <c r="AT10" s="407"/>
      <c r="AU10" s="1108">
        <f>'Notes - Dec25'!AU15</f>
        <v>1480585673.01</v>
      </c>
      <c r="AV10" s="407"/>
      <c r="AW10" s="93">
        <v>1407724845.8200002</v>
      </c>
      <c r="AX10" s="407"/>
      <c r="AY10" s="885">
        <v>1313912464.6699998</v>
      </c>
      <c r="AZ10" s="407"/>
      <c r="BA10" s="93">
        <v>1273905025.3</v>
      </c>
      <c r="BB10" s="407"/>
      <c r="BC10" s="93">
        <v>1156981426.9399998</v>
      </c>
      <c r="BD10" s="407"/>
      <c r="BE10" s="93">
        <v>1090872671.2799997</v>
      </c>
      <c r="BF10" s="407"/>
      <c r="BG10" s="93">
        <v>1036944488.4</v>
      </c>
      <c r="BH10" s="407"/>
      <c r="BI10" s="93">
        <v>953214456.18000007</v>
      </c>
      <c r="BJ10" s="407"/>
      <c r="BK10" s="93">
        <v>908061958.72000003</v>
      </c>
      <c r="BL10" s="407"/>
      <c r="BM10" s="93">
        <v>855242369.54999995</v>
      </c>
      <c r="BN10" s="407"/>
      <c r="BO10" s="93">
        <v>806659275.91999996</v>
      </c>
      <c r="BP10" s="407"/>
      <c r="BQ10" s="93">
        <f>+'Notes - Dec25'!DQ15</f>
        <v>178442093.54999998</v>
      </c>
      <c r="BR10" s="407"/>
      <c r="BS10" s="1080">
        <f>'Notes - Dec25'!BS15</f>
        <v>669631787</v>
      </c>
      <c r="BT10" s="407"/>
      <c r="BU10" s="93">
        <v>670793827.12</v>
      </c>
      <c r="BV10" s="407"/>
      <c r="BW10" s="93">
        <v>641738817.96000004</v>
      </c>
      <c r="BX10" s="407"/>
      <c r="BY10" s="93">
        <v>658765485.38</v>
      </c>
      <c r="BZ10" s="407"/>
      <c r="CA10" s="93">
        <v>593773529.69000006</v>
      </c>
      <c r="CB10" s="407"/>
      <c r="CC10" s="93">
        <v>583570248.51999998</v>
      </c>
      <c r="CD10" s="407"/>
      <c r="CE10" s="93">
        <v>549405784.38999999</v>
      </c>
      <c r="CF10" s="407"/>
      <c r="CG10" s="93">
        <v>528049420.74000007</v>
      </c>
      <c r="CH10" s="407"/>
      <c r="CI10" s="93">
        <v>508267853.71999997</v>
      </c>
      <c r="CJ10" s="407"/>
      <c r="CK10" s="93">
        <v>475723635.08999997</v>
      </c>
      <c r="CL10" s="407"/>
      <c r="CM10" s="93">
        <v>448804971.5</v>
      </c>
      <c r="CN10" s="407"/>
      <c r="CO10" s="93">
        <f>+'Notes - Dec25'!CO15</f>
        <v>436295118.98000002</v>
      </c>
      <c r="CP10" s="407"/>
      <c r="CQ10" s="93">
        <f>+'Notes - Dec25'!CQ15</f>
        <v>421984428.25000006</v>
      </c>
      <c r="CR10" s="407"/>
      <c r="CS10" s="93">
        <f>+'Notes - Dec25'!CS15</f>
        <v>388368099.52000004</v>
      </c>
      <c r="CT10" s="89"/>
      <c r="CU10" s="93">
        <f>+'Notes - Dec25'!CU15</f>
        <v>380572970.11000001</v>
      </c>
      <c r="CV10" s="89"/>
      <c r="CW10" s="93">
        <f>+'Notes - Dec25'!CW15</f>
        <v>386867906.38999999</v>
      </c>
      <c r="CX10" s="89"/>
      <c r="CY10" s="93">
        <f>+'Notes - Dec25'!CY15</f>
        <v>351944094.37</v>
      </c>
      <c r="CZ10" s="89"/>
      <c r="DA10" s="93">
        <f>+'Notes - Dec25'!DA15</f>
        <v>327170671.73999995</v>
      </c>
      <c r="DB10" s="89"/>
      <c r="DC10" s="93">
        <f>+'Notes - Dec25'!DC15</f>
        <v>300910698.50999999</v>
      </c>
      <c r="DD10" s="89"/>
      <c r="DE10" s="93">
        <f>+'Notes - Dec25'!DE15</f>
        <v>270692167.32999998</v>
      </c>
      <c r="DF10" s="89"/>
      <c r="DG10" s="93">
        <f>+'Notes - Dec25'!DG15</f>
        <v>261540394.85999998</v>
      </c>
      <c r="DH10" s="89"/>
      <c r="DI10" s="93">
        <f>+'Notes - Dec25'!DI15</f>
        <v>250869657.73000002</v>
      </c>
      <c r="DJ10" s="89"/>
      <c r="DK10" s="93">
        <f>+'Notes - Dec25'!DK15</f>
        <v>226065484.18999997</v>
      </c>
      <c r="DL10" s="89"/>
      <c r="DM10" s="93">
        <f>+'Notes - Dec25'!DM15</f>
        <v>220390621.63</v>
      </c>
      <c r="DN10" s="89"/>
      <c r="DO10" s="94">
        <v>196018392.25999999</v>
      </c>
      <c r="DP10" s="89"/>
      <c r="DQ10" s="94">
        <v>178442093.54999998</v>
      </c>
      <c r="DR10" s="89"/>
      <c r="DS10" s="94">
        <v>172085528.53</v>
      </c>
      <c r="DT10" s="89"/>
      <c r="DU10" s="94">
        <v>173994816.22000003</v>
      </c>
      <c r="DV10" s="89"/>
      <c r="DW10" s="94">
        <v>152584796.03999999</v>
      </c>
      <c r="DX10" s="89"/>
      <c r="DY10" s="94">
        <v>141287859.08999997</v>
      </c>
      <c r="DZ10" s="89"/>
      <c r="EA10" s="94">
        <v>136537794.61000001</v>
      </c>
      <c r="EB10" s="89"/>
      <c r="EC10" s="93">
        <v>132861838.43000001</v>
      </c>
      <c r="ED10" s="89"/>
      <c r="EE10" s="93">
        <v>139950461.64000002</v>
      </c>
      <c r="EF10" s="89"/>
      <c r="EG10" s="93">
        <v>142180649.96999997</v>
      </c>
      <c r="EH10" s="89"/>
      <c r="EI10" s="93">
        <v>146552049.86999997</v>
      </c>
      <c r="EJ10" s="89"/>
      <c r="EK10" s="93">
        <v>163974317.72</v>
      </c>
      <c r="EL10" s="89"/>
      <c r="EM10" s="93">
        <v>173989156.77000001</v>
      </c>
      <c r="EN10" s="89"/>
      <c r="EO10" s="93">
        <v>152975667.53999999</v>
      </c>
      <c r="EP10" s="89"/>
      <c r="EQ10" s="94">
        <v>146248427.44</v>
      </c>
      <c r="ER10" s="89"/>
      <c r="ES10" s="94">
        <v>139507363.67999998</v>
      </c>
      <c r="ET10" s="89"/>
      <c r="EU10" s="94">
        <v>115604005.31999999</v>
      </c>
      <c r="EV10" s="89"/>
      <c r="EW10" s="94">
        <v>104085168.17</v>
      </c>
      <c r="EX10" s="89"/>
      <c r="EY10" s="94">
        <v>92566613.019999996</v>
      </c>
      <c r="EZ10" s="89"/>
      <c r="FA10" s="94">
        <v>84484575.530000001</v>
      </c>
      <c r="FB10" s="89"/>
      <c r="FC10" s="94">
        <v>76456673.710000008</v>
      </c>
      <c r="FD10" s="89"/>
      <c r="FE10" s="94">
        <v>72994655.439999998</v>
      </c>
      <c r="FF10" s="89"/>
      <c r="FG10" s="94">
        <v>64845496.130000003</v>
      </c>
      <c r="FH10" s="89"/>
      <c r="FI10" s="94">
        <v>61979794.18</v>
      </c>
      <c r="FJ10" s="89"/>
      <c r="FK10" s="94">
        <v>62186784.270000003</v>
      </c>
      <c r="FL10" s="89"/>
      <c r="FM10" s="94">
        <v>54897873.400000006</v>
      </c>
      <c r="FN10" s="89"/>
      <c r="FO10" s="94">
        <v>49311217.359999999</v>
      </c>
      <c r="FP10" s="89"/>
      <c r="FQ10" s="94">
        <v>48128211.330000006</v>
      </c>
      <c r="FR10" s="89"/>
      <c r="FS10" s="94">
        <v>42010777.219999999</v>
      </c>
      <c r="FT10" s="89"/>
      <c r="FU10" s="94">
        <v>35445284.719999999</v>
      </c>
      <c r="FV10" s="89"/>
      <c r="FW10" s="94">
        <v>32752529.600000001</v>
      </c>
      <c r="FX10" s="89"/>
      <c r="FY10" s="94">
        <v>28775974.27</v>
      </c>
      <c r="FZ10" s="89"/>
      <c r="GA10" s="94">
        <v>24876301.410000004</v>
      </c>
      <c r="GB10" s="89"/>
      <c r="GC10" s="94">
        <v>24377632.620000001</v>
      </c>
      <c r="GD10" s="89"/>
      <c r="GE10" s="94">
        <v>21238134.200000003</v>
      </c>
      <c r="GF10" s="89"/>
      <c r="GG10" s="94">
        <v>20040814.000000007</v>
      </c>
      <c r="GH10" s="89"/>
      <c r="GI10" s="92">
        <v>19661322.16</v>
      </c>
      <c r="GJ10" s="89"/>
      <c r="GK10" s="92">
        <v>17226775.530000001</v>
      </c>
      <c r="GL10" s="89"/>
      <c r="GM10" s="92">
        <v>16327150.09</v>
      </c>
      <c r="GN10" s="89"/>
      <c r="GO10" s="92">
        <v>15793239.400000002</v>
      </c>
      <c r="GP10" s="89"/>
      <c r="GQ10" s="92">
        <v>14130789.610000001</v>
      </c>
      <c r="GR10" s="89"/>
      <c r="GS10" s="92">
        <v>12811910.050000001</v>
      </c>
      <c r="GT10" s="89"/>
      <c r="GU10" s="95">
        <v>12944903.569999998</v>
      </c>
      <c r="GV10" s="89"/>
      <c r="GW10" s="95">
        <v>11676470.65</v>
      </c>
      <c r="GX10" s="70"/>
      <c r="GY10" s="92">
        <v>10930713</v>
      </c>
      <c r="GZ10" s="70"/>
      <c r="HA10" s="92">
        <v>10069931.710000001</v>
      </c>
      <c r="HB10" s="89"/>
      <c r="HC10" s="92">
        <v>8972739.4800000004</v>
      </c>
      <c r="HD10" s="70"/>
      <c r="HE10" s="92">
        <v>8151563.8499999996</v>
      </c>
      <c r="HF10" s="70"/>
      <c r="HG10" s="70">
        <v>7589157.3600000003</v>
      </c>
    </row>
    <row r="11" spans="1:215" ht="12.75" hidden="1" customHeight="1" outlineLevel="1">
      <c r="A11" s="96" t="s">
        <v>214</v>
      </c>
      <c r="B11" s="97"/>
      <c r="C11" s="510"/>
      <c r="D11" s="408"/>
      <c r="E11" s="510"/>
      <c r="F11" s="408"/>
      <c r="G11" s="510"/>
      <c r="H11" s="408"/>
      <c r="I11" s="510"/>
      <c r="J11" s="408"/>
      <c r="K11" s="510"/>
      <c r="L11" s="408"/>
      <c r="M11" s="510"/>
      <c r="N11" s="408"/>
      <c r="O11" s="510"/>
      <c r="P11" s="408"/>
      <c r="Q11" s="510"/>
      <c r="R11" s="408"/>
      <c r="S11" s="510"/>
      <c r="T11" s="408"/>
      <c r="U11" s="510"/>
      <c r="V11" s="408"/>
      <c r="W11" s="1140"/>
      <c r="X11" s="408"/>
      <c r="Y11" s="510"/>
      <c r="Z11" s="408"/>
      <c r="AA11" s="510"/>
      <c r="AB11" s="408"/>
      <c r="AC11" s="510"/>
      <c r="AD11" s="408"/>
      <c r="AE11" s="510"/>
      <c r="AF11" s="408"/>
      <c r="AG11" s="510"/>
      <c r="AH11" s="408"/>
      <c r="AI11" s="510"/>
      <c r="AJ11" s="408"/>
      <c r="AK11" s="510"/>
      <c r="AL11" s="408"/>
      <c r="AM11" s="510"/>
      <c r="AN11" s="408"/>
      <c r="AO11" s="510"/>
      <c r="AP11" s="408"/>
      <c r="AQ11" s="510"/>
      <c r="AR11" s="408"/>
      <c r="AS11" s="510"/>
      <c r="AT11" s="408"/>
      <c r="AU11" s="1109"/>
      <c r="AV11" s="408"/>
      <c r="AW11" s="510"/>
      <c r="AX11" s="408"/>
      <c r="AY11" s="886"/>
      <c r="AZ11" s="408"/>
      <c r="BA11" s="510"/>
      <c r="BB11" s="408"/>
      <c r="BC11" s="510"/>
      <c r="BD11" s="408"/>
      <c r="BE11" s="510"/>
      <c r="BF11" s="408"/>
      <c r="BG11" s="510"/>
      <c r="BH11" s="408"/>
      <c r="BI11" s="510"/>
      <c r="BJ11" s="408"/>
      <c r="BK11" s="510"/>
      <c r="BL11" s="408"/>
      <c r="BM11" s="510"/>
      <c r="BN11" s="408"/>
      <c r="BO11" s="510"/>
      <c r="BP11" s="408"/>
      <c r="BQ11" s="510"/>
      <c r="BR11" s="408"/>
      <c r="BS11" s="1081"/>
      <c r="BT11" s="408"/>
      <c r="BU11" s="510"/>
      <c r="BV11" s="408"/>
      <c r="BW11" s="510"/>
      <c r="BX11" s="408"/>
      <c r="BY11" s="510"/>
      <c r="BZ11" s="408"/>
      <c r="CA11" s="510"/>
      <c r="CB11" s="408"/>
      <c r="CC11" s="510"/>
      <c r="CD11" s="408"/>
      <c r="CE11" s="510"/>
      <c r="CF11" s="408"/>
      <c r="CG11" s="510"/>
      <c r="CH11" s="408"/>
      <c r="CI11" s="98"/>
      <c r="CJ11" s="408"/>
      <c r="CK11" s="98"/>
      <c r="CL11" s="408"/>
      <c r="CM11" s="98"/>
      <c r="CN11" s="408"/>
      <c r="CO11" s="98"/>
      <c r="CP11" s="408"/>
      <c r="CQ11" s="98"/>
      <c r="CR11" s="408"/>
      <c r="CS11" s="98"/>
      <c r="CT11" s="97"/>
      <c r="CU11" s="98"/>
      <c r="CV11" s="97"/>
      <c r="CW11" s="98"/>
      <c r="CX11" s="97"/>
      <c r="CY11" s="99"/>
      <c r="CZ11" s="97"/>
      <c r="DA11" s="99"/>
      <c r="DB11" s="97"/>
      <c r="DC11" s="99"/>
      <c r="DD11" s="97"/>
      <c r="DE11" s="99"/>
      <c r="DF11" s="97"/>
      <c r="DG11" s="99"/>
      <c r="DH11" s="97"/>
      <c r="DI11" s="99"/>
      <c r="DJ11" s="97"/>
      <c r="DK11" s="99"/>
      <c r="DL11" s="97"/>
      <c r="DM11" s="99"/>
      <c r="DN11" s="97"/>
      <c r="DO11" s="100"/>
      <c r="DP11" s="97"/>
      <c r="DQ11" s="100"/>
      <c r="DR11" s="97"/>
      <c r="DS11" s="100"/>
      <c r="DT11" s="97"/>
      <c r="DU11" s="100"/>
      <c r="DV11" s="97"/>
      <c r="DW11" s="100"/>
      <c r="DX11" s="97"/>
      <c r="DY11" s="100"/>
      <c r="DZ11" s="97"/>
      <c r="EA11" s="100"/>
      <c r="EB11" s="97"/>
      <c r="EC11" s="101"/>
      <c r="ED11" s="97"/>
      <c r="EE11" s="101"/>
      <c r="EF11" s="97"/>
      <c r="EG11" s="101"/>
      <c r="EH11" s="97"/>
      <c r="EI11" s="101"/>
      <c r="EJ11" s="97"/>
      <c r="EK11" s="101"/>
      <c r="EL11" s="97"/>
      <c r="EM11" s="101"/>
      <c r="EN11" s="97"/>
      <c r="EO11" s="101"/>
      <c r="EP11" s="97"/>
      <c r="EQ11" s="100"/>
      <c r="ER11" s="97"/>
      <c r="ES11" s="100"/>
      <c r="ET11" s="97"/>
      <c r="EU11" s="100"/>
      <c r="EV11" s="97"/>
      <c r="EW11" s="100"/>
      <c r="EX11" s="97"/>
      <c r="EY11" s="100"/>
      <c r="EZ11" s="97"/>
      <c r="FA11" s="100"/>
      <c r="FB11" s="97"/>
      <c r="FC11" s="100"/>
      <c r="FD11" s="97"/>
      <c r="FE11" s="100"/>
      <c r="FF11" s="97"/>
      <c r="FG11" s="100"/>
      <c r="FH11" s="97"/>
      <c r="FI11" s="100"/>
      <c r="FJ11" s="97"/>
      <c r="FK11" s="100"/>
      <c r="FL11" s="97"/>
      <c r="FM11" s="100"/>
      <c r="FN11" s="97"/>
      <c r="FO11" s="100"/>
      <c r="FP11" s="97"/>
      <c r="FQ11" s="100"/>
      <c r="FR11" s="97"/>
      <c r="FS11" s="100"/>
      <c r="FT11" s="97"/>
      <c r="FU11" s="100"/>
      <c r="FV11" s="97"/>
      <c r="FW11" s="100"/>
      <c r="FX11" s="97"/>
      <c r="FY11" s="100"/>
      <c r="FZ11" s="97"/>
      <c r="GA11" s="100"/>
      <c r="GB11" s="97"/>
      <c r="GC11" s="100"/>
      <c r="GD11" s="97"/>
      <c r="GE11" s="100"/>
      <c r="GF11" s="97"/>
      <c r="GG11" s="100"/>
      <c r="GH11" s="97"/>
      <c r="GI11" s="102">
        <v>21438646.68</v>
      </c>
      <c r="GJ11" s="96"/>
      <c r="GK11" s="102">
        <v>18963497.630000003</v>
      </c>
      <c r="GL11" s="96"/>
      <c r="GM11" s="102">
        <v>17879970.109999999</v>
      </c>
      <c r="GN11" s="96"/>
      <c r="GO11" s="102">
        <v>17218992.520000003</v>
      </c>
      <c r="GP11" s="96"/>
      <c r="GQ11" s="102">
        <v>15531632.870000001</v>
      </c>
      <c r="GR11" s="96"/>
      <c r="GS11" s="102">
        <v>14093811.92</v>
      </c>
      <c r="GT11" s="96"/>
      <c r="GU11" s="102">
        <v>14093497.5</v>
      </c>
      <c r="GV11" s="96"/>
      <c r="GW11" s="102">
        <v>12675064.83</v>
      </c>
      <c r="GX11" s="96"/>
      <c r="GY11" s="102"/>
      <c r="GZ11" s="96"/>
      <c r="HA11" s="102">
        <v>11473456.510000002</v>
      </c>
      <c r="HB11" s="96"/>
      <c r="HC11" s="102">
        <v>10224149.670000002</v>
      </c>
      <c r="HD11" s="96"/>
      <c r="HE11" s="102">
        <v>9254593.5700000003</v>
      </c>
      <c r="HF11" s="103"/>
      <c r="HG11" s="103"/>
    </row>
    <row r="12" spans="1:215" ht="12.75" hidden="1" customHeight="1" outlineLevel="1">
      <c r="A12" s="96" t="s">
        <v>215</v>
      </c>
      <c r="B12" s="97"/>
      <c r="C12" s="510"/>
      <c r="D12" s="408"/>
      <c r="E12" s="510"/>
      <c r="F12" s="408"/>
      <c r="G12" s="510"/>
      <c r="H12" s="408"/>
      <c r="I12" s="510"/>
      <c r="J12" s="408"/>
      <c r="K12" s="510"/>
      <c r="L12" s="408"/>
      <c r="M12" s="510"/>
      <c r="N12" s="408"/>
      <c r="O12" s="510"/>
      <c r="P12" s="408"/>
      <c r="Q12" s="510"/>
      <c r="R12" s="408"/>
      <c r="S12" s="510"/>
      <c r="T12" s="408"/>
      <c r="U12" s="510"/>
      <c r="V12" s="408"/>
      <c r="W12" s="1140"/>
      <c r="X12" s="408"/>
      <c r="Y12" s="510"/>
      <c r="Z12" s="408"/>
      <c r="AA12" s="510"/>
      <c r="AB12" s="408"/>
      <c r="AC12" s="510"/>
      <c r="AD12" s="408"/>
      <c r="AE12" s="510"/>
      <c r="AF12" s="408"/>
      <c r="AG12" s="510"/>
      <c r="AH12" s="408"/>
      <c r="AI12" s="510"/>
      <c r="AJ12" s="408"/>
      <c r="AK12" s="510"/>
      <c r="AL12" s="408"/>
      <c r="AM12" s="510"/>
      <c r="AN12" s="408"/>
      <c r="AO12" s="510"/>
      <c r="AP12" s="408"/>
      <c r="AQ12" s="510"/>
      <c r="AR12" s="408"/>
      <c r="AS12" s="510"/>
      <c r="AT12" s="408"/>
      <c r="AU12" s="1109"/>
      <c r="AV12" s="408"/>
      <c r="AW12" s="510"/>
      <c r="AX12" s="408"/>
      <c r="AY12" s="886"/>
      <c r="AZ12" s="408"/>
      <c r="BA12" s="510"/>
      <c r="BB12" s="408"/>
      <c r="BC12" s="510"/>
      <c r="BD12" s="408"/>
      <c r="BE12" s="510"/>
      <c r="BF12" s="408"/>
      <c r="BG12" s="510"/>
      <c r="BH12" s="408"/>
      <c r="BI12" s="510"/>
      <c r="BJ12" s="408"/>
      <c r="BK12" s="510"/>
      <c r="BL12" s="408"/>
      <c r="BM12" s="510"/>
      <c r="BN12" s="408"/>
      <c r="BO12" s="510"/>
      <c r="BP12" s="408"/>
      <c r="BQ12" s="510"/>
      <c r="BR12" s="408"/>
      <c r="BS12" s="1081"/>
      <c r="BT12" s="408"/>
      <c r="BU12" s="510"/>
      <c r="BV12" s="408"/>
      <c r="BW12" s="510"/>
      <c r="BX12" s="408"/>
      <c r="BY12" s="510"/>
      <c r="BZ12" s="408"/>
      <c r="CA12" s="510"/>
      <c r="CB12" s="408"/>
      <c r="CC12" s="510"/>
      <c r="CD12" s="408"/>
      <c r="CE12" s="510"/>
      <c r="CF12" s="408"/>
      <c r="CG12" s="510"/>
      <c r="CH12" s="408"/>
      <c r="CI12" s="98"/>
      <c r="CJ12" s="408"/>
      <c r="CK12" s="98"/>
      <c r="CL12" s="408"/>
      <c r="CM12" s="98"/>
      <c r="CN12" s="408"/>
      <c r="CO12" s="98"/>
      <c r="CP12" s="408"/>
      <c r="CQ12" s="98"/>
      <c r="CR12" s="408"/>
      <c r="CS12" s="98"/>
      <c r="CT12" s="97"/>
      <c r="CU12" s="98"/>
      <c r="CV12" s="97"/>
      <c r="CW12" s="98"/>
      <c r="CX12" s="97"/>
      <c r="CY12" s="99"/>
      <c r="CZ12" s="97"/>
      <c r="DA12" s="99"/>
      <c r="DB12" s="97"/>
      <c r="DC12" s="99"/>
      <c r="DD12" s="97"/>
      <c r="DE12" s="99"/>
      <c r="DF12" s="97"/>
      <c r="DG12" s="99"/>
      <c r="DH12" s="97"/>
      <c r="DI12" s="99"/>
      <c r="DJ12" s="97"/>
      <c r="DK12" s="99"/>
      <c r="DL12" s="97"/>
      <c r="DM12" s="99"/>
      <c r="DN12" s="97"/>
      <c r="DO12" s="100"/>
      <c r="DP12" s="97"/>
      <c r="DQ12" s="100"/>
      <c r="DR12" s="97"/>
      <c r="DS12" s="100"/>
      <c r="DT12" s="97"/>
      <c r="DU12" s="100"/>
      <c r="DV12" s="97"/>
      <c r="DW12" s="100"/>
      <c r="DX12" s="97"/>
      <c r="DY12" s="100"/>
      <c r="DZ12" s="97"/>
      <c r="EA12" s="100"/>
      <c r="EB12" s="97"/>
      <c r="EC12" s="101"/>
      <c r="ED12" s="97"/>
      <c r="EE12" s="101"/>
      <c r="EF12" s="97"/>
      <c r="EG12" s="101"/>
      <c r="EH12" s="97"/>
      <c r="EI12" s="101"/>
      <c r="EJ12" s="97"/>
      <c r="EK12" s="101"/>
      <c r="EL12" s="97"/>
      <c r="EM12" s="101"/>
      <c r="EN12" s="97"/>
      <c r="EO12" s="101"/>
      <c r="EP12" s="97"/>
      <c r="EQ12" s="100"/>
      <c r="ER12" s="97"/>
      <c r="ES12" s="100"/>
      <c r="ET12" s="97"/>
      <c r="EU12" s="100"/>
      <c r="EV12" s="97"/>
      <c r="EW12" s="100"/>
      <c r="EX12" s="97"/>
      <c r="EY12" s="100"/>
      <c r="EZ12" s="97"/>
      <c r="FA12" s="100"/>
      <c r="FB12" s="97"/>
      <c r="FC12" s="100"/>
      <c r="FD12" s="97"/>
      <c r="FE12" s="100"/>
      <c r="FF12" s="97"/>
      <c r="FG12" s="100"/>
      <c r="FH12" s="97"/>
      <c r="FI12" s="100"/>
      <c r="FJ12" s="97"/>
      <c r="FK12" s="100"/>
      <c r="FL12" s="97"/>
      <c r="FM12" s="100"/>
      <c r="FN12" s="97"/>
      <c r="FO12" s="100"/>
      <c r="FP12" s="97"/>
      <c r="FQ12" s="100"/>
      <c r="FR12" s="97"/>
      <c r="FS12" s="100"/>
      <c r="FT12" s="97"/>
      <c r="FU12" s="100"/>
      <c r="FV12" s="97"/>
      <c r="FW12" s="100"/>
      <c r="FX12" s="97"/>
      <c r="FY12" s="100"/>
      <c r="FZ12" s="97"/>
      <c r="GA12" s="100"/>
      <c r="GB12" s="97"/>
      <c r="GC12" s="100"/>
      <c r="GD12" s="97"/>
      <c r="GE12" s="100"/>
      <c r="GF12" s="97"/>
      <c r="GG12" s="100"/>
      <c r="GH12" s="97"/>
      <c r="GI12" s="104">
        <v>-1777324.52</v>
      </c>
      <c r="GJ12" s="97"/>
      <c r="GK12" s="104">
        <v>-1736722.1</v>
      </c>
      <c r="GL12" s="97"/>
      <c r="GM12" s="104">
        <v>-1552820.02</v>
      </c>
      <c r="GN12" s="97"/>
      <c r="GO12" s="104">
        <v>-1425753.12</v>
      </c>
      <c r="GP12" s="97"/>
      <c r="GQ12" s="104">
        <v>-1400843.26</v>
      </c>
      <c r="GR12" s="97"/>
      <c r="GS12" s="104">
        <v>-1281901.8700000001</v>
      </c>
      <c r="GT12" s="97"/>
      <c r="GU12" s="104">
        <v>-1148593.93</v>
      </c>
      <c r="GV12" s="97"/>
      <c r="GW12" s="104">
        <v>-998594.18</v>
      </c>
      <c r="GX12" s="103"/>
      <c r="GY12" s="104"/>
      <c r="GZ12" s="103"/>
      <c r="HA12" s="104">
        <v>-1403524.8</v>
      </c>
      <c r="HB12" s="97"/>
      <c r="HC12" s="104">
        <v>-1251410.19</v>
      </c>
      <c r="HD12" s="103"/>
      <c r="HE12" s="104">
        <v>-1103029.72</v>
      </c>
      <c r="HF12" s="103"/>
      <c r="HG12" s="103"/>
    </row>
    <row r="13" spans="1:215" ht="12.75" customHeight="1" collapsed="1">
      <c r="A13" s="76" t="s">
        <v>216</v>
      </c>
      <c r="B13" s="87" t="s">
        <v>217</v>
      </c>
      <c r="C13" s="88">
        <f>+'Notes - Dec25'!C29</f>
        <v>25462542.920000002</v>
      </c>
      <c r="D13" s="407"/>
      <c r="E13" s="88">
        <f>+'Notes - Dec25'!E29</f>
        <v>28713520.970000003</v>
      </c>
      <c r="F13" s="407"/>
      <c r="G13" s="88">
        <f>+'Notes - Dec25'!G29</f>
        <v>23887602.729999997</v>
      </c>
      <c r="H13" s="407"/>
      <c r="I13" s="88">
        <v>24404812.579999998</v>
      </c>
      <c r="J13" s="407"/>
      <c r="K13" s="88">
        <v>23857911.630000003</v>
      </c>
      <c r="L13" s="407"/>
      <c r="M13" s="88">
        <f>'Notes - Dec25'!M29</f>
        <v>23020292.469999995</v>
      </c>
      <c r="N13" s="407"/>
      <c r="O13" s="88">
        <f>'Notes - Dec25'!O29</f>
        <v>22610598.210000005</v>
      </c>
      <c r="P13" s="407"/>
      <c r="Q13" s="88">
        <f>'Notes - Dec25'!Q29</f>
        <v>21287268.52</v>
      </c>
      <c r="R13" s="407"/>
      <c r="S13" s="88">
        <f>'Notes - Dec25'!S29</f>
        <v>15342361.640000002</v>
      </c>
      <c r="T13" s="407"/>
      <c r="U13" s="88">
        <f>'Notes - Dec25'!U29</f>
        <v>13021610.729999999</v>
      </c>
      <c r="V13" s="407"/>
      <c r="W13" s="1138">
        <f>'Notes - Dec25'!W29</f>
        <v>18605004.390000001</v>
      </c>
      <c r="X13" s="407"/>
      <c r="Y13" s="88">
        <v>36451408.400000006</v>
      </c>
      <c r="Z13" s="407"/>
      <c r="AA13" s="88">
        <v>39686129.600000001</v>
      </c>
      <c r="AB13" s="407"/>
      <c r="AC13" s="88">
        <v>43965363.360000007</v>
      </c>
      <c r="AD13" s="407"/>
      <c r="AE13" s="88">
        <v>33650504.43</v>
      </c>
      <c r="AF13" s="407"/>
      <c r="AG13" s="88">
        <v>31832842.830000002</v>
      </c>
      <c r="AH13" s="407"/>
      <c r="AI13" s="88">
        <v>32364273.400000002</v>
      </c>
      <c r="AJ13" s="407"/>
      <c r="AK13" s="88">
        <v>36742134.620000079</v>
      </c>
      <c r="AL13" s="407"/>
      <c r="AM13" s="88">
        <v>35197778.219999999</v>
      </c>
      <c r="AN13" s="407"/>
      <c r="AO13" s="88">
        <v>30247987.919999998</v>
      </c>
      <c r="AP13" s="407"/>
      <c r="AQ13" s="88">
        <v>26079773.82</v>
      </c>
      <c r="AR13" s="407"/>
      <c r="AS13" s="88">
        <v>25871897.609999999</v>
      </c>
      <c r="AT13" s="407"/>
      <c r="AU13" s="1107">
        <f>'Notes - Dec25'!AU29</f>
        <v>13374102.350000001</v>
      </c>
      <c r="AV13" s="407"/>
      <c r="AW13" s="88">
        <v>22503751.399999999</v>
      </c>
      <c r="AX13" s="407"/>
      <c r="AY13" s="884">
        <v>23670620.799999997</v>
      </c>
      <c r="AZ13" s="407"/>
      <c r="BA13" s="88">
        <v>26580914.649999999</v>
      </c>
      <c r="BB13" s="407"/>
      <c r="BC13" s="88">
        <v>18939077.02</v>
      </c>
      <c r="BD13" s="407"/>
      <c r="BE13" s="88">
        <v>19505957.530000001</v>
      </c>
      <c r="BF13" s="407"/>
      <c r="BG13" s="88">
        <v>18322892.029999997</v>
      </c>
      <c r="BH13" s="407"/>
      <c r="BI13" s="88">
        <v>18250412.16</v>
      </c>
      <c r="BJ13" s="407"/>
      <c r="BK13" s="88">
        <v>19260835.789999999</v>
      </c>
      <c r="BL13" s="407"/>
      <c r="BM13" s="88">
        <v>17667399.919999998</v>
      </c>
      <c r="BN13" s="407"/>
      <c r="BO13" s="88">
        <v>16195677.450000001</v>
      </c>
      <c r="BP13" s="407"/>
      <c r="BQ13" s="88">
        <f>+'Notes - Dec25'!DQ29</f>
        <v>747577.41999999993</v>
      </c>
      <c r="BR13" s="407"/>
      <c r="BS13" s="1079">
        <f>'Notes - Dec25'!BS29</f>
        <v>-6157806.75</v>
      </c>
      <c r="BT13" s="407"/>
      <c r="BU13" s="88">
        <v>510050.7099999981</v>
      </c>
      <c r="BV13" s="407"/>
      <c r="BW13" s="88">
        <v>1586292.6999999974</v>
      </c>
      <c r="BX13" s="407"/>
      <c r="BY13" s="88">
        <v>2081594.7100000011</v>
      </c>
      <c r="BZ13" s="407"/>
      <c r="CA13" s="88">
        <v>-727498.63000000198</v>
      </c>
      <c r="CB13" s="407"/>
      <c r="CC13" s="88">
        <v>-2281882.0599999991</v>
      </c>
      <c r="CD13" s="407"/>
      <c r="CE13" s="88">
        <v>-2786210.2000000025</v>
      </c>
      <c r="CF13" s="407"/>
      <c r="CG13" s="88">
        <v>-430289.47999999986</v>
      </c>
      <c r="CH13" s="407"/>
      <c r="CI13" s="88">
        <v>159660.90999999945</v>
      </c>
      <c r="CJ13" s="407"/>
      <c r="CK13" s="88">
        <v>-2375186.5899999994</v>
      </c>
      <c r="CL13" s="407"/>
      <c r="CM13" s="88">
        <v>29220.489999999776</v>
      </c>
      <c r="CN13" s="407"/>
      <c r="CO13" s="88">
        <f>+'Notes - Dec25'!CO29</f>
        <v>684055.81999999972</v>
      </c>
      <c r="CP13" s="407"/>
      <c r="CQ13" s="88">
        <f>+'Notes - Dec25'!CQ29</f>
        <v>-1906555.6400000004</v>
      </c>
      <c r="CR13" s="407"/>
      <c r="CS13" s="88">
        <f>+'Notes - Dec25'!CS29</f>
        <v>-3719476.9799999991</v>
      </c>
      <c r="CT13" s="89"/>
      <c r="CU13" s="88">
        <f>+'Notes - Dec25'!CU29</f>
        <v>-1879008.7399999988</v>
      </c>
      <c r="CV13" s="89"/>
      <c r="CW13" s="88">
        <f>+'Notes - Dec25'!CW29</f>
        <v>-1071105.6599999997</v>
      </c>
      <c r="CX13" s="89"/>
      <c r="CY13" s="88">
        <f>+'Notes - Dec25'!CY29</f>
        <v>-1104117.0500000005</v>
      </c>
      <c r="CZ13" s="89"/>
      <c r="DA13" s="88">
        <f>+'Notes - Dec25'!DA29</f>
        <v>-1046676.7800000008</v>
      </c>
      <c r="DB13" s="89"/>
      <c r="DC13" s="88">
        <f>+'Notes - Dec25'!DC29</f>
        <v>-2207639.65</v>
      </c>
      <c r="DD13" s="89"/>
      <c r="DE13" s="88">
        <f>+'Notes - Dec25'!DE29</f>
        <v>100689.91999999995</v>
      </c>
      <c r="DF13" s="89"/>
      <c r="DG13" s="88">
        <f>+'Notes - Dec25'!DG29</f>
        <v>1546484.85</v>
      </c>
      <c r="DH13" s="89"/>
      <c r="DI13" s="88">
        <f>+'Notes - Dec25'!DI29</f>
        <v>1107245.0799999998</v>
      </c>
      <c r="DJ13" s="89"/>
      <c r="DK13" s="88">
        <f>+'Notes - Dec25'!DK29</f>
        <v>1456716.67</v>
      </c>
      <c r="DL13" s="89"/>
      <c r="DM13" s="88">
        <f>+'Notes - Dec25'!DM29</f>
        <v>1203969.2999999996</v>
      </c>
      <c r="DN13" s="89"/>
      <c r="DO13" s="90">
        <v>3110138.72</v>
      </c>
      <c r="DP13" s="89"/>
      <c r="DQ13" s="90">
        <v>747577.41999999993</v>
      </c>
      <c r="DR13" s="89"/>
      <c r="DS13" s="90">
        <v>705056.8899999999</v>
      </c>
      <c r="DT13" s="89"/>
      <c r="DU13" s="90">
        <v>985570.17999999993</v>
      </c>
      <c r="DV13" s="89"/>
      <c r="DW13" s="90">
        <v>1497176.5599999998</v>
      </c>
      <c r="DX13" s="89"/>
      <c r="DY13" s="90">
        <v>69405.139999999941</v>
      </c>
      <c r="DZ13" s="89"/>
      <c r="EA13" s="90">
        <v>1067934.1399999999</v>
      </c>
      <c r="EB13" s="89"/>
      <c r="EC13" s="88">
        <v>860081.52999999991</v>
      </c>
      <c r="ED13" s="89"/>
      <c r="EE13" s="88">
        <v>1220789.1599999999</v>
      </c>
      <c r="EF13" s="89"/>
      <c r="EG13" s="88">
        <v>872041.31999999983</v>
      </c>
      <c r="EH13" s="89"/>
      <c r="EI13" s="88">
        <v>979783.08000000007</v>
      </c>
      <c r="EJ13" s="89"/>
      <c r="EK13" s="88">
        <v>1278648.0899999999</v>
      </c>
      <c r="EL13" s="89"/>
      <c r="EM13" s="88">
        <v>1269476.3799999999</v>
      </c>
      <c r="EN13" s="89"/>
      <c r="EO13" s="88">
        <v>481510.06</v>
      </c>
      <c r="EP13" s="89"/>
      <c r="EQ13" s="90">
        <v>588272.93000000005</v>
      </c>
      <c r="ER13" s="89"/>
      <c r="ES13" s="90">
        <v>81664.97000000003</v>
      </c>
      <c r="ET13" s="89"/>
      <c r="EU13" s="90">
        <v>545248.17999999993</v>
      </c>
      <c r="EV13" s="89"/>
      <c r="EW13" s="90">
        <v>626549.05000000005</v>
      </c>
      <c r="EX13" s="89"/>
      <c r="EY13" s="90">
        <v>809453.55</v>
      </c>
      <c r="EZ13" s="89"/>
      <c r="FA13" s="90">
        <v>-5494359.3699999992</v>
      </c>
      <c r="FB13" s="89"/>
      <c r="FC13" s="90">
        <v>1066389.46</v>
      </c>
      <c r="FD13" s="89"/>
      <c r="FE13" s="90">
        <v>1020280.13</v>
      </c>
      <c r="FF13" s="89"/>
      <c r="FG13" s="90">
        <v>960486.14</v>
      </c>
      <c r="FH13" s="89"/>
      <c r="FI13" s="90">
        <v>581294.93999999994</v>
      </c>
      <c r="FJ13" s="89"/>
      <c r="FK13" s="90">
        <v>695662.37</v>
      </c>
      <c r="FL13" s="89"/>
      <c r="FM13" s="90">
        <v>823008.82000000007</v>
      </c>
      <c r="FN13" s="89"/>
      <c r="FO13" s="90">
        <v>622750.05000000005</v>
      </c>
      <c r="FP13" s="89"/>
      <c r="FQ13" s="90">
        <v>492937.6</v>
      </c>
      <c r="FR13" s="89"/>
      <c r="FS13" s="90">
        <v>311669.69</v>
      </c>
      <c r="FT13" s="89"/>
      <c r="FU13" s="90">
        <v>280486.45</v>
      </c>
      <c r="FV13" s="89"/>
      <c r="FW13" s="90">
        <v>300766.39</v>
      </c>
      <c r="FX13" s="89"/>
      <c r="FY13" s="90">
        <v>316811.67</v>
      </c>
      <c r="FZ13" s="89"/>
      <c r="GA13" s="90">
        <v>198066.28</v>
      </c>
      <c r="GB13" s="89"/>
      <c r="GC13" s="90">
        <v>235600.27</v>
      </c>
      <c r="GD13" s="89"/>
      <c r="GE13" s="90">
        <v>242557</v>
      </c>
      <c r="GF13" s="89"/>
      <c r="GG13" s="90">
        <v>272732.68</v>
      </c>
      <c r="GH13" s="89"/>
      <c r="GI13" s="92">
        <v>304400.55</v>
      </c>
      <c r="GJ13" s="89"/>
      <c r="GK13" s="92">
        <v>168833.78</v>
      </c>
      <c r="GL13" s="89"/>
      <c r="GM13" s="92">
        <v>181637.41</v>
      </c>
      <c r="GN13" s="89"/>
      <c r="GO13" s="92">
        <v>172359.74</v>
      </c>
      <c r="GP13" s="89"/>
      <c r="GQ13" s="92">
        <v>220877.93</v>
      </c>
      <c r="GR13" s="89"/>
      <c r="GS13" s="92">
        <v>222962.83</v>
      </c>
      <c r="GT13" s="89"/>
      <c r="GU13" s="92">
        <v>201137.73</v>
      </c>
      <c r="GV13" s="89"/>
      <c r="GW13" s="92">
        <v>200471.38</v>
      </c>
      <c r="GX13" s="70"/>
      <c r="GY13" s="92">
        <v>204271.28</v>
      </c>
      <c r="GZ13" s="70"/>
      <c r="HA13" s="92">
        <v>125800.73999999999</v>
      </c>
      <c r="HB13" s="89"/>
      <c r="HC13" s="92">
        <v>148344.79999999999</v>
      </c>
      <c r="HD13" s="70"/>
      <c r="HE13" s="92">
        <v>85635.66</v>
      </c>
      <c r="HF13" s="70"/>
      <c r="HG13" s="70">
        <v>78325.759999999995</v>
      </c>
    </row>
    <row r="14" spans="1:215" ht="12.75" customHeight="1">
      <c r="A14" s="76" t="s">
        <v>218</v>
      </c>
      <c r="B14" s="87" t="s">
        <v>219</v>
      </c>
      <c r="C14" s="88">
        <f>+'Notes - Dec25'!C35</f>
        <v>9895009.1600000001</v>
      </c>
      <c r="D14" s="407"/>
      <c r="E14" s="88">
        <f>+'Notes - Dec25'!E35</f>
        <v>10206451.41</v>
      </c>
      <c r="F14" s="407"/>
      <c r="G14" s="88">
        <f>+'Notes - Dec25'!G35</f>
        <v>10499872.899999999</v>
      </c>
      <c r="H14" s="407"/>
      <c r="I14" s="88">
        <v>10333461.420000002</v>
      </c>
      <c r="J14" s="407"/>
      <c r="K14" s="88">
        <v>10440413.689999999</v>
      </c>
      <c r="L14" s="407"/>
      <c r="M14" s="88">
        <v>10381033.439999999</v>
      </c>
      <c r="N14" s="407"/>
      <c r="O14" s="88">
        <v>10559863.77</v>
      </c>
      <c r="P14" s="407"/>
      <c r="Q14" s="88">
        <v>10632744.360000001</v>
      </c>
      <c r="R14" s="407"/>
      <c r="S14" s="88">
        <v>10726674.630000001</v>
      </c>
      <c r="T14" s="407"/>
      <c r="U14" s="88">
        <v>7244930.6899999995</v>
      </c>
      <c r="V14" s="407"/>
      <c r="W14" s="1138">
        <v>7318091.2000000002</v>
      </c>
      <c r="X14" s="407"/>
      <c r="Y14" s="88">
        <v>7363013.5300000012</v>
      </c>
      <c r="Z14" s="407"/>
      <c r="AA14" s="88">
        <v>7368809</v>
      </c>
      <c r="AB14" s="407"/>
      <c r="AC14" s="88">
        <v>6962804.3999999985</v>
      </c>
      <c r="AD14" s="407"/>
      <c r="AE14" s="88">
        <v>6850809.0499999998</v>
      </c>
      <c r="AF14" s="407"/>
      <c r="AG14" s="88">
        <v>6682036.6199999992</v>
      </c>
      <c r="AH14" s="407"/>
      <c r="AI14" s="88">
        <v>6479275.4299999997</v>
      </c>
      <c r="AJ14" s="407"/>
      <c r="AK14" s="88">
        <v>6590013.8600000003</v>
      </c>
      <c r="AL14" s="407"/>
      <c r="AM14" s="88">
        <v>6398227.0999999996</v>
      </c>
      <c r="AN14" s="407"/>
      <c r="AO14" s="88">
        <v>5980582.1200000001</v>
      </c>
      <c r="AP14" s="407"/>
      <c r="AQ14" s="88">
        <v>5779801.1099999994</v>
      </c>
      <c r="AR14" s="407"/>
      <c r="AS14" s="88">
        <v>5648013.0500000007</v>
      </c>
      <c r="AT14" s="407"/>
      <c r="AU14" s="1107">
        <v>5555820.6400000006</v>
      </c>
      <c r="AV14" s="407"/>
      <c r="AW14" s="88">
        <v>5477557.5299999993</v>
      </c>
      <c r="AX14" s="407"/>
      <c r="AY14" s="884">
        <v>5589869.2000000002</v>
      </c>
      <c r="AZ14" s="407"/>
      <c r="BA14" s="88">
        <v>5718748.9500000002</v>
      </c>
      <c r="BB14" s="407"/>
      <c r="BC14" s="88">
        <v>5648672.1200000001</v>
      </c>
      <c r="BD14" s="407"/>
      <c r="BE14" s="88">
        <v>5639584.2199999997</v>
      </c>
      <c r="BF14" s="407"/>
      <c r="BG14" s="88">
        <v>5302695.16</v>
      </c>
      <c r="BH14" s="407"/>
      <c r="BI14" s="88">
        <v>5056850.1800000006</v>
      </c>
      <c r="BJ14" s="407"/>
      <c r="BK14" s="88">
        <v>4222596.59</v>
      </c>
      <c r="BL14" s="407"/>
      <c r="BM14" s="88">
        <v>3685970.49</v>
      </c>
      <c r="BN14" s="407"/>
      <c r="BO14" s="88">
        <v>3649510.59</v>
      </c>
      <c r="BP14" s="407"/>
      <c r="BQ14" s="88">
        <f>+'Notes - Dec25'!DQ35</f>
        <v>1392999.75</v>
      </c>
      <c r="BR14" s="407"/>
      <c r="BS14" s="1079">
        <v>3430239.2</v>
      </c>
      <c r="BT14" s="407"/>
      <c r="BU14" s="88">
        <v>3440307.78</v>
      </c>
      <c r="BV14" s="407"/>
      <c r="BW14" s="88">
        <v>3439080</v>
      </c>
      <c r="BX14" s="407"/>
      <c r="BY14" s="88">
        <v>3446917.51</v>
      </c>
      <c r="BZ14" s="407"/>
      <c r="CA14" s="88">
        <v>3382160.98</v>
      </c>
      <c r="CB14" s="407"/>
      <c r="CC14" s="88">
        <v>3087965.58</v>
      </c>
      <c r="CD14" s="407"/>
      <c r="CE14" s="88">
        <v>2960078.31</v>
      </c>
      <c r="CF14" s="407"/>
      <c r="CG14" s="88">
        <v>3061628.17</v>
      </c>
      <c r="CH14" s="407"/>
      <c r="CI14" s="88">
        <v>3084282.18</v>
      </c>
      <c r="CJ14" s="407"/>
      <c r="CK14" s="88">
        <v>3079340.14</v>
      </c>
      <c r="CL14" s="407"/>
      <c r="CM14" s="88">
        <v>3141288.4399999995</v>
      </c>
      <c r="CN14" s="407"/>
      <c r="CO14" s="88">
        <f>+'Notes - Dec25'!CO35</f>
        <v>3150491.92</v>
      </c>
      <c r="CP14" s="407"/>
      <c r="CQ14" s="88">
        <f>+'Notes - Dec25'!CQ35</f>
        <v>3153400.9399999995</v>
      </c>
      <c r="CR14" s="407"/>
      <c r="CS14" s="88">
        <f>+'Notes - Dec25'!CS35</f>
        <v>3278678.8200000003</v>
      </c>
      <c r="CT14" s="89"/>
      <c r="CU14" s="88">
        <f>+'Notes - Dec25'!CU35</f>
        <v>2909553.0100000002</v>
      </c>
      <c r="CV14" s="89"/>
      <c r="CW14" s="88">
        <f>+'Notes - Dec25'!CW35</f>
        <v>2566953</v>
      </c>
      <c r="CX14" s="89"/>
      <c r="CY14" s="88">
        <f>+'Notes - Dec25'!CY35</f>
        <v>1897690.77</v>
      </c>
      <c r="CZ14" s="89"/>
      <c r="DA14" s="88">
        <f>+'Notes - Dec25'!DA35</f>
        <v>1915509.6800000002</v>
      </c>
      <c r="DB14" s="89"/>
      <c r="DC14" s="88">
        <f>+'Notes - Dec25'!DC35</f>
        <v>1787298.52</v>
      </c>
      <c r="DD14" s="89"/>
      <c r="DE14" s="88">
        <f>+'Notes - Dec25'!DE35</f>
        <v>1704291.67</v>
      </c>
      <c r="DF14" s="89"/>
      <c r="DG14" s="88">
        <f>+'Notes - Dec25'!DG35</f>
        <v>1573893.44</v>
      </c>
      <c r="DH14" s="89"/>
      <c r="DI14" s="88">
        <f>+'Notes - Dec25'!DI35</f>
        <v>1494846.71</v>
      </c>
      <c r="DJ14" s="89"/>
      <c r="DK14" s="88">
        <f>+'Notes - Dec25'!DK35</f>
        <v>1349096.52</v>
      </c>
      <c r="DL14" s="89"/>
      <c r="DM14" s="88">
        <f>+'Notes - Dec25'!DM35</f>
        <v>1392720.79</v>
      </c>
      <c r="DN14" s="89"/>
      <c r="DO14" s="90">
        <v>1368123.09</v>
      </c>
      <c r="DP14" s="89"/>
      <c r="DQ14" s="90">
        <v>1392999.75</v>
      </c>
      <c r="DR14" s="89"/>
      <c r="DS14" s="90">
        <v>1412493.67</v>
      </c>
      <c r="DT14" s="89"/>
      <c r="DU14" s="90">
        <v>1454903.78</v>
      </c>
      <c r="DV14" s="89"/>
      <c r="DW14" s="90">
        <v>1497334.19</v>
      </c>
      <c r="DX14" s="89"/>
      <c r="DY14" s="90">
        <v>1506934.1500000001</v>
      </c>
      <c r="DZ14" s="89"/>
      <c r="EA14" s="90">
        <v>1549086.45</v>
      </c>
      <c r="EB14" s="89"/>
      <c r="EC14" s="88">
        <v>1583675.36</v>
      </c>
      <c r="ED14" s="89"/>
      <c r="EE14" s="88">
        <v>1623983.48</v>
      </c>
      <c r="EF14" s="89"/>
      <c r="EG14" s="88">
        <v>1666464.25</v>
      </c>
      <c r="EH14" s="89"/>
      <c r="EI14" s="88">
        <v>1708945.53</v>
      </c>
      <c r="EJ14" s="89"/>
      <c r="EK14" s="88">
        <v>1743627.2400000002</v>
      </c>
      <c r="EL14" s="89"/>
      <c r="EM14" s="88">
        <v>1785946.1099999999</v>
      </c>
      <c r="EN14" s="89"/>
      <c r="EO14" s="88">
        <v>1758054.68</v>
      </c>
      <c r="EP14" s="89"/>
      <c r="EQ14" s="90">
        <v>1676962.31</v>
      </c>
      <c r="ER14" s="89"/>
      <c r="ES14" s="90">
        <v>1715533.16</v>
      </c>
      <c r="ET14" s="89"/>
      <c r="EU14" s="90">
        <v>1596171.3599999999</v>
      </c>
      <c r="EV14" s="89"/>
      <c r="EW14" s="90">
        <v>1519362.04</v>
      </c>
      <c r="EX14" s="89"/>
      <c r="EY14" s="90">
        <v>1486671</v>
      </c>
      <c r="EZ14" s="89"/>
      <c r="FA14" s="90">
        <v>1304457.2999999998</v>
      </c>
      <c r="FB14" s="89"/>
      <c r="FC14" s="90">
        <v>1036892.3799999999</v>
      </c>
      <c r="FD14" s="89"/>
      <c r="FE14" s="90">
        <v>964220.92999999993</v>
      </c>
      <c r="FF14" s="89"/>
      <c r="FG14" s="90">
        <v>257715.78</v>
      </c>
      <c r="FH14" s="89"/>
      <c r="FI14" s="90">
        <v>230614.01</v>
      </c>
      <c r="FJ14" s="89"/>
      <c r="FK14" s="90">
        <v>218496.12</v>
      </c>
      <c r="FL14" s="89"/>
      <c r="FM14" s="90">
        <v>225522.38</v>
      </c>
      <c r="FN14" s="89"/>
      <c r="FO14" s="90">
        <v>232548.56</v>
      </c>
      <c r="FP14" s="89"/>
      <c r="FQ14" s="90">
        <v>243255.68999999997</v>
      </c>
      <c r="FR14" s="89"/>
      <c r="FS14" s="90">
        <v>252302.75</v>
      </c>
      <c r="FT14" s="89"/>
      <c r="FU14" s="90">
        <v>238689.88</v>
      </c>
      <c r="FV14" s="89"/>
      <c r="FW14" s="90">
        <v>249143.53000000003</v>
      </c>
      <c r="FX14" s="89"/>
      <c r="FY14" s="90">
        <v>250879.43</v>
      </c>
      <c r="FZ14" s="89"/>
      <c r="GA14" s="90">
        <v>257719.40999999997</v>
      </c>
      <c r="GB14" s="89"/>
      <c r="GC14" s="90">
        <v>268217.21000000002</v>
      </c>
      <c r="GD14" s="89"/>
      <c r="GE14" s="90">
        <v>271016</v>
      </c>
      <c r="GF14" s="89"/>
      <c r="GG14" s="90">
        <v>258915.00999999998</v>
      </c>
      <c r="GH14" s="89"/>
      <c r="GI14" s="92">
        <v>238897.87</v>
      </c>
      <c r="GJ14" s="89"/>
      <c r="GK14" s="92">
        <v>223731.56</v>
      </c>
      <c r="GL14" s="89"/>
      <c r="GM14" s="92">
        <v>242826.23</v>
      </c>
      <c r="GN14" s="89"/>
      <c r="GO14" s="92">
        <v>207820.57</v>
      </c>
      <c r="GP14" s="89"/>
      <c r="GQ14" s="92">
        <v>214084.54</v>
      </c>
      <c r="GR14" s="89"/>
      <c r="GS14" s="92">
        <v>219424.94</v>
      </c>
      <c r="GT14" s="89"/>
      <c r="GU14" s="92">
        <v>193291.66</v>
      </c>
      <c r="GV14" s="89"/>
      <c r="GW14" s="92">
        <v>198690.15</v>
      </c>
      <c r="GX14" s="70"/>
      <c r="GY14" s="92">
        <v>204088.61000000002</v>
      </c>
      <c r="GZ14" s="70"/>
      <c r="HA14" s="92">
        <v>209487.02000000002</v>
      </c>
      <c r="HB14" s="89"/>
      <c r="HC14" s="92">
        <v>204391.50999999989</v>
      </c>
      <c r="HD14" s="70"/>
      <c r="HE14" s="92">
        <v>209571.36</v>
      </c>
      <c r="HF14" s="70"/>
      <c r="HG14" s="70">
        <v>189754.21</v>
      </c>
    </row>
    <row r="15" spans="1:215" ht="12.75" customHeight="1">
      <c r="A15" s="76" t="s">
        <v>145</v>
      </c>
      <c r="B15" s="87" t="s">
        <v>220</v>
      </c>
      <c r="C15" s="88">
        <f>'Notes - Dec25'!C38</f>
        <v>243719885.13</v>
      </c>
      <c r="D15" s="407"/>
      <c r="E15" s="88">
        <f>'Notes - Dec25'!E38</f>
        <v>240249341.21000001</v>
      </c>
      <c r="F15" s="407"/>
      <c r="G15" s="88">
        <f>'Notes - Dec25'!G38</f>
        <v>236876444.79000002</v>
      </c>
      <c r="H15" s="407"/>
      <c r="I15" s="88">
        <v>233144951.15000001</v>
      </c>
      <c r="J15" s="407"/>
      <c r="K15" s="88">
        <v>229492961.88999999</v>
      </c>
      <c r="L15" s="407"/>
      <c r="M15" s="88">
        <v>225523168.09</v>
      </c>
      <c r="N15" s="407"/>
      <c r="O15" s="88">
        <v>220818284.55000001</v>
      </c>
      <c r="P15" s="407"/>
      <c r="Q15" s="88">
        <v>216521451.74000001</v>
      </c>
      <c r="R15" s="407"/>
      <c r="S15" s="88">
        <v>211982882.13</v>
      </c>
      <c r="T15" s="407"/>
      <c r="U15" s="88">
        <v>206935012.41000003</v>
      </c>
      <c r="V15" s="407"/>
      <c r="W15" s="1138">
        <v>201666415.27000001</v>
      </c>
      <c r="X15" s="407"/>
      <c r="Y15" s="88">
        <v>197993335.94</v>
      </c>
      <c r="Z15" s="407"/>
      <c r="AA15" s="88">
        <v>193419717</v>
      </c>
      <c r="AB15" s="407"/>
      <c r="AC15" s="88">
        <v>189652752.28</v>
      </c>
      <c r="AD15" s="407"/>
      <c r="AE15" s="88">
        <v>184298431.86000001</v>
      </c>
      <c r="AF15" s="407"/>
      <c r="AG15" s="88">
        <v>179925516.44999999</v>
      </c>
      <c r="AH15" s="407"/>
      <c r="AI15" s="88">
        <v>175371993.75999999</v>
      </c>
      <c r="AJ15" s="407"/>
      <c r="AK15" s="88">
        <v>170448593.31999999</v>
      </c>
      <c r="AL15" s="407"/>
      <c r="AM15" s="88">
        <v>165211885.85000002</v>
      </c>
      <c r="AN15" s="407"/>
      <c r="AO15" s="88">
        <v>159143181.31</v>
      </c>
      <c r="AP15" s="407"/>
      <c r="AQ15" s="88">
        <v>151845881.75</v>
      </c>
      <c r="AR15" s="407"/>
      <c r="AS15" s="88">
        <v>145783116</v>
      </c>
      <c r="AT15" s="407"/>
      <c r="AU15" s="1107">
        <v>140711030.56999999</v>
      </c>
      <c r="AV15" s="407"/>
      <c r="AW15" s="88">
        <v>135816474.53</v>
      </c>
      <c r="AX15" s="407"/>
      <c r="AY15" s="884">
        <v>130873904.81</v>
      </c>
      <c r="AZ15" s="407"/>
      <c r="BA15" s="88">
        <v>126839835.34999999</v>
      </c>
      <c r="BB15" s="407"/>
      <c r="BC15" s="88">
        <v>121238517.2</v>
      </c>
      <c r="BD15" s="407"/>
      <c r="BE15" s="88">
        <v>115964821.8</v>
      </c>
      <c r="BF15" s="407"/>
      <c r="BG15" s="88">
        <v>111307714.02</v>
      </c>
      <c r="BH15" s="407"/>
      <c r="BI15" s="88">
        <v>107435220.78999999</v>
      </c>
      <c r="BJ15" s="407"/>
      <c r="BK15" s="88">
        <v>104471077.31999999</v>
      </c>
      <c r="BL15" s="407"/>
      <c r="BM15" s="88">
        <v>101025542.83000001</v>
      </c>
      <c r="BN15" s="407"/>
      <c r="BO15" s="88">
        <v>96543518.739999995</v>
      </c>
      <c r="BP15" s="407"/>
      <c r="BQ15" s="88">
        <f>'Notes - Dec25'!DQ38</f>
        <v>18337475.210000001</v>
      </c>
      <c r="BR15" s="407"/>
      <c r="BS15" s="1079">
        <v>88727261.060000002</v>
      </c>
      <c r="BT15" s="407"/>
      <c r="BU15" s="88">
        <v>83685634.200000003</v>
      </c>
      <c r="BV15" s="407"/>
      <c r="BW15" s="88">
        <v>78915819.230000004</v>
      </c>
      <c r="BX15" s="407"/>
      <c r="BY15" s="88">
        <v>75612645.370000005</v>
      </c>
      <c r="BZ15" s="407"/>
      <c r="CA15" s="88">
        <v>71400475.489999995</v>
      </c>
      <c r="CB15" s="407"/>
      <c r="CC15" s="88">
        <v>67022955.030000001</v>
      </c>
      <c r="CD15" s="407"/>
      <c r="CE15" s="88">
        <v>62603791.009999998</v>
      </c>
      <c r="CF15" s="407"/>
      <c r="CG15" s="88">
        <v>58440631.030000001</v>
      </c>
      <c r="CH15" s="407"/>
      <c r="CI15" s="88">
        <v>54568890.82</v>
      </c>
      <c r="CJ15" s="407"/>
      <c r="CK15" s="88">
        <v>51398241</v>
      </c>
      <c r="CL15" s="407"/>
      <c r="CM15" s="88">
        <v>43737340.039999999</v>
      </c>
      <c r="CN15" s="407"/>
      <c r="CO15" s="88">
        <f>'Notes - Dec25'!CO38</f>
        <v>41061883.649999999</v>
      </c>
      <c r="CP15" s="407"/>
      <c r="CQ15" s="88">
        <f>'Notes - Dec25'!CQ38</f>
        <v>38811348.850000001</v>
      </c>
      <c r="CR15" s="407"/>
      <c r="CS15" s="88">
        <f>'Notes - Dec25'!CS38</f>
        <v>36084236.849999994</v>
      </c>
      <c r="CT15" s="89"/>
      <c r="CU15" s="88">
        <f>'Notes - Dec25'!CU38</f>
        <v>35307630.659999996</v>
      </c>
      <c r="CV15" s="89"/>
      <c r="CW15" s="88">
        <f>'Notes - Dec25'!CW38</f>
        <v>32620504</v>
      </c>
      <c r="CX15" s="89"/>
      <c r="CY15" s="88">
        <f>'Notes - Dec25'!CY38</f>
        <v>30209806.879999999</v>
      </c>
      <c r="CZ15" s="89"/>
      <c r="DA15" s="88">
        <f>'Notes - Dec25'!DA38</f>
        <v>28381128.82</v>
      </c>
      <c r="DB15" s="89"/>
      <c r="DC15" s="88">
        <f>'Notes - Dec25'!DC38</f>
        <v>25870093.640000001</v>
      </c>
      <c r="DD15" s="89"/>
      <c r="DE15" s="88">
        <f>'Notes - Dec25'!DE38</f>
        <v>24719196.559999999</v>
      </c>
      <c r="DF15" s="89"/>
      <c r="DG15" s="88">
        <f>'Notes - Dec25'!DG38</f>
        <v>23260616.170000002</v>
      </c>
      <c r="DH15" s="89"/>
      <c r="DI15" s="88">
        <f>'Notes - Dec25'!DI38</f>
        <v>22376595.800000001</v>
      </c>
      <c r="DJ15" s="89"/>
      <c r="DK15" s="88">
        <f>'Notes - Dec25'!DK38</f>
        <v>21474044.329999998</v>
      </c>
      <c r="DL15" s="89"/>
      <c r="DM15" s="88">
        <f>'Notes - Dec25'!DM38</f>
        <v>20450141.66</v>
      </c>
      <c r="DN15" s="89"/>
      <c r="DO15" s="90">
        <v>19550369.579999998</v>
      </c>
      <c r="DP15" s="89"/>
      <c r="DQ15" s="90">
        <v>18337475.210000001</v>
      </c>
      <c r="DR15" s="89"/>
      <c r="DS15" s="90">
        <v>15307605.939999999</v>
      </c>
      <c r="DT15" s="89"/>
      <c r="DU15" s="90">
        <v>14658096</v>
      </c>
      <c r="DV15" s="89"/>
      <c r="DW15" s="90">
        <v>14042893.98</v>
      </c>
      <c r="DX15" s="89"/>
      <c r="DY15" s="90">
        <v>13551775.57</v>
      </c>
      <c r="DZ15" s="89"/>
      <c r="EA15" s="90">
        <v>12949933.119999999</v>
      </c>
      <c r="EB15" s="89"/>
      <c r="EC15" s="88">
        <v>12323481.109999999</v>
      </c>
      <c r="ED15" s="89"/>
      <c r="EE15" s="88">
        <v>11821447.77</v>
      </c>
      <c r="EF15" s="89"/>
      <c r="EG15" s="88">
        <v>11113705.6</v>
      </c>
      <c r="EH15" s="89"/>
      <c r="EI15" s="88">
        <v>10446801.51</v>
      </c>
      <c r="EJ15" s="89"/>
      <c r="EK15" s="88">
        <v>9818326.7200000007</v>
      </c>
      <c r="EL15" s="89"/>
      <c r="EM15" s="88">
        <v>9169258.2599999998</v>
      </c>
      <c r="EN15" s="89"/>
      <c r="EO15" s="88">
        <v>8818624.1099999994</v>
      </c>
      <c r="EP15" s="89"/>
      <c r="EQ15" s="90">
        <v>8485966.7699999996</v>
      </c>
      <c r="ER15" s="89"/>
      <c r="ES15" s="90">
        <v>8147211.29</v>
      </c>
      <c r="ET15" s="89"/>
      <c r="EU15" s="90">
        <v>7843565.5099999998</v>
      </c>
      <c r="EV15" s="89"/>
      <c r="EW15" s="90">
        <v>7543940.3499999996</v>
      </c>
      <c r="EX15" s="89"/>
      <c r="EY15" s="90">
        <v>7249951.3600000003</v>
      </c>
      <c r="EZ15" s="89"/>
      <c r="FA15" s="90">
        <v>6907979.3399999999</v>
      </c>
      <c r="FB15" s="89"/>
      <c r="FC15" s="90">
        <v>6604711.8099999996</v>
      </c>
      <c r="FD15" s="89"/>
      <c r="FE15" s="90">
        <v>6417919.1500000004</v>
      </c>
      <c r="FF15" s="89"/>
      <c r="FG15" s="90">
        <v>6275150.3399999999</v>
      </c>
      <c r="FH15" s="89"/>
      <c r="FI15" s="90">
        <v>6128325.4699999997</v>
      </c>
      <c r="FJ15" s="89"/>
      <c r="FK15" s="90">
        <v>5976412.0300000003</v>
      </c>
      <c r="FL15" s="89"/>
      <c r="FM15" s="90">
        <v>5864773.5599999996</v>
      </c>
      <c r="FN15" s="89"/>
      <c r="FO15" s="90">
        <v>5748939.4100000001</v>
      </c>
      <c r="FP15" s="89"/>
      <c r="FQ15" s="90">
        <v>5553258.0199999996</v>
      </c>
      <c r="FR15" s="89"/>
      <c r="FS15" s="90">
        <v>5398684.7999999998</v>
      </c>
      <c r="FT15" s="89"/>
      <c r="FU15" s="90">
        <v>5198742.53</v>
      </c>
      <c r="FV15" s="89"/>
      <c r="FW15" s="90">
        <v>5052423.1100000003</v>
      </c>
      <c r="FX15" s="89"/>
      <c r="FY15" s="90">
        <v>4860832.1499999994</v>
      </c>
      <c r="FZ15" s="89"/>
      <c r="GA15" s="90">
        <v>4639370.41</v>
      </c>
      <c r="GB15" s="89"/>
      <c r="GC15" s="90">
        <v>4435762.7300000004</v>
      </c>
      <c r="GD15" s="89"/>
      <c r="GE15" s="90">
        <v>4189326</v>
      </c>
      <c r="GF15" s="89"/>
      <c r="GG15" s="90">
        <v>4047618.99</v>
      </c>
      <c r="GH15" s="89"/>
      <c r="GI15" s="92">
        <v>3896351.25</v>
      </c>
      <c r="GJ15" s="89"/>
      <c r="GK15" s="92">
        <v>3726322.34</v>
      </c>
      <c r="GL15" s="89"/>
      <c r="GM15" s="92">
        <v>3530295.23</v>
      </c>
      <c r="GN15" s="89"/>
      <c r="GO15" s="92">
        <v>3339391.37</v>
      </c>
      <c r="GP15" s="89"/>
      <c r="GQ15" s="92">
        <v>3163886.88</v>
      </c>
      <c r="GR15" s="89"/>
      <c r="GS15" s="92">
        <v>2947056.96</v>
      </c>
      <c r="GT15" s="89"/>
      <c r="GU15" s="92">
        <v>2764768.71</v>
      </c>
      <c r="GV15" s="89"/>
      <c r="GW15" s="92">
        <v>2621146.2999999998</v>
      </c>
      <c r="GX15" s="70"/>
      <c r="GY15" s="92">
        <v>2516136.13</v>
      </c>
      <c r="GZ15" s="70"/>
      <c r="HA15" s="92">
        <v>2386488.4600000004</v>
      </c>
      <c r="HB15" s="89"/>
      <c r="HC15" s="92">
        <v>2276744.9699999997</v>
      </c>
      <c r="HD15" s="70"/>
      <c r="HE15" s="92">
        <v>2154234.4300000002</v>
      </c>
      <c r="HF15" s="70"/>
      <c r="HG15" s="70">
        <v>2056055.33</v>
      </c>
    </row>
    <row r="16" spans="1:215" ht="12.75" customHeight="1">
      <c r="A16" s="76" t="s">
        <v>221</v>
      </c>
      <c r="B16" s="89"/>
      <c r="C16" s="88">
        <v>14446522</v>
      </c>
      <c r="D16" s="409"/>
      <c r="E16" s="88">
        <v>14793846.459999999</v>
      </c>
      <c r="F16" s="409"/>
      <c r="G16" s="88">
        <v>15141170.140000001</v>
      </c>
      <c r="H16" s="409"/>
      <c r="I16" s="88">
        <v>15488493.83</v>
      </c>
      <c r="J16" s="409"/>
      <c r="K16" s="88">
        <v>15835817.5</v>
      </c>
      <c r="L16" s="409"/>
      <c r="M16" s="88">
        <v>16183141.18</v>
      </c>
      <c r="N16" s="409"/>
      <c r="O16" s="88">
        <v>16530464.85</v>
      </c>
      <c r="P16" s="409"/>
      <c r="Q16" s="88">
        <v>16877788.539999999</v>
      </c>
      <c r="R16" s="409"/>
      <c r="S16" s="88">
        <v>17225112.23</v>
      </c>
      <c r="T16" s="409"/>
      <c r="U16" s="88">
        <v>17572435.890000001</v>
      </c>
      <c r="V16" s="409"/>
      <c r="W16" s="1138">
        <v>12517545.42</v>
      </c>
      <c r="X16" s="409"/>
      <c r="Y16" s="88">
        <v>12864869.09</v>
      </c>
      <c r="Z16" s="409"/>
      <c r="AA16" s="88">
        <v>13212193</v>
      </c>
      <c r="AB16" s="409"/>
      <c r="AC16" s="88">
        <v>13559516.469999999</v>
      </c>
      <c r="AD16" s="409"/>
      <c r="AE16" s="88">
        <v>13906840</v>
      </c>
      <c r="AF16" s="409"/>
      <c r="AG16" s="88">
        <v>7771494.54</v>
      </c>
      <c r="AH16" s="409"/>
      <c r="AI16" s="88">
        <v>8082354</v>
      </c>
      <c r="AJ16" s="409"/>
      <c r="AK16" s="88">
        <v>8393214.0999999996</v>
      </c>
      <c r="AL16" s="409"/>
      <c r="AM16" s="88">
        <v>8704073.8699999992</v>
      </c>
      <c r="AN16" s="409"/>
      <c r="AO16" s="88">
        <v>9014933.6699999999</v>
      </c>
      <c r="AP16" s="409"/>
      <c r="AQ16" s="88">
        <v>9325793.4399999995</v>
      </c>
      <c r="AR16" s="409"/>
      <c r="AS16" s="88">
        <v>9636653.2300000004</v>
      </c>
      <c r="AT16" s="409"/>
      <c r="AU16" s="1107">
        <v>9947513.0099999998</v>
      </c>
      <c r="AV16" s="409"/>
      <c r="AW16" s="88">
        <v>10258372.779999999</v>
      </c>
      <c r="AX16" s="409"/>
      <c r="AY16" s="884">
        <v>10569232.560000001</v>
      </c>
      <c r="AZ16" s="409"/>
      <c r="BA16" s="88">
        <v>10880092.359999999</v>
      </c>
      <c r="BB16" s="409"/>
      <c r="BC16" s="88">
        <v>5444294.3099999996</v>
      </c>
      <c r="BD16" s="409"/>
      <c r="BE16" s="88">
        <v>5595524.7199999997</v>
      </c>
      <c r="BF16" s="409"/>
      <c r="BG16" s="88">
        <v>5746755.1100000003</v>
      </c>
      <c r="BH16" s="409"/>
      <c r="BI16" s="88">
        <v>5897985.5199999996</v>
      </c>
      <c r="BJ16" s="409"/>
      <c r="BK16" s="88">
        <v>6049215.9100000001</v>
      </c>
      <c r="BL16" s="409"/>
      <c r="BM16" s="88">
        <v>6200446.3099999996</v>
      </c>
      <c r="BN16" s="409"/>
      <c r="BO16" s="88">
        <v>3109990.68</v>
      </c>
      <c r="BP16" s="409"/>
      <c r="BQ16" s="88">
        <v>3258091</v>
      </c>
      <c r="BR16" s="409"/>
      <c r="BS16" s="1079">
        <v>3406191.2</v>
      </c>
      <c r="BT16" s="409"/>
      <c r="BU16" s="88">
        <v>3554291.46</v>
      </c>
      <c r="BV16" s="409"/>
      <c r="BW16" s="88">
        <v>3702391.72</v>
      </c>
      <c r="BX16" s="409"/>
      <c r="BY16" s="88">
        <v>3850491.98</v>
      </c>
      <c r="BZ16" s="409"/>
      <c r="CA16" s="88">
        <v>3998592.23</v>
      </c>
      <c r="CB16" s="409"/>
      <c r="CC16" s="88">
        <v>4146692.49</v>
      </c>
      <c r="CD16" s="409"/>
      <c r="CE16" s="88">
        <v>4294792.75</v>
      </c>
      <c r="CF16" s="409"/>
      <c r="CG16" s="88">
        <v>4442893.01</v>
      </c>
      <c r="CH16" s="409"/>
      <c r="CI16" s="88">
        <v>4590993.2699999996</v>
      </c>
      <c r="CJ16" s="409"/>
      <c r="CK16" s="88">
        <v>4739093.53</v>
      </c>
      <c r="CL16" s="409"/>
      <c r="CM16" s="88">
        <v>4887193.79</v>
      </c>
      <c r="CN16" s="409"/>
      <c r="CO16" s="88">
        <v>5035294</v>
      </c>
      <c r="CP16" s="409"/>
      <c r="CQ16" s="88">
        <v>5183394.3099999996</v>
      </c>
      <c r="CR16" s="409"/>
      <c r="CS16" s="88">
        <v>3338434.13</v>
      </c>
      <c r="CT16" s="89"/>
      <c r="CU16" s="88">
        <v>3325134.8499999996</v>
      </c>
      <c r="CV16" s="89"/>
      <c r="CW16" s="88">
        <v>3415003</v>
      </c>
      <c r="CX16" s="89"/>
      <c r="CY16" s="88">
        <v>874365.58</v>
      </c>
      <c r="CZ16" s="89"/>
      <c r="DA16" s="88">
        <v>971517.31</v>
      </c>
      <c r="DB16" s="89"/>
      <c r="DC16" s="88">
        <v>1068669.04</v>
      </c>
      <c r="DD16" s="89"/>
      <c r="DE16" s="88">
        <v>1165820.77</v>
      </c>
      <c r="DF16" s="89"/>
      <c r="DG16" s="88">
        <v>1262972.5</v>
      </c>
      <c r="DH16" s="89"/>
      <c r="DI16" s="88">
        <v>1360124.23</v>
      </c>
      <c r="DJ16" s="89"/>
      <c r="DK16" s="88">
        <v>1457275.96</v>
      </c>
      <c r="DL16" s="89"/>
      <c r="DM16" s="88">
        <v>1554427.69</v>
      </c>
      <c r="DN16" s="89"/>
      <c r="DO16" s="90">
        <v>1651579.42</v>
      </c>
      <c r="DP16" s="89"/>
      <c r="DQ16" s="90">
        <v>1748731.15</v>
      </c>
      <c r="DR16" s="89"/>
      <c r="DS16" s="90">
        <v>1845882.8799999999</v>
      </c>
      <c r="DT16" s="89"/>
      <c r="DU16" s="90">
        <v>1943034.61</v>
      </c>
      <c r="DV16" s="89"/>
      <c r="DW16" s="90">
        <v>2040186.34</v>
      </c>
      <c r="DX16" s="89"/>
      <c r="DY16" s="90">
        <v>2137338.08</v>
      </c>
      <c r="DZ16" s="89"/>
      <c r="EA16" s="90">
        <v>2234489.81</v>
      </c>
      <c r="EB16" s="89"/>
      <c r="EC16" s="88">
        <v>2331641.54</v>
      </c>
      <c r="ED16" s="89"/>
      <c r="EE16" s="90">
        <v>2428793.27</v>
      </c>
      <c r="EF16" s="89"/>
      <c r="EG16" s="88">
        <v>2525945</v>
      </c>
      <c r="EH16" s="89"/>
      <c r="EI16" s="88">
        <v>2623096.73</v>
      </c>
      <c r="EJ16" s="89"/>
      <c r="EK16" s="88">
        <v>2720248.46</v>
      </c>
      <c r="EL16" s="89"/>
      <c r="EM16" s="88">
        <v>2817400.19</v>
      </c>
      <c r="EN16" s="89"/>
      <c r="EO16" s="88">
        <v>2914551.92</v>
      </c>
      <c r="EP16" s="89"/>
      <c r="EQ16" s="90">
        <v>3011703.65</v>
      </c>
      <c r="ER16" s="89"/>
      <c r="ES16" s="90">
        <v>3108855.38</v>
      </c>
      <c r="ET16" s="89"/>
      <c r="EU16" s="90">
        <v>3206007.11</v>
      </c>
      <c r="EV16" s="89"/>
      <c r="EW16" s="88">
        <v>3303158.84</v>
      </c>
      <c r="EX16" s="105"/>
      <c r="EY16" s="88">
        <v>3400310.57</v>
      </c>
      <c r="EZ16" s="89"/>
      <c r="FA16" s="90"/>
      <c r="FB16" s="89"/>
      <c r="FC16" s="90"/>
      <c r="FD16" s="89"/>
      <c r="FE16" s="90"/>
      <c r="FF16" s="89"/>
      <c r="FG16" s="90"/>
      <c r="FH16" s="89"/>
      <c r="FI16" s="90"/>
      <c r="FJ16" s="89"/>
      <c r="FK16" s="90"/>
      <c r="FL16" s="89"/>
      <c r="FM16" s="90"/>
      <c r="FN16" s="89"/>
      <c r="FO16" s="90"/>
      <c r="FP16" s="89"/>
      <c r="FQ16" s="90"/>
      <c r="FR16" s="89"/>
      <c r="FS16" s="90"/>
      <c r="FT16" s="89"/>
      <c r="FU16" s="90"/>
      <c r="FV16" s="89"/>
      <c r="FW16" s="90"/>
      <c r="FX16" s="89"/>
      <c r="FY16" s="90"/>
      <c r="FZ16" s="89"/>
      <c r="GA16" s="90"/>
      <c r="GB16" s="89"/>
      <c r="GC16" s="90"/>
      <c r="GD16" s="89"/>
      <c r="GE16" s="90"/>
      <c r="GF16" s="89"/>
      <c r="GG16" s="90"/>
      <c r="GH16" s="89"/>
      <c r="GI16" s="92"/>
      <c r="GJ16" s="89"/>
      <c r="GK16" s="92"/>
      <c r="GL16" s="89"/>
      <c r="GM16" s="92"/>
      <c r="GN16" s="89"/>
      <c r="GO16" s="92"/>
      <c r="GP16" s="89"/>
      <c r="GQ16" s="92"/>
      <c r="GR16" s="89"/>
      <c r="GS16" s="92"/>
      <c r="GT16" s="89"/>
      <c r="GU16" s="92"/>
      <c r="GV16" s="89"/>
      <c r="GW16" s="92"/>
      <c r="GX16" s="70"/>
      <c r="GY16" s="92"/>
      <c r="GZ16" s="70"/>
      <c r="HA16" s="92"/>
      <c r="HB16" s="89"/>
      <c r="HC16" s="92"/>
      <c r="HD16" s="70"/>
      <c r="HE16" s="92"/>
      <c r="HF16" s="70"/>
      <c r="HG16" s="70"/>
    </row>
    <row r="17" spans="1:215" ht="12.75" customHeight="1">
      <c r="A17" s="76" t="s">
        <v>222</v>
      </c>
      <c r="B17" s="89"/>
      <c r="C17" s="106">
        <v>54334943.950000003</v>
      </c>
      <c r="D17" s="409"/>
      <c r="E17" s="106">
        <v>54334943.950000003</v>
      </c>
      <c r="F17" s="409"/>
      <c r="G17" s="106">
        <v>54334943.950000003</v>
      </c>
      <c r="H17" s="409"/>
      <c r="I17" s="106">
        <v>54334943.950000003</v>
      </c>
      <c r="J17" s="409"/>
      <c r="K17" s="106">
        <v>54334943.950000003</v>
      </c>
      <c r="L17" s="409"/>
      <c r="M17" s="106">
        <v>54334943.950000003</v>
      </c>
      <c r="N17" s="409"/>
      <c r="O17" s="106">
        <v>54334943.950000003</v>
      </c>
      <c r="P17" s="409"/>
      <c r="Q17" s="106">
        <v>54334943.950000003</v>
      </c>
      <c r="R17" s="409"/>
      <c r="S17" s="106">
        <v>54334943.950000003</v>
      </c>
      <c r="T17" s="409"/>
      <c r="U17" s="106">
        <v>54334943.950000003</v>
      </c>
      <c r="V17" s="409"/>
      <c r="W17" s="1141">
        <v>54334943.950000003</v>
      </c>
      <c r="X17" s="409"/>
      <c r="Y17" s="106">
        <v>14616528.41</v>
      </c>
      <c r="Z17" s="409"/>
      <c r="AA17" s="106">
        <v>14616528.41</v>
      </c>
      <c r="AB17" s="409"/>
      <c r="AC17" s="106">
        <v>14616528.41</v>
      </c>
      <c r="AD17" s="409"/>
      <c r="AE17" s="106">
        <v>14616528.41</v>
      </c>
      <c r="AF17" s="409"/>
      <c r="AG17" s="106">
        <v>14616528.41</v>
      </c>
      <c r="AH17" s="409"/>
      <c r="AI17" s="106">
        <v>14616528.41</v>
      </c>
      <c r="AJ17" s="409"/>
      <c r="AK17" s="106">
        <v>14616528.41</v>
      </c>
      <c r="AL17" s="409"/>
      <c r="AM17" s="106">
        <v>14616528.41</v>
      </c>
      <c r="AN17" s="409"/>
      <c r="AO17" s="106">
        <v>14616528.41</v>
      </c>
      <c r="AP17" s="409"/>
      <c r="AQ17" s="106">
        <v>14616528.41</v>
      </c>
      <c r="AR17" s="409"/>
      <c r="AS17" s="106">
        <v>14616528.41</v>
      </c>
      <c r="AT17" s="409"/>
      <c r="AU17" s="1110">
        <v>29862618.75</v>
      </c>
      <c r="AV17" s="409"/>
      <c r="AW17" s="106">
        <v>6418989.3300000001</v>
      </c>
      <c r="AX17" s="409"/>
      <c r="AY17" s="106">
        <v>6418989.3300000001</v>
      </c>
      <c r="AZ17" s="409"/>
      <c r="BA17" s="106">
        <v>6418989.3300000001</v>
      </c>
      <c r="BB17" s="409"/>
      <c r="BC17" s="106">
        <v>6418989.3300000001</v>
      </c>
      <c r="BD17" s="409"/>
      <c r="BE17" s="106">
        <v>6418989.3300000001</v>
      </c>
      <c r="BF17" s="409"/>
      <c r="BG17" s="106">
        <v>6418989.3300000001</v>
      </c>
      <c r="BH17" s="409"/>
      <c r="BI17" s="106">
        <v>6418989.3300000001</v>
      </c>
      <c r="BJ17" s="409"/>
      <c r="BK17" s="106">
        <v>6418989.3300000001</v>
      </c>
      <c r="BL17" s="409"/>
      <c r="BM17" s="106">
        <v>6418989.3300000001</v>
      </c>
      <c r="BN17" s="409"/>
      <c r="BO17" s="106">
        <v>6418989.3300000001</v>
      </c>
      <c r="BP17" s="409"/>
      <c r="BQ17" s="106">
        <v>6418989.3300000001</v>
      </c>
      <c r="BR17" s="409"/>
      <c r="BS17" s="1082">
        <v>6418989.3300000001</v>
      </c>
      <c r="BT17" s="409"/>
      <c r="BU17" s="106">
        <v>4620848.84</v>
      </c>
      <c r="BV17" s="409"/>
      <c r="BW17" s="106">
        <v>5357594.92</v>
      </c>
      <c r="BX17" s="409"/>
      <c r="BY17" s="106">
        <v>5357594.92</v>
      </c>
      <c r="BZ17" s="409"/>
      <c r="CA17" s="106">
        <v>5357594.92</v>
      </c>
      <c r="CB17" s="409"/>
      <c r="CC17" s="106">
        <v>5357594.92</v>
      </c>
      <c r="CD17" s="409"/>
      <c r="CE17" s="106">
        <v>5357594.92</v>
      </c>
      <c r="CF17" s="409"/>
      <c r="CG17" s="106">
        <v>5357594.92</v>
      </c>
      <c r="CH17" s="409"/>
      <c r="CI17" s="106">
        <v>5357594.92</v>
      </c>
      <c r="CJ17" s="409"/>
      <c r="CK17" s="106">
        <v>5357594.92</v>
      </c>
      <c r="CL17" s="409"/>
      <c r="CM17" s="106">
        <v>5357594.92</v>
      </c>
      <c r="CN17" s="409"/>
      <c r="CO17" s="106">
        <f>5357594.92</f>
        <v>5357594.92</v>
      </c>
      <c r="CP17" s="409"/>
      <c r="CQ17" s="106">
        <v>5357595</v>
      </c>
      <c r="CR17" s="409"/>
      <c r="CS17" s="106">
        <v>5002031.13</v>
      </c>
      <c r="CT17" s="89"/>
      <c r="CU17" s="106">
        <v>5002031.13</v>
      </c>
      <c r="CV17" s="89"/>
      <c r="CW17" s="106">
        <v>5002031</v>
      </c>
      <c r="CX17" s="89"/>
      <c r="CY17" s="106">
        <v>4678446.03</v>
      </c>
      <c r="CZ17" s="89"/>
      <c r="DA17" s="106">
        <v>3964226.24</v>
      </c>
      <c r="DB17" s="89"/>
      <c r="DC17" s="106">
        <v>3633894.92</v>
      </c>
      <c r="DD17" s="89"/>
      <c r="DE17" s="106">
        <v>2938186.52</v>
      </c>
      <c r="DF17" s="89"/>
      <c r="DG17" s="106">
        <v>2893377.8</v>
      </c>
      <c r="DH17" s="89"/>
      <c r="DI17" s="106">
        <v>2799403.04</v>
      </c>
      <c r="DJ17" s="89"/>
      <c r="DK17" s="106">
        <v>2632188.11</v>
      </c>
      <c r="DL17" s="89"/>
      <c r="DM17" s="106">
        <v>2505878.46</v>
      </c>
      <c r="DN17" s="89"/>
      <c r="DO17" s="107">
        <v>2476336</v>
      </c>
      <c r="DP17" s="89"/>
      <c r="DQ17" s="107">
        <v>2777741.44</v>
      </c>
      <c r="DR17" s="89"/>
      <c r="DS17" s="107">
        <v>3517886.08</v>
      </c>
      <c r="DT17" s="89"/>
      <c r="DU17" s="107">
        <v>3884206.41</v>
      </c>
      <c r="DV17" s="89"/>
      <c r="DW17" s="107">
        <v>3650942.77</v>
      </c>
      <c r="DX17" s="89"/>
      <c r="DY17" s="107">
        <v>4386085.3099999996</v>
      </c>
      <c r="DZ17" s="89"/>
      <c r="EA17" s="107">
        <v>4208326.62</v>
      </c>
      <c r="EB17" s="89"/>
      <c r="EC17" s="106">
        <v>4385180.21</v>
      </c>
      <c r="ED17" s="89"/>
      <c r="EE17" s="107">
        <v>4104410.85</v>
      </c>
      <c r="EF17" s="89"/>
      <c r="EG17" s="106">
        <v>3418880.02</v>
      </c>
      <c r="EH17" s="89"/>
      <c r="EI17" s="106">
        <v>3063285.91</v>
      </c>
      <c r="EJ17" s="89"/>
      <c r="EK17" s="106">
        <v>1904954.14</v>
      </c>
      <c r="EL17" s="89"/>
      <c r="EM17" s="106">
        <v>850003.18</v>
      </c>
      <c r="EN17" s="89"/>
      <c r="EO17" s="106">
        <v>419494.04</v>
      </c>
      <c r="EP17" s="89"/>
      <c r="EQ17" s="107">
        <v>419494.04</v>
      </c>
      <c r="ER17" s="89"/>
      <c r="ES17" s="107">
        <v>419494.04</v>
      </c>
      <c r="ET17" s="89"/>
      <c r="EU17" s="107">
        <v>419494.04</v>
      </c>
      <c r="EV17" s="89"/>
      <c r="EW17" s="107">
        <v>419494.04</v>
      </c>
      <c r="EX17" s="89"/>
      <c r="EY17" s="107">
        <v>419494.04</v>
      </c>
      <c r="EZ17" s="89"/>
      <c r="FA17" s="107">
        <v>419494.04</v>
      </c>
      <c r="FB17" s="89"/>
      <c r="FC17" s="107">
        <v>419494.04</v>
      </c>
      <c r="FD17" s="89"/>
      <c r="FE17" s="107">
        <v>419494.04</v>
      </c>
      <c r="FF17" s="89"/>
      <c r="FG17" s="107">
        <v>419494.04</v>
      </c>
      <c r="FH17" s="89"/>
      <c r="FI17" s="107">
        <v>419494.04</v>
      </c>
      <c r="FJ17" s="89"/>
      <c r="FK17" s="107">
        <v>419494.04</v>
      </c>
      <c r="FL17" s="89"/>
      <c r="FM17" s="107">
        <v>297405</v>
      </c>
      <c r="FN17" s="89"/>
      <c r="FO17" s="107">
        <v>297405</v>
      </c>
      <c r="FP17" s="89"/>
      <c r="FQ17" s="107">
        <v>297405</v>
      </c>
      <c r="FR17" s="89"/>
      <c r="FS17" s="107">
        <v>297405</v>
      </c>
      <c r="FT17" s="89"/>
      <c r="FU17" s="107">
        <v>297405</v>
      </c>
      <c r="FV17" s="89"/>
      <c r="FW17" s="107">
        <v>297405</v>
      </c>
      <c r="FX17" s="89"/>
      <c r="FY17" s="107">
        <v>297405</v>
      </c>
      <c r="FZ17" s="89"/>
      <c r="GA17" s="107">
        <v>297405</v>
      </c>
      <c r="GB17" s="89"/>
      <c r="GC17" s="107">
        <v>297405</v>
      </c>
      <c r="GD17" s="89"/>
      <c r="GE17" s="107">
        <v>297405</v>
      </c>
      <c r="GF17" s="89"/>
      <c r="GG17" s="107">
        <v>297405</v>
      </c>
      <c r="GH17" s="89"/>
      <c r="GI17" s="108">
        <v>297405</v>
      </c>
      <c r="GJ17" s="89"/>
      <c r="GK17" s="108">
        <v>531555.06000000006</v>
      </c>
      <c r="GL17" s="89"/>
      <c r="GM17" s="108">
        <v>531555.06000000006</v>
      </c>
      <c r="GN17" s="89"/>
      <c r="GO17" s="108">
        <v>531555.06000000006</v>
      </c>
      <c r="GP17" s="89"/>
      <c r="GQ17" s="108">
        <v>531555.06000000006</v>
      </c>
      <c r="GR17" s="89"/>
      <c r="GS17" s="108">
        <v>531555.06000000006</v>
      </c>
      <c r="GT17" s="89"/>
      <c r="GU17" s="108">
        <v>531555.06000000006</v>
      </c>
      <c r="GV17" s="89"/>
      <c r="GW17" s="108">
        <v>515167.68</v>
      </c>
      <c r="GX17" s="70"/>
      <c r="GY17" s="108">
        <v>465517.68</v>
      </c>
      <c r="GZ17" s="70"/>
      <c r="HA17" s="109">
        <v>236189.68</v>
      </c>
      <c r="HB17" s="89"/>
      <c r="HC17" s="108">
        <v>236189.68</v>
      </c>
      <c r="HD17" s="70"/>
      <c r="HE17" s="108">
        <v>236189.68</v>
      </c>
      <c r="HF17" s="70"/>
      <c r="HG17" s="70"/>
    </row>
    <row r="18" spans="1:215" ht="12.75" customHeight="1">
      <c r="A18" s="76" t="s">
        <v>223</v>
      </c>
      <c r="B18" s="76"/>
      <c r="C18" s="110"/>
      <c r="D18" s="401"/>
      <c r="E18" s="110"/>
      <c r="F18" s="401"/>
      <c r="G18" s="110"/>
      <c r="H18" s="401"/>
      <c r="I18" s="110"/>
      <c r="J18" s="401"/>
      <c r="K18" s="110"/>
      <c r="L18" s="401"/>
      <c r="M18" s="110"/>
      <c r="N18" s="401"/>
      <c r="O18" s="110"/>
      <c r="P18" s="401"/>
      <c r="Q18" s="110"/>
      <c r="R18" s="401"/>
      <c r="S18" s="110"/>
      <c r="T18" s="401"/>
      <c r="U18" s="110"/>
      <c r="V18" s="401"/>
      <c r="W18" s="1142"/>
      <c r="X18" s="401"/>
      <c r="Y18" s="110"/>
      <c r="Z18" s="401"/>
      <c r="AA18" s="110"/>
      <c r="AB18" s="401"/>
      <c r="AC18" s="110"/>
      <c r="AD18" s="401"/>
      <c r="AE18" s="110"/>
      <c r="AF18" s="401"/>
      <c r="AG18" s="110"/>
      <c r="AH18" s="401"/>
      <c r="AI18" s="110"/>
      <c r="AJ18" s="401"/>
      <c r="AK18" s="110"/>
      <c r="AL18" s="401"/>
      <c r="AM18" s="110"/>
      <c r="AN18" s="401"/>
      <c r="AO18" s="110"/>
      <c r="AP18" s="401"/>
      <c r="AQ18" s="110"/>
      <c r="AR18" s="401"/>
      <c r="AS18" s="110"/>
      <c r="AT18" s="401"/>
      <c r="AU18" s="1111"/>
      <c r="AV18" s="401"/>
      <c r="AW18" s="110"/>
      <c r="AX18" s="401"/>
      <c r="AY18" s="110"/>
      <c r="AZ18" s="401"/>
      <c r="BA18" s="110"/>
      <c r="BB18" s="401"/>
      <c r="BC18" s="110"/>
      <c r="BD18" s="401"/>
      <c r="BE18" s="110"/>
      <c r="BF18" s="401"/>
      <c r="BG18" s="110"/>
      <c r="BH18" s="401"/>
      <c r="BI18" s="110"/>
      <c r="BJ18" s="401"/>
      <c r="BK18" s="110"/>
      <c r="BL18" s="401"/>
      <c r="BM18" s="110"/>
      <c r="BN18" s="401"/>
      <c r="BO18" s="110"/>
      <c r="BP18" s="401"/>
      <c r="BQ18" s="110"/>
      <c r="BR18" s="401"/>
      <c r="BS18" s="1083"/>
      <c r="BT18" s="401"/>
      <c r="BU18" s="110"/>
      <c r="BV18" s="401"/>
      <c r="BW18" s="110"/>
      <c r="BX18" s="401"/>
      <c r="BY18" s="110"/>
      <c r="BZ18" s="401"/>
      <c r="CA18" s="110"/>
      <c r="CB18" s="401"/>
      <c r="CC18" s="110"/>
      <c r="CD18" s="401"/>
      <c r="CE18" s="110"/>
      <c r="CF18" s="401"/>
      <c r="CG18" s="110"/>
      <c r="CH18" s="401"/>
      <c r="CI18" s="110"/>
      <c r="CJ18" s="401"/>
      <c r="CK18" s="110"/>
      <c r="CL18" s="401"/>
      <c r="CM18" s="110"/>
      <c r="CN18" s="401"/>
      <c r="CO18" s="110"/>
      <c r="CP18" s="401"/>
      <c r="CQ18" s="110"/>
      <c r="CR18" s="401"/>
      <c r="CS18" s="110"/>
      <c r="CT18" s="76"/>
      <c r="CU18" s="110"/>
      <c r="CV18" s="76"/>
      <c r="CW18" s="110"/>
      <c r="CX18" s="76"/>
      <c r="CY18" s="110"/>
      <c r="CZ18" s="76"/>
      <c r="DA18" s="110"/>
      <c r="DB18" s="76"/>
      <c r="DC18" s="110"/>
      <c r="DD18" s="76"/>
      <c r="DE18" s="110"/>
      <c r="DF18" s="76"/>
      <c r="DG18" s="110"/>
      <c r="DH18" s="76"/>
      <c r="DI18" s="110"/>
      <c r="DJ18" s="76"/>
      <c r="DK18" s="110"/>
      <c r="DL18" s="76"/>
      <c r="DM18" s="110"/>
      <c r="DN18" s="76"/>
      <c r="DO18" s="111"/>
      <c r="DP18" s="76"/>
      <c r="DQ18" s="111"/>
      <c r="DR18" s="76"/>
      <c r="DS18" s="111"/>
      <c r="DT18" s="76"/>
      <c r="DU18" s="111"/>
      <c r="DV18" s="76"/>
      <c r="DW18" s="111"/>
      <c r="DX18" s="76"/>
      <c r="DY18" s="111"/>
      <c r="DZ18" s="76"/>
      <c r="EA18" s="111"/>
      <c r="EB18" s="76"/>
      <c r="EC18" s="111"/>
      <c r="ED18" s="76"/>
      <c r="EE18" s="111"/>
      <c r="EF18" s="76"/>
      <c r="EG18" s="111"/>
      <c r="EH18" s="76"/>
      <c r="EI18" s="111"/>
      <c r="EJ18" s="76"/>
      <c r="EK18" s="111"/>
      <c r="EL18" s="76"/>
      <c r="EM18" s="111"/>
      <c r="EN18" s="76"/>
      <c r="EO18" s="111"/>
      <c r="EP18" s="76"/>
      <c r="EQ18" s="111"/>
      <c r="ER18" s="76"/>
      <c r="ES18" s="111"/>
      <c r="ET18" s="76"/>
      <c r="EU18" s="111"/>
      <c r="EV18" s="76"/>
      <c r="EW18" s="111"/>
      <c r="EX18" s="76"/>
      <c r="EY18" s="111"/>
      <c r="EZ18" s="76"/>
      <c r="FA18" s="111"/>
      <c r="FB18" s="76"/>
      <c r="FC18" s="111"/>
      <c r="FD18" s="76"/>
      <c r="FE18" s="111"/>
      <c r="FF18" s="76"/>
      <c r="FG18" s="111"/>
      <c r="FH18" s="76"/>
      <c r="FI18" s="111"/>
      <c r="FJ18" s="76"/>
      <c r="FK18" s="111"/>
      <c r="FL18" s="76"/>
      <c r="FM18" s="111"/>
      <c r="FN18" s="76"/>
      <c r="FO18" s="111"/>
      <c r="FP18" s="76"/>
      <c r="FQ18" s="111"/>
      <c r="FR18" s="76"/>
      <c r="FS18" s="111"/>
      <c r="FT18" s="76"/>
      <c r="FU18" s="111"/>
      <c r="FV18" s="76"/>
      <c r="FW18" s="111"/>
      <c r="FX18" s="76"/>
      <c r="FY18" s="111"/>
      <c r="FZ18" s="76"/>
      <c r="GA18" s="111"/>
      <c r="GB18" s="76"/>
      <c r="GC18" s="111"/>
      <c r="GD18" s="76"/>
      <c r="GE18" s="111"/>
      <c r="GF18" s="76"/>
      <c r="GG18" s="111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86"/>
      <c r="GX18" s="86"/>
      <c r="GY18" s="86"/>
      <c r="GZ18" s="86"/>
      <c r="HA18" s="86"/>
      <c r="HB18" s="76"/>
      <c r="HC18" s="86"/>
      <c r="HD18" s="86"/>
      <c r="HE18" s="86"/>
      <c r="HF18" s="86"/>
      <c r="HG18" s="86"/>
    </row>
    <row r="19" spans="1:215" ht="12.75" customHeight="1">
      <c r="A19" s="72" t="s">
        <v>224</v>
      </c>
      <c r="B19" s="76"/>
      <c r="C19" s="112">
        <f>SUM(C20:C23)</f>
        <v>1524807246.4500003</v>
      </c>
      <c r="D19" s="401"/>
      <c r="E19" s="112">
        <f>SUM(E20:E23)</f>
        <v>1449631699.1400003</v>
      </c>
      <c r="F19" s="401"/>
      <c r="G19" s="112">
        <f>SUM(G20:G23)</f>
        <v>1397455000.5</v>
      </c>
      <c r="H19" s="401"/>
      <c r="I19" s="112">
        <v>1432993513.2600002</v>
      </c>
      <c r="J19" s="401"/>
      <c r="K19" s="112">
        <v>1562735841.0900002</v>
      </c>
      <c r="L19" s="401"/>
      <c r="M19" s="112">
        <f>SUM(M20:M23)</f>
        <v>1601378777.9399998</v>
      </c>
      <c r="N19" s="401"/>
      <c r="O19" s="112">
        <f>SUM(O20:O23)</f>
        <v>1643451923.3599999</v>
      </c>
      <c r="P19" s="401"/>
      <c r="Q19" s="112">
        <f>SUM(Q20:Q23)</f>
        <v>1650610924.1199999</v>
      </c>
      <c r="R19" s="401"/>
      <c r="S19" s="112">
        <f>SUM(S20:S23)</f>
        <v>1690634953.25</v>
      </c>
      <c r="T19" s="401"/>
      <c r="U19" s="112">
        <f>SUM(U20:U23)</f>
        <v>1498544537.48</v>
      </c>
      <c r="V19" s="401"/>
      <c r="W19" s="1143">
        <f>SUM(W20:W23)</f>
        <v>1606989988.97</v>
      </c>
      <c r="X19" s="401"/>
      <c r="Y19" s="112">
        <v>1589580862.9899995</v>
      </c>
      <c r="Z19" s="401"/>
      <c r="AA19" s="112">
        <v>1612270658.6499999</v>
      </c>
      <c r="AB19" s="401"/>
      <c r="AC19" s="112">
        <v>1668495519.73</v>
      </c>
      <c r="AD19" s="401"/>
      <c r="AE19" s="112">
        <v>1681343398.1099999</v>
      </c>
      <c r="AF19" s="401"/>
      <c r="AG19" s="112">
        <v>1560434104.9699998</v>
      </c>
      <c r="AH19" s="401"/>
      <c r="AI19" s="112">
        <v>1608322712.6699998</v>
      </c>
      <c r="AJ19" s="401"/>
      <c r="AK19" s="112">
        <v>1454856900.5999999</v>
      </c>
      <c r="AL19" s="401"/>
      <c r="AM19" s="112">
        <v>1460585069.6399999</v>
      </c>
      <c r="AN19" s="401"/>
      <c r="AO19" s="112">
        <v>1408931305.3899999</v>
      </c>
      <c r="AP19" s="401"/>
      <c r="AQ19" s="112">
        <v>1276568959.9800003</v>
      </c>
      <c r="AR19" s="401"/>
      <c r="AS19" s="112">
        <v>1207416371.1999998</v>
      </c>
      <c r="AT19" s="401"/>
      <c r="AU19" s="1112">
        <f>SUM(AU20:AU23)</f>
        <v>1115779755.27</v>
      </c>
      <c r="AV19" s="401"/>
      <c r="AW19" s="112">
        <v>1081394873.78</v>
      </c>
      <c r="AX19" s="401"/>
      <c r="AY19" s="112">
        <v>1100469871.6900001</v>
      </c>
      <c r="AZ19" s="401"/>
      <c r="BA19" s="112">
        <v>932271760.11000001</v>
      </c>
      <c r="BB19" s="401"/>
      <c r="BC19" s="112">
        <v>907493020.87999988</v>
      </c>
      <c r="BD19" s="401"/>
      <c r="BE19" s="112">
        <v>802623759.15999997</v>
      </c>
      <c r="BF19" s="401"/>
      <c r="BG19" s="112">
        <v>650516201.18999994</v>
      </c>
      <c r="BH19" s="401"/>
      <c r="BI19" s="112">
        <v>628130348.01999998</v>
      </c>
      <c r="BJ19" s="401"/>
      <c r="BK19" s="112">
        <v>604940347.25</v>
      </c>
      <c r="BL19" s="401"/>
      <c r="BM19" s="112">
        <v>612865082.37999988</v>
      </c>
      <c r="BN19" s="401"/>
      <c r="BO19" s="112">
        <v>585293729.39999998</v>
      </c>
      <c r="BP19" s="401"/>
      <c r="BQ19" s="112">
        <f>SUM(BQ20:BQ23)</f>
        <v>168034830.11000001</v>
      </c>
      <c r="BR19" s="401"/>
      <c r="BS19" s="1084">
        <f>SUM(BS20:BS23)</f>
        <v>509603001.47999996</v>
      </c>
      <c r="BT19" s="401"/>
      <c r="BU19" s="112">
        <v>554941244.47000003</v>
      </c>
      <c r="BV19" s="401"/>
      <c r="BW19" s="112">
        <v>627960553.5</v>
      </c>
      <c r="BX19" s="401"/>
      <c r="BY19" s="112">
        <v>621433433.18000007</v>
      </c>
      <c r="BZ19" s="401"/>
      <c r="CA19" s="112">
        <v>524404244.10000014</v>
      </c>
      <c r="CB19" s="401"/>
      <c r="CC19" s="112">
        <v>523591623.44999999</v>
      </c>
      <c r="CD19" s="401"/>
      <c r="CE19" s="112">
        <v>547206915.42999995</v>
      </c>
      <c r="CF19" s="401"/>
      <c r="CG19" s="112">
        <v>555554679.84000003</v>
      </c>
      <c r="CH19" s="401"/>
      <c r="CI19" s="112">
        <v>455012790.65999997</v>
      </c>
      <c r="CJ19" s="401"/>
      <c r="CK19" s="112">
        <v>454987526.41000009</v>
      </c>
      <c r="CL19" s="401"/>
      <c r="CM19" s="112">
        <v>448293048.05999988</v>
      </c>
      <c r="CN19" s="401"/>
      <c r="CO19" s="112">
        <f>SUM(CO20:CO23)</f>
        <v>459409255.76999992</v>
      </c>
      <c r="CP19" s="401"/>
      <c r="CQ19" s="112">
        <f>SUM(CQ20:CQ23)</f>
        <v>504726417.92000002</v>
      </c>
      <c r="CR19" s="401"/>
      <c r="CS19" s="112">
        <f>SUM(CS20:CS23)</f>
        <v>420044381.24000001</v>
      </c>
      <c r="CT19" s="76"/>
      <c r="CU19" s="112">
        <f>SUM(CU20:CU23)</f>
        <v>392271320.62999994</v>
      </c>
      <c r="CV19" s="76"/>
      <c r="CW19" s="112">
        <f>SUM(CW20:CW23)</f>
        <v>406504824.00999999</v>
      </c>
      <c r="CX19" s="76"/>
      <c r="CY19" s="112">
        <f>SUM(CY20:CY23)</f>
        <v>400849059.55000001</v>
      </c>
      <c r="CZ19" s="76"/>
      <c r="DA19" s="112">
        <f>SUM(DA20:DA23)</f>
        <v>316911228.44</v>
      </c>
      <c r="DB19" s="76"/>
      <c r="DC19" s="112">
        <f>SUM(DC20:DC23)</f>
        <v>317194030.88</v>
      </c>
      <c r="DD19" s="76"/>
      <c r="DE19" s="112">
        <f>SUM(DE20:DE23)</f>
        <v>283678864</v>
      </c>
      <c r="DF19" s="76"/>
      <c r="DG19" s="112">
        <f>SUM(DG20:DG23)</f>
        <v>250826424.18000001</v>
      </c>
      <c r="DH19" s="76"/>
      <c r="DI19" s="112">
        <f>SUM(DI20:DI23)</f>
        <v>213201399.44</v>
      </c>
      <c r="DJ19" s="76"/>
      <c r="DK19" s="112">
        <f>SUM(DK20:DK23)</f>
        <v>217669358.51999998</v>
      </c>
      <c r="DL19" s="76"/>
      <c r="DM19" s="112">
        <f>SUM(DM20:DM23)</f>
        <v>198902888.30000001</v>
      </c>
      <c r="DN19" s="76"/>
      <c r="DO19" s="67">
        <v>197956625.76999998</v>
      </c>
      <c r="DP19" s="76"/>
      <c r="DQ19" s="67">
        <v>166311431.34</v>
      </c>
      <c r="DR19" s="76"/>
      <c r="DS19" s="67">
        <v>166160832.65009424</v>
      </c>
      <c r="DT19" s="76"/>
      <c r="DU19" s="67">
        <v>182521275.55000001</v>
      </c>
      <c r="DV19" s="76"/>
      <c r="DW19" s="67">
        <v>205911185.32888889</v>
      </c>
      <c r="DX19" s="76"/>
      <c r="DY19" s="67">
        <v>218878725.59999999</v>
      </c>
      <c r="DZ19" s="76"/>
      <c r="EA19" s="67">
        <v>170185040.73402435</v>
      </c>
      <c r="EB19" s="76"/>
      <c r="EC19" s="67">
        <v>168516068.60000002</v>
      </c>
      <c r="ED19" s="76"/>
      <c r="EE19" s="67">
        <v>169839702.75</v>
      </c>
      <c r="EF19" s="76"/>
      <c r="EG19" s="67">
        <v>167833112.65000001</v>
      </c>
      <c r="EH19" s="76"/>
      <c r="EI19" s="67">
        <v>164864408.34999999</v>
      </c>
      <c r="EJ19" s="76"/>
      <c r="EK19" s="67">
        <v>167746747.16999999</v>
      </c>
      <c r="EL19" s="76"/>
      <c r="EM19" s="67">
        <v>170919320.22999999</v>
      </c>
      <c r="EN19" s="76"/>
      <c r="EO19" s="67">
        <v>171346879.79999998</v>
      </c>
      <c r="EP19" s="76"/>
      <c r="EQ19" s="67">
        <v>169801936.16700003</v>
      </c>
      <c r="ER19" s="76"/>
      <c r="ES19" s="67">
        <v>135948444.09999999</v>
      </c>
      <c r="ET19" s="76"/>
      <c r="EU19" s="67">
        <v>90882704.780000001</v>
      </c>
      <c r="EV19" s="76"/>
      <c r="EW19" s="67">
        <v>68753566.379999995</v>
      </c>
      <c r="EX19" s="76"/>
      <c r="EY19" s="67">
        <v>66177709.189999998</v>
      </c>
      <c r="EZ19" s="76"/>
      <c r="FA19" s="67">
        <v>69019819.460000008</v>
      </c>
      <c r="FB19" s="76"/>
      <c r="FC19" s="67">
        <v>72353338.75</v>
      </c>
      <c r="FD19" s="76"/>
      <c r="FE19" s="67">
        <v>68829038.520000011</v>
      </c>
      <c r="FF19" s="76"/>
      <c r="FG19" s="67">
        <v>68141454.420000002</v>
      </c>
      <c r="FH19" s="76"/>
      <c r="FI19" s="67">
        <v>67352958.079999998</v>
      </c>
      <c r="FJ19" s="76"/>
      <c r="FK19" s="67">
        <v>57137046.109999992</v>
      </c>
      <c r="FL19" s="76"/>
      <c r="FM19" s="67">
        <v>56752312.859999999</v>
      </c>
      <c r="FN19" s="76"/>
      <c r="FO19" s="67">
        <v>61946007.719999991</v>
      </c>
      <c r="FP19" s="76"/>
      <c r="FQ19" s="67">
        <v>46597952.190000005</v>
      </c>
      <c r="FR19" s="76"/>
      <c r="FS19" s="67">
        <v>48160349.859999999</v>
      </c>
      <c r="FT19" s="76"/>
      <c r="FU19" s="67">
        <v>27163674.359999999</v>
      </c>
      <c r="FV19" s="76"/>
      <c r="FW19" s="67">
        <v>22776146.559999999</v>
      </c>
      <c r="FX19" s="76"/>
      <c r="FY19" s="67">
        <v>19680034.020000003</v>
      </c>
      <c r="FZ19" s="76"/>
      <c r="GA19" s="67">
        <v>15033518.66</v>
      </c>
      <c r="GB19" s="76"/>
      <c r="GC19" s="67">
        <v>14653918.340000002</v>
      </c>
      <c r="GD19" s="76"/>
      <c r="GE19" s="67">
        <v>13263948.52</v>
      </c>
      <c r="GF19" s="76"/>
      <c r="GG19" s="67">
        <v>13074513</v>
      </c>
      <c r="GH19" s="76"/>
      <c r="GI19" s="73">
        <v>12947422.411999999</v>
      </c>
      <c r="GJ19" s="76"/>
      <c r="GK19" s="73">
        <v>8857458.311999999</v>
      </c>
      <c r="GL19" s="76"/>
      <c r="GM19" s="73">
        <v>9206385.2620000001</v>
      </c>
      <c r="GN19" s="76"/>
      <c r="GO19" s="73">
        <v>11045328.512</v>
      </c>
      <c r="GP19" s="76"/>
      <c r="GQ19" s="73">
        <v>10613452.962000001</v>
      </c>
      <c r="GR19" s="76"/>
      <c r="GS19" s="73">
        <v>7786096.9720000001</v>
      </c>
      <c r="GT19" s="76"/>
      <c r="GU19" s="73">
        <v>8173921.2319999998</v>
      </c>
      <c r="GV19" s="76"/>
      <c r="GW19" s="73">
        <v>7593114.3800000008</v>
      </c>
      <c r="GX19" s="73"/>
      <c r="GY19" s="73">
        <v>7521559.6600000001</v>
      </c>
      <c r="GZ19" s="73"/>
      <c r="HA19" s="73">
        <v>5449413.4100000001</v>
      </c>
      <c r="HB19" s="76"/>
      <c r="HC19" s="73">
        <v>4987734.0200000005</v>
      </c>
      <c r="HD19" s="73"/>
      <c r="HE19" s="73">
        <v>4884636.7</v>
      </c>
      <c r="HF19" s="73"/>
      <c r="HG19" s="73">
        <v>5308458.9099999992</v>
      </c>
    </row>
    <row r="20" spans="1:215" ht="12.75" customHeight="1">
      <c r="A20" s="76" t="s">
        <v>225</v>
      </c>
      <c r="B20" s="76"/>
      <c r="C20" s="113">
        <v>14372854.060000001</v>
      </c>
      <c r="D20" s="401"/>
      <c r="E20" s="113">
        <v>14799233.52</v>
      </c>
      <c r="F20" s="401"/>
      <c r="G20" s="113">
        <v>14732573.810000001</v>
      </c>
      <c r="H20" s="401"/>
      <c r="I20" s="113">
        <v>15644558.859999999</v>
      </c>
      <c r="J20" s="401"/>
      <c r="K20" s="113">
        <v>16063835.939999999</v>
      </c>
      <c r="L20" s="401"/>
      <c r="M20" s="113">
        <v>16474672.09</v>
      </c>
      <c r="N20" s="401"/>
      <c r="O20" s="113">
        <v>16881217.190000001</v>
      </c>
      <c r="P20" s="401"/>
      <c r="Q20" s="113">
        <v>17288779.18</v>
      </c>
      <c r="R20" s="401"/>
      <c r="S20" s="113">
        <v>17687636.68</v>
      </c>
      <c r="T20" s="401"/>
      <c r="U20" s="113">
        <v>18088247.170000002</v>
      </c>
      <c r="V20" s="401"/>
      <c r="W20" s="1144">
        <v>13078782.99</v>
      </c>
      <c r="X20" s="401"/>
      <c r="Y20" s="113">
        <v>13329867.859999999</v>
      </c>
      <c r="Z20" s="401"/>
      <c r="AA20" s="113">
        <v>13566381.449999999</v>
      </c>
      <c r="AB20" s="401"/>
      <c r="AC20" s="113">
        <v>13800658.75</v>
      </c>
      <c r="AD20" s="401"/>
      <c r="AE20" s="113">
        <v>14037002.310000001</v>
      </c>
      <c r="AF20" s="401"/>
      <c r="AG20" s="113">
        <v>8602937.75</v>
      </c>
      <c r="AH20" s="401"/>
      <c r="AI20" s="113">
        <v>8894529.1999999993</v>
      </c>
      <c r="AJ20" s="401"/>
      <c r="AK20" s="113">
        <v>9182015.6199999992</v>
      </c>
      <c r="AL20" s="401"/>
      <c r="AM20" s="113">
        <v>9467466.0199999996</v>
      </c>
      <c r="AN20" s="401"/>
      <c r="AO20" s="113">
        <v>9753130.8000000007</v>
      </c>
      <c r="AP20" s="401"/>
      <c r="AQ20" s="113">
        <v>10034536.58</v>
      </c>
      <c r="AR20" s="401"/>
      <c r="AS20" s="113">
        <v>10316314.189999999</v>
      </c>
      <c r="AT20" s="401"/>
      <c r="AU20" s="1113">
        <v>10593731.82</v>
      </c>
      <c r="AV20" s="401"/>
      <c r="AW20" s="113">
        <v>10874169.060000001</v>
      </c>
      <c r="AX20" s="401"/>
      <c r="AY20" s="887">
        <v>11134972.74</v>
      </c>
      <c r="AZ20" s="401"/>
      <c r="BA20" s="113">
        <v>11393923.939999999</v>
      </c>
      <c r="BB20" s="401"/>
      <c r="BC20" s="113">
        <v>5906797.5099999998</v>
      </c>
      <c r="BD20" s="401"/>
      <c r="BE20" s="113">
        <v>6036588.3399999999</v>
      </c>
      <c r="BF20" s="401"/>
      <c r="BG20" s="113">
        <v>6166836.3899999997</v>
      </c>
      <c r="BH20" s="401"/>
      <c r="BI20" s="113">
        <v>6294907.8899999997</v>
      </c>
      <c r="BJ20" s="401"/>
      <c r="BK20" s="113">
        <v>6422132.6200000001</v>
      </c>
      <c r="BL20" s="401"/>
      <c r="BM20" s="113">
        <v>6549913.25</v>
      </c>
      <c r="BN20" s="401"/>
      <c r="BO20" s="113">
        <v>3433765.93</v>
      </c>
      <c r="BP20" s="401"/>
      <c r="BQ20" s="113">
        <v>3577980.74</v>
      </c>
      <c r="BR20" s="401"/>
      <c r="BS20" s="1085">
        <v>3720280.11</v>
      </c>
      <c r="BT20" s="401"/>
      <c r="BU20" s="113">
        <v>3863831.64</v>
      </c>
      <c r="BV20" s="401"/>
      <c r="BW20" s="113">
        <v>3992253.14</v>
      </c>
      <c r="BX20" s="401"/>
      <c r="BY20" s="113">
        <v>4119728.49</v>
      </c>
      <c r="BZ20" s="401"/>
      <c r="CA20" s="113">
        <v>4247275.99</v>
      </c>
      <c r="CB20" s="401"/>
      <c r="CC20" s="113">
        <v>4372872.6399999997</v>
      </c>
      <c r="CD20" s="401"/>
      <c r="CE20" s="113">
        <v>4498615.24</v>
      </c>
      <c r="CF20" s="401"/>
      <c r="CG20" s="113">
        <v>4622360.79</v>
      </c>
      <c r="CH20" s="401"/>
      <c r="CI20" s="113">
        <v>4745195.2</v>
      </c>
      <c r="CJ20" s="401"/>
      <c r="CK20" s="113">
        <v>4868284.0199999996</v>
      </c>
      <c r="CL20" s="401"/>
      <c r="CM20" s="113">
        <f>4989307.87</f>
        <v>4989307.87</v>
      </c>
      <c r="CN20" s="401"/>
      <c r="CO20" s="113">
        <v>5110657.2300000004</v>
      </c>
      <c r="CP20" s="401"/>
      <c r="CQ20" s="113">
        <v>5229931.58</v>
      </c>
      <c r="CR20" s="401"/>
      <c r="CS20" s="113">
        <v>3358531.88</v>
      </c>
      <c r="CT20" s="76"/>
      <c r="CU20" s="113">
        <v>3443025.7</v>
      </c>
      <c r="CV20" s="76"/>
      <c r="CW20" s="113">
        <v>3526835</v>
      </c>
      <c r="CX20" s="76"/>
      <c r="CY20" s="113">
        <v>980402.33</v>
      </c>
      <c r="CZ20" s="76"/>
      <c r="DA20" s="113">
        <v>973109.58</v>
      </c>
      <c r="DB20" s="76"/>
      <c r="DC20" s="113">
        <v>1190363.69</v>
      </c>
      <c r="DD20" s="76"/>
      <c r="DE20" s="113">
        <v>1294294.92</v>
      </c>
      <c r="DF20" s="76"/>
      <c r="DG20" s="113">
        <v>1389245.83</v>
      </c>
      <c r="DH20" s="76"/>
      <c r="DI20" s="113">
        <v>1483563.24</v>
      </c>
      <c r="DJ20" s="76"/>
      <c r="DK20" s="113">
        <v>1577251.37</v>
      </c>
      <c r="DL20" s="76"/>
      <c r="DM20" s="113">
        <v>1670314.43</v>
      </c>
      <c r="DN20" s="76"/>
      <c r="DO20" s="114">
        <v>1762756.58</v>
      </c>
      <c r="DP20" s="76"/>
      <c r="DQ20" s="114">
        <v>1854581.97</v>
      </c>
      <c r="DR20" s="76"/>
      <c r="DS20" s="114">
        <v>1945794.71</v>
      </c>
      <c r="DT20" s="76"/>
      <c r="DU20" s="114">
        <v>2036398.89</v>
      </c>
      <c r="DV20" s="76"/>
      <c r="DW20" s="114">
        <v>2126398.5699999998</v>
      </c>
      <c r="DX20" s="76"/>
      <c r="DY20" s="114">
        <v>2200989.79</v>
      </c>
      <c r="DZ20" s="76"/>
      <c r="EA20" s="114">
        <v>2275083.35</v>
      </c>
      <c r="EB20" s="76"/>
      <c r="EC20" s="113">
        <v>2348682.5699999998</v>
      </c>
      <c r="ED20" s="76"/>
      <c r="EE20" s="114">
        <v>2414117.7000000002</v>
      </c>
      <c r="EF20" s="76"/>
      <c r="EG20" s="113">
        <v>2479116.23</v>
      </c>
      <c r="EH20" s="76"/>
      <c r="EI20" s="113">
        <v>2840978.91</v>
      </c>
      <c r="EJ20" s="76"/>
      <c r="EK20" s="113">
        <v>2918572.62</v>
      </c>
      <c r="EL20" s="76"/>
      <c r="EM20" s="113">
        <v>2996166.33</v>
      </c>
      <c r="EN20" s="76"/>
      <c r="EO20" s="113">
        <v>3067780.04</v>
      </c>
      <c r="EP20" s="76"/>
      <c r="EQ20" s="114">
        <v>3139393.75</v>
      </c>
      <c r="ER20" s="76"/>
      <c r="ES20" s="114">
        <v>3211007.46</v>
      </c>
      <c r="ET20" s="76"/>
      <c r="EU20" s="114">
        <v>3282621.17</v>
      </c>
      <c r="EV20" s="76"/>
      <c r="EW20" s="114">
        <v>3364062.3</v>
      </c>
      <c r="EX20" s="76"/>
      <c r="EY20" s="114">
        <v>3430762.3</v>
      </c>
      <c r="EZ20" s="76"/>
      <c r="FA20" s="115"/>
      <c r="FB20" s="76"/>
      <c r="FC20" s="115"/>
      <c r="FD20" s="76"/>
      <c r="FE20" s="115"/>
      <c r="FF20" s="76"/>
      <c r="FG20" s="115"/>
      <c r="FH20" s="76"/>
      <c r="FI20" s="115"/>
      <c r="FJ20" s="76"/>
      <c r="FK20" s="115"/>
      <c r="FL20" s="76"/>
      <c r="FM20" s="115"/>
      <c r="FN20" s="76"/>
      <c r="FO20" s="115"/>
      <c r="FP20" s="76"/>
      <c r="FQ20" s="115"/>
      <c r="FR20" s="76"/>
      <c r="FS20" s="115"/>
      <c r="FT20" s="76"/>
      <c r="FU20" s="115"/>
      <c r="FV20" s="76"/>
      <c r="FW20" s="115"/>
      <c r="FX20" s="76"/>
      <c r="FY20" s="115"/>
      <c r="FZ20" s="76"/>
      <c r="GA20" s="115"/>
      <c r="GB20" s="76"/>
      <c r="GC20" s="115"/>
      <c r="GD20" s="76"/>
      <c r="GE20" s="115"/>
      <c r="GF20" s="76"/>
      <c r="GG20" s="115"/>
      <c r="GH20" s="76"/>
      <c r="GI20" s="116"/>
      <c r="GJ20" s="76"/>
      <c r="GK20" s="116"/>
      <c r="GL20" s="76"/>
      <c r="GM20" s="116"/>
      <c r="GN20" s="76"/>
      <c r="GO20" s="116"/>
      <c r="GP20" s="76"/>
      <c r="GQ20" s="116"/>
      <c r="GR20" s="76"/>
      <c r="GS20" s="116"/>
      <c r="GT20" s="76"/>
      <c r="GU20" s="116"/>
      <c r="GV20" s="76"/>
      <c r="GW20" s="116"/>
      <c r="GX20" s="73"/>
      <c r="GY20" s="116"/>
      <c r="GZ20" s="73"/>
      <c r="HA20" s="116"/>
      <c r="HB20" s="76"/>
      <c r="HC20" s="116"/>
      <c r="HD20" s="73"/>
      <c r="HE20" s="116"/>
      <c r="HF20" s="73"/>
      <c r="HG20" s="73"/>
    </row>
    <row r="21" spans="1:215" ht="12.75" customHeight="1">
      <c r="A21" s="76" t="s">
        <v>226</v>
      </c>
      <c r="B21" s="87" t="s">
        <v>227</v>
      </c>
      <c r="C21" s="88">
        <f>+'Notes - Dec25'!C68</f>
        <v>56917884.770000003</v>
      </c>
      <c r="D21" s="939"/>
      <c r="E21" s="88">
        <f>+'Notes - Dec25'!E68</f>
        <v>48856904.890000008</v>
      </c>
      <c r="F21" s="939"/>
      <c r="G21" s="88">
        <f>+'Notes - Dec25'!G68</f>
        <v>70464383.74000001</v>
      </c>
      <c r="H21" s="939"/>
      <c r="I21" s="88">
        <v>101792951.27</v>
      </c>
      <c r="J21" s="939"/>
      <c r="K21" s="88">
        <v>95634007.189999998</v>
      </c>
      <c r="L21" s="939"/>
      <c r="M21" s="88">
        <f>'Notes - Dec25'!M68</f>
        <v>96113838.150000006</v>
      </c>
      <c r="N21" s="939"/>
      <c r="O21" s="88">
        <f>'Notes - Dec25'!O68</f>
        <v>101125224.45</v>
      </c>
      <c r="P21" s="939"/>
      <c r="Q21" s="88">
        <f>'Notes - Dec25'!Q68</f>
        <v>106078985.05</v>
      </c>
      <c r="R21" s="939"/>
      <c r="S21" s="88">
        <f>'Notes - Dec25'!S68-1</f>
        <v>84062316.25999999</v>
      </c>
      <c r="T21" s="939"/>
      <c r="U21" s="88">
        <f>'Notes - Dec25'!U68-1</f>
        <v>79705449.290000007</v>
      </c>
      <c r="V21" s="939"/>
      <c r="W21" s="1138">
        <f>'Notes - Dec25'!W68</f>
        <v>73153885.359999999</v>
      </c>
      <c r="X21" s="939"/>
      <c r="Y21" s="88">
        <v>46292579.969999999</v>
      </c>
      <c r="Z21" s="939"/>
      <c r="AA21" s="88">
        <v>57676190.770000003</v>
      </c>
      <c r="AB21" s="939"/>
      <c r="AC21" s="88">
        <v>68058090.730000004</v>
      </c>
      <c r="AD21" s="939"/>
      <c r="AE21" s="88">
        <v>61513708.519999996</v>
      </c>
      <c r="AF21" s="939"/>
      <c r="AG21" s="88">
        <v>59664890.329999998</v>
      </c>
      <c r="AH21" s="939"/>
      <c r="AI21" s="88">
        <v>58427121.399999999</v>
      </c>
      <c r="AJ21" s="939"/>
      <c r="AK21" s="88">
        <v>66119932.260000005</v>
      </c>
      <c r="AL21" s="939"/>
      <c r="AM21" s="88">
        <v>63145281.810000002</v>
      </c>
      <c r="AN21" s="939"/>
      <c r="AO21" s="88">
        <v>66412374.520000003</v>
      </c>
      <c r="AP21" s="939"/>
      <c r="AQ21" s="88">
        <v>58859748.120000005</v>
      </c>
      <c r="AR21" s="939"/>
      <c r="AS21" s="88">
        <v>69045078.829999998</v>
      </c>
      <c r="AT21" s="407"/>
      <c r="AU21" s="1107">
        <f>'Notes - Dec25'!AU68</f>
        <v>84620866.629999995</v>
      </c>
      <c r="AV21" s="407"/>
      <c r="AW21" s="88">
        <v>55846025.109999999</v>
      </c>
      <c r="AX21" s="407"/>
      <c r="AY21" s="884">
        <v>54766118.469999991</v>
      </c>
      <c r="AZ21" s="407"/>
      <c r="BA21" s="88">
        <v>57252207.630000003</v>
      </c>
      <c r="BB21" s="407"/>
      <c r="BC21" s="88">
        <v>47474945.559999995</v>
      </c>
      <c r="BD21" s="407"/>
      <c r="BE21" s="88">
        <v>40408678.459999993</v>
      </c>
      <c r="BF21" s="407"/>
      <c r="BG21" s="88">
        <v>39233177.169999994</v>
      </c>
      <c r="BH21" s="407"/>
      <c r="BI21" s="88">
        <v>39406013.079999998</v>
      </c>
      <c r="BJ21" s="407"/>
      <c r="BK21" s="88">
        <v>37682454.829999998</v>
      </c>
      <c r="BL21" s="407"/>
      <c r="BM21" s="88">
        <v>35515182.669999994</v>
      </c>
      <c r="BN21" s="407"/>
      <c r="BO21" s="88">
        <v>31397066.060000002</v>
      </c>
      <c r="BP21" s="407"/>
      <c r="BQ21" s="88">
        <f>+'Notes - Dec25'!DQ68</f>
        <v>2889748.07</v>
      </c>
      <c r="BR21" s="407"/>
      <c r="BS21" s="1079">
        <v>18085131.82</v>
      </c>
      <c r="BT21" s="407"/>
      <c r="BU21" s="88">
        <v>15147152.390000001</v>
      </c>
      <c r="BV21" s="407"/>
      <c r="BW21" s="88">
        <v>16580464.140000001</v>
      </c>
      <c r="BX21" s="407"/>
      <c r="BY21" s="88">
        <v>12304795.719999999</v>
      </c>
      <c r="BZ21" s="407"/>
      <c r="CA21" s="88">
        <v>5167189.9800000004</v>
      </c>
      <c r="CB21" s="407"/>
      <c r="CC21" s="88">
        <v>923254.59000000102</v>
      </c>
      <c r="CD21" s="407"/>
      <c r="CE21" s="88">
        <v>-763362.2</v>
      </c>
      <c r="CF21" s="407"/>
      <c r="CG21" s="88">
        <v>3136152.0399999996</v>
      </c>
      <c r="CH21" s="407"/>
      <c r="CI21" s="88">
        <v>5188609.8699999992</v>
      </c>
      <c r="CJ21" s="407"/>
      <c r="CK21" s="88">
        <v>8944969.3300000001</v>
      </c>
      <c r="CL21" s="407"/>
      <c r="CM21" s="88">
        <v>6970371.5199999996</v>
      </c>
      <c r="CN21" s="407"/>
      <c r="CO21" s="88">
        <f>+'Notes - Dec25'!CO68</f>
        <v>17254037.980000004</v>
      </c>
      <c r="CP21" s="407"/>
      <c r="CQ21" s="88">
        <f>+'Notes - Dec25'!CQ68</f>
        <v>11543877.469999999</v>
      </c>
      <c r="CR21" s="407"/>
      <c r="CS21" s="88">
        <f>+'Notes - Dec25'!CS68</f>
        <v>9276003.370000001</v>
      </c>
      <c r="CT21" s="89"/>
      <c r="CU21" s="88">
        <f>+'Notes - Dec25'!CU68</f>
        <v>5943331.7199999997</v>
      </c>
      <c r="CV21" s="89"/>
      <c r="CW21" s="88">
        <f>+'Notes - Dec25'!CW68</f>
        <v>10357142.25</v>
      </c>
      <c r="CX21" s="89"/>
      <c r="CY21" s="88">
        <f>+'Notes - Dec25'!CY68</f>
        <v>8774948.8500000015</v>
      </c>
      <c r="CZ21" s="89"/>
      <c r="DA21" s="88">
        <f>+'Notes - Dec25'!DA68</f>
        <v>8716059.7200000007</v>
      </c>
      <c r="DB21" s="89"/>
      <c r="DC21" s="88">
        <f>+'Notes - Dec25'!DC68</f>
        <v>8028682.0899999999</v>
      </c>
      <c r="DD21" s="89"/>
      <c r="DE21" s="88">
        <f>+'Notes - Dec25'!DE68</f>
        <v>10028322.340000002</v>
      </c>
      <c r="DF21" s="89"/>
      <c r="DG21" s="88">
        <f>+'Notes - Dec25'!DG68</f>
        <v>12970283.76</v>
      </c>
      <c r="DH21" s="89"/>
      <c r="DI21" s="88">
        <f>+'Notes - Dec25'!DI68</f>
        <v>9992336.6899999995</v>
      </c>
      <c r="DJ21" s="89"/>
      <c r="DK21" s="88">
        <f>+'Notes - Dec25'!DK68</f>
        <v>7359064.3000000007</v>
      </c>
      <c r="DL21" s="89"/>
      <c r="DM21" s="88">
        <f>+'Notes - Dec25'!DM68</f>
        <v>6410327.3499999996</v>
      </c>
      <c r="DN21" s="89"/>
      <c r="DO21" s="90">
        <v>3786626.8</v>
      </c>
      <c r="DP21" s="89"/>
      <c r="DQ21" s="90">
        <v>2889748.07</v>
      </c>
      <c r="DR21" s="89"/>
      <c r="DS21" s="90">
        <v>4376458.8278275616</v>
      </c>
      <c r="DT21" s="89"/>
      <c r="DU21" s="90">
        <v>7402248.3405810297</v>
      </c>
      <c r="DV21" s="89"/>
      <c r="DW21" s="90">
        <v>8659608.6250263136</v>
      </c>
      <c r="DX21" s="89"/>
      <c r="DY21" s="90">
        <v>6621626.8900000006</v>
      </c>
      <c r="DZ21" s="89"/>
      <c r="EA21" s="90">
        <v>6170585.3499999996</v>
      </c>
      <c r="EB21" s="89"/>
      <c r="EC21" s="90">
        <v>4224449.0599999996</v>
      </c>
      <c r="ED21" s="89"/>
      <c r="EE21" s="90">
        <v>8793020.3100000005</v>
      </c>
      <c r="EF21" s="89"/>
      <c r="EG21" s="90">
        <v>-4348680.5771474084</v>
      </c>
      <c r="EH21" s="89"/>
      <c r="EI21" s="90">
        <v>-10107344.449999999</v>
      </c>
      <c r="EJ21" s="89"/>
      <c r="EK21" s="90">
        <v>-7551822.2300000014</v>
      </c>
      <c r="EL21" s="89"/>
      <c r="EM21" s="90">
        <v>-215808.79000000021</v>
      </c>
      <c r="EN21" s="89"/>
      <c r="EO21" s="90">
        <v>3501535.1700000009</v>
      </c>
      <c r="EP21" s="89"/>
      <c r="EQ21" s="88">
        <v>4724630.5199999996</v>
      </c>
      <c r="ER21" s="89"/>
      <c r="ES21" s="88">
        <v>2352513.23</v>
      </c>
      <c r="ET21" s="89"/>
      <c r="EU21" s="88">
        <v>623716.17999999982</v>
      </c>
      <c r="EV21" s="89"/>
      <c r="EW21" s="88">
        <v>1879523.2799999998</v>
      </c>
      <c r="EX21" s="89"/>
      <c r="EY21" s="88">
        <v>1919971.0500000003</v>
      </c>
      <c r="EZ21" s="89"/>
      <c r="FA21" s="88">
        <v>3887097.4200000004</v>
      </c>
      <c r="FB21" s="89"/>
      <c r="FC21" s="88">
        <v>1759172.72</v>
      </c>
      <c r="FD21" s="89"/>
      <c r="FE21" s="88">
        <v>1066617.22</v>
      </c>
      <c r="FF21" s="89"/>
      <c r="FG21" s="88">
        <v>1168889.3699999999</v>
      </c>
      <c r="FH21" s="89"/>
      <c r="FI21" s="88">
        <v>1077597.8600000001</v>
      </c>
      <c r="FJ21" s="89"/>
      <c r="FK21" s="88">
        <v>1205336.79</v>
      </c>
      <c r="FL21" s="89"/>
      <c r="FM21" s="88">
        <v>768601.3899999999</v>
      </c>
      <c r="FN21" s="89"/>
      <c r="FO21" s="88">
        <v>775038.76</v>
      </c>
      <c r="FP21" s="89"/>
      <c r="FQ21" s="88">
        <v>1057596.56</v>
      </c>
      <c r="FR21" s="89"/>
      <c r="FS21" s="90">
        <v>424618.05000000005</v>
      </c>
      <c r="FT21" s="89"/>
      <c r="FU21" s="90">
        <v>175149.64</v>
      </c>
      <c r="FV21" s="89"/>
      <c r="FW21" s="90">
        <v>-71103.500000000058</v>
      </c>
      <c r="FX21" s="89"/>
      <c r="FY21" s="90">
        <v>630883.41999999993</v>
      </c>
      <c r="FZ21" s="89"/>
      <c r="GA21" s="90">
        <v>629747.63000000012</v>
      </c>
      <c r="GB21" s="89"/>
      <c r="GC21" s="90">
        <v>805272.14</v>
      </c>
      <c r="GD21" s="89"/>
      <c r="GE21" s="90">
        <v>622559.5</v>
      </c>
      <c r="GF21" s="89"/>
      <c r="GG21" s="90">
        <v>744652.29</v>
      </c>
      <c r="GH21" s="89"/>
      <c r="GI21" s="92">
        <v>719443.39999999991</v>
      </c>
      <c r="GJ21" s="76"/>
      <c r="GK21" s="92">
        <v>367365.93</v>
      </c>
      <c r="GL21" s="76"/>
      <c r="GM21" s="92">
        <v>299414.55</v>
      </c>
      <c r="GN21" s="76"/>
      <c r="GO21" s="92">
        <v>253415.33000000002</v>
      </c>
      <c r="GP21" s="76"/>
      <c r="GQ21" s="92">
        <v>241124.36</v>
      </c>
      <c r="GR21" s="76"/>
      <c r="GS21" s="92">
        <v>330502.96999999997</v>
      </c>
      <c r="GT21" s="76"/>
      <c r="GU21" s="92">
        <v>381313.55</v>
      </c>
      <c r="GV21" s="76"/>
      <c r="GW21" s="92">
        <v>301329.86</v>
      </c>
      <c r="GX21" s="70"/>
      <c r="GY21" s="92">
        <v>313289</v>
      </c>
      <c r="GZ21" s="70"/>
      <c r="HA21" s="92">
        <v>197748.61</v>
      </c>
      <c r="HB21" s="76"/>
      <c r="HC21" s="92">
        <v>178343.37</v>
      </c>
      <c r="HD21" s="73"/>
      <c r="HE21" s="92">
        <v>50705.66</v>
      </c>
      <c r="HF21" s="73"/>
      <c r="HG21" s="70">
        <v>41053.300000000003</v>
      </c>
    </row>
    <row r="22" spans="1:215" ht="12.75" customHeight="1" outlineLevel="1">
      <c r="A22" s="76" t="s">
        <v>228</v>
      </c>
      <c r="B22" s="87" t="s">
        <v>229</v>
      </c>
      <c r="C22" s="88">
        <v>0</v>
      </c>
      <c r="D22" s="407"/>
      <c r="E22" s="88">
        <v>0</v>
      </c>
      <c r="F22" s="407"/>
      <c r="G22" s="88">
        <v>0</v>
      </c>
      <c r="H22" s="407"/>
      <c r="I22" s="88">
        <v>0</v>
      </c>
      <c r="J22" s="407"/>
      <c r="K22" s="88">
        <v>0</v>
      </c>
      <c r="L22" s="407"/>
      <c r="M22" s="88">
        <v>0</v>
      </c>
      <c r="N22" s="407"/>
      <c r="O22" s="88">
        <v>0</v>
      </c>
      <c r="P22" s="407"/>
      <c r="Q22" s="88">
        <v>0</v>
      </c>
      <c r="R22" s="407"/>
      <c r="S22" s="88">
        <v>0</v>
      </c>
      <c r="T22" s="407"/>
      <c r="U22" s="88">
        <v>0</v>
      </c>
      <c r="V22" s="407"/>
      <c r="W22" s="1138">
        <v>0</v>
      </c>
      <c r="X22" s="407"/>
      <c r="Y22" s="88">
        <v>0</v>
      </c>
      <c r="Z22" s="407"/>
      <c r="AA22" s="88">
        <v>0</v>
      </c>
      <c r="AB22" s="407"/>
      <c r="AC22" s="88">
        <v>0</v>
      </c>
      <c r="AD22" s="407"/>
      <c r="AE22" s="88">
        <v>0</v>
      </c>
      <c r="AF22" s="407"/>
      <c r="AG22" s="88">
        <v>0</v>
      </c>
      <c r="AH22" s="407"/>
      <c r="AI22" s="88">
        <v>0</v>
      </c>
      <c r="AJ22" s="407"/>
      <c r="AK22" s="88">
        <v>0</v>
      </c>
      <c r="AL22" s="407"/>
      <c r="AM22" s="88">
        <v>0</v>
      </c>
      <c r="AN22" s="407"/>
      <c r="AO22" s="88">
        <v>0</v>
      </c>
      <c r="AP22" s="407"/>
      <c r="AQ22" s="88">
        <v>0</v>
      </c>
      <c r="AR22" s="407"/>
      <c r="AS22" s="88">
        <v>0</v>
      </c>
      <c r="AT22" s="407"/>
      <c r="AU22" s="1107">
        <v>0</v>
      </c>
      <c r="AV22" s="407"/>
      <c r="AW22" s="88">
        <v>0</v>
      </c>
      <c r="AX22" s="407"/>
      <c r="AY22" s="884">
        <v>0</v>
      </c>
      <c r="AZ22" s="407"/>
      <c r="BA22" s="88">
        <v>0</v>
      </c>
      <c r="BB22" s="407"/>
      <c r="BC22" s="88">
        <v>0</v>
      </c>
      <c r="BD22" s="407"/>
      <c r="BE22" s="88">
        <v>0</v>
      </c>
      <c r="BF22" s="407"/>
      <c r="BG22" s="88">
        <v>0</v>
      </c>
      <c r="BH22" s="407"/>
      <c r="BI22" s="88">
        <v>0</v>
      </c>
      <c r="BJ22" s="407"/>
      <c r="BK22" s="88">
        <v>0</v>
      </c>
      <c r="BL22" s="407"/>
      <c r="BM22" s="88">
        <v>0</v>
      </c>
      <c r="BN22" s="407"/>
      <c r="BO22" s="88">
        <v>0</v>
      </c>
      <c r="BP22" s="407"/>
      <c r="BQ22" s="88">
        <v>0</v>
      </c>
      <c r="BR22" s="407"/>
      <c r="BS22" s="1079">
        <v>0</v>
      </c>
      <c r="BT22" s="407"/>
      <c r="BU22" s="88">
        <v>0</v>
      </c>
      <c r="BV22" s="407"/>
      <c r="BW22" s="88">
        <v>0</v>
      </c>
      <c r="BX22" s="407"/>
      <c r="BY22" s="88">
        <v>0</v>
      </c>
      <c r="BZ22" s="407"/>
      <c r="CA22" s="88">
        <v>0</v>
      </c>
      <c r="CB22" s="407"/>
      <c r="CC22" s="88">
        <v>0</v>
      </c>
      <c r="CD22" s="407"/>
      <c r="CE22" s="88">
        <v>0</v>
      </c>
      <c r="CF22" s="407"/>
      <c r="CG22" s="88">
        <v>0</v>
      </c>
      <c r="CH22" s="407"/>
      <c r="CI22" s="88">
        <v>0</v>
      </c>
      <c r="CJ22" s="407"/>
      <c r="CK22" s="88">
        <v>0</v>
      </c>
      <c r="CL22" s="407"/>
      <c r="CM22" s="88">
        <v>0</v>
      </c>
      <c r="CN22" s="407"/>
      <c r="CO22" s="88">
        <v>0</v>
      </c>
      <c r="CP22" s="407"/>
      <c r="CQ22" s="88">
        <v>0</v>
      </c>
      <c r="CR22" s="407"/>
      <c r="CS22" s="88">
        <v>0</v>
      </c>
      <c r="CT22" s="89"/>
      <c r="CU22" s="88">
        <f>+'Notes - Dec25'!CU73</f>
        <v>0</v>
      </c>
      <c r="CV22" s="89"/>
      <c r="CW22" s="88">
        <f>+'Notes - Dec25'!CW73</f>
        <v>0</v>
      </c>
      <c r="CX22" s="89"/>
      <c r="CY22" s="88">
        <f>+'Notes - Dec25'!CY73</f>
        <v>0</v>
      </c>
      <c r="CZ22" s="89"/>
      <c r="DA22" s="88">
        <f>+'Notes - Dec25'!DA73</f>
        <v>0</v>
      </c>
      <c r="DB22" s="89"/>
      <c r="DC22" s="88">
        <f>+'Notes - Dec25'!DC73</f>
        <v>0</v>
      </c>
      <c r="DD22" s="89"/>
      <c r="DE22" s="88">
        <f>+'Notes - Dec25'!DE73</f>
        <v>0</v>
      </c>
      <c r="DF22" s="89"/>
      <c r="DG22" s="88">
        <f>+'Notes - Dec25'!DG73</f>
        <v>0</v>
      </c>
      <c r="DH22" s="89"/>
      <c r="DI22" s="88">
        <f>+'Notes - Dec25'!DI73</f>
        <v>0</v>
      </c>
      <c r="DJ22" s="89"/>
      <c r="DK22" s="88">
        <f>+'Notes - Dec25'!DK73</f>
        <v>0</v>
      </c>
      <c r="DL22" s="89"/>
      <c r="DM22" s="88">
        <f>+'Notes - Dec25'!DM73</f>
        <v>0</v>
      </c>
      <c r="DN22" s="89"/>
      <c r="DO22" s="90">
        <v>0</v>
      </c>
      <c r="DP22" s="89"/>
      <c r="DQ22" s="90">
        <v>0</v>
      </c>
      <c r="DR22" s="89"/>
      <c r="DS22" s="90">
        <v>0</v>
      </c>
      <c r="DT22" s="89"/>
      <c r="DU22" s="90">
        <v>0</v>
      </c>
      <c r="DV22" s="89"/>
      <c r="DW22" s="90">
        <v>0</v>
      </c>
      <c r="DX22" s="89"/>
      <c r="DY22" s="90">
        <v>0</v>
      </c>
      <c r="DZ22" s="89"/>
      <c r="EA22" s="90">
        <v>0</v>
      </c>
      <c r="EB22" s="89"/>
      <c r="EC22" s="90">
        <v>0</v>
      </c>
      <c r="ED22" s="89"/>
      <c r="EE22" s="90">
        <v>0</v>
      </c>
      <c r="EF22" s="89"/>
      <c r="EG22" s="90">
        <v>0</v>
      </c>
      <c r="EH22" s="89"/>
      <c r="EI22" s="90">
        <v>0</v>
      </c>
      <c r="EJ22" s="89"/>
      <c r="EK22" s="90">
        <v>0</v>
      </c>
      <c r="EL22" s="89"/>
      <c r="EM22" s="90">
        <v>0</v>
      </c>
      <c r="EN22" s="89"/>
      <c r="EO22" s="90">
        <v>4132.21</v>
      </c>
      <c r="EP22" s="89"/>
      <c r="EQ22" s="90">
        <v>4547</v>
      </c>
      <c r="ER22" s="89"/>
      <c r="ES22" s="90">
        <v>4547</v>
      </c>
      <c r="ET22" s="89"/>
      <c r="EU22" s="90">
        <v>4547</v>
      </c>
      <c r="EV22" s="89"/>
      <c r="EW22" s="90">
        <v>4547</v>
      </c>
      <c r="EX22" s="89"/>
      <c r="EY22" s="90">
        <v>4547</v>
      </c>
      <c r="EZ22" s="89"/>
      <c r="FA22" s="90">
        <v>4547</v>
      </c>
      <c r="FB22" s="89"/>
      <c r="FC22" s="90">
        <v>4547</v>
      </c>
      <c r="FD22" s="89"/>
      <c r="FE22" s="90">
        <v>4547</v>
      </c>
      <c r="FF22" s="89"/>
      <c r="FG22" s="90">
        <v>4547</v>
      </c>
      <c r="FH22" s="89"/>
      <c r="FI22" s="90">
        <v>4547</v>
      </c>
      <c r="FJ22" s="89"/>
      <c r="FK22" s="90">
        <v>4547</v>
      </c>
      <c r="FL22" s="89"/>
      <c r="FM22" s="90">
        <v>4547</v>
      </c>
      <c r="FN22" s="89"/>
      <c r="FO22" s="90">
        <v>4547</v>
      </c>
      <c r="FP22" s="89"/>
      <c r="FQ22" s="90">
        <v>4547</v>
      </c>
      <c r="FR22" s="89"/>
      <c r="FS22" s="90">
        <v>4547</v>
      </c>
      <c r="FT22" s="89"/>
      <c r="FU22" s="90">
        <v>4547</v>
      </c>
      <c r="FV22" s="89"/>
      <c r="FW22" s="90">
        <v>4547</v>
      </c>
      <c r="FX22" s="89"/>
      <c r="FY22" s="90">
        <v>4547</v>
      </c>
      <c r="FZ22" s="89"/>
      <c r="GA22" s="90">
        <v>4547</v>
      </c>
      <c r="GB22" s="89"/>
      <c r="GC22" s="90">
        <v>4547</v>
      </c>
      <c r="GD22" s="89"/>
      <c r="GE22" s="90">
        <v>4547</v>
      </c>
      <c r="GF22" s="89"/>
      <c r="GG22" s="90">
        <v>4547</v>
      </c>
      <c r="GH22" s="89"/>
      <c r="GI22" s="92">
        <v>4547.2119999999995</v>
      </c>
      <c r="GJ22" s="89"/>
      <c r="GK22" s="92">
        <v>4547.2119999999995</v>
      </c>
      <c r="GL22" s="89"/>
      <c r="GM22" s="92">
        <v>4547.2119999999995</v>
      </c>
      <c r="GN22" s="89"/>
      <c r="GO22" s="92">
        <v>4547.2119999999995</v>
      </c>
      <c r="GP22" s="89"/>
      <c r="GQ22" s="92">
        <v>4547.2119999999995</v>
      </c>
      <c r="GR22" s="89"/>
      <c r="GS22" s="92">
        <v>4547.2119999999995</v>
      </c>
      <c r="GT22" s="89"/>
      <c r="GU22" s="92">
        <v>4547.2119999999995</v>
      </c>
      <c r="GV22" s="89"/>
      <c r="GW22" s="92">
        <v>4547.21</v>
      </c>
      <c r="GX22" s="70"/>
      <c r="GY22" s="92">
        <v>4547</v>
      </c>
      <c r="GZ22" s="70"/>
      <c r="HA22" s="92">
        <v>4547.21</v>
      </c>
      <c r="HB22" s="89"/>
      <c r="HC22" s="92">
        <v>4547.21</v>
      </c>
      <c r="HD22" s="70"/>
      <c r="HE22" s="92">
        <v>4547.21</v>
      </c>
      <c r="HF22" s="70"/>
      <c r="HG22" s="70">
        <v>4547.21</v>
      </c>
    </row>
    <row r="23" spans="1:215" ht="12.75" customHeight="1">
      <c r="A23" s="76" t="s">
        <v>230</v>
      </c>
      <c r="B23" s="87" t="s">
        <v>231</v>
      </c>
      <c r="C23" s="106">
        <f>+'Notes - Dec25'!C127</f>
        <v>1453516507.6200004</v>
      </c>
      <c r="D23" s="407"/>
      <c r="E23" s="106">
        <f>+'Notes - Dec25'!E127</f>
        <v>1385975560.7300003</v>
      </c>
      <c r="F23" s="407"/>
      <c r="G23" s="106">
        <f>+'Notes - Dec25'!G127</f>
        <v>1312258042.95</v>
      </c>
      <c r="H23" s="407"/>
      <c r="I23" s="106">
        <v>1315556003.1300001</v>
      </c>
      <c r="J23" s="407"/>
      <c r="K23" s="106">
        <v>1451037997.9600003</v>
      </c>
      <c r="L23" s="407"/>
      <c r="M23" s="106">
        <v>1488790267.6999998</v>
      </c>
      <c r="N23" s="407"/>
      <c r="O23" s="106">
        <v>1525445481.7199998</v>
      </c>
      <c r="P23" s="407"/>
      <c r="Q23" s="106">
        <v>1527243159.8899999</v>
      </c>
      <c r="R23" s="407"/>
      <c r="S23" s="106">
        <v>1588885000.3099999</v>
      </c>
      <c r="T23" s="407"/>
      <c r="U23" s="106">
        <v>1400750841.02</v>
      </c>
      <c r="V23" s="407"/>
      <c r="W23" s="1141">
        <v>1520757320.6200001</v>
      </c>
      <c r="X23" s="407"/>
      <c r="Y23" s="106">
        <v>1529958415.1599996</v>
      </c>
      <c r="Z23" s="407"/>
      <c r="AA23" s="106">
        <v>1541028086.4299998</v>
      </c>
      <c r="AB23" s="407"/>
      <c r="AC23" s="106">
        <v>1586636770.25</v>
      </c>
      <c r="AD23" s="407"/>
      <c r="AE23" s="106">
        <v>1605792687.28</v>
      </c>
      <c r="AF23" s="407"/>
      <c r="AG23" s="106">
        <v>1492166276.8899999</v>
      </c>
      <c r="AH23" s="407"/>
      <c r="AI23" s="106">
        <v>1541001062.0699999</v>
      </c>
      <c r="AJ23" s="407"/>
      <c r="AK23" s="106">
        <v>1379554952.7199998</v>
      </c>
      <c r="AL23" s="407"/>
      <c r="AM23" s="106">
        <v>1387972321.8099999</v>
      </c>
      <c r="AN23" s="407"/>
      <c r="AO23" s="106">
        <v>1332765800.0699999</v>
      </c>
      <c r="AP23" s="407"/>
      <c r="AQ23" s="106">
        <v>1207674675.2800002</v>
      </c>
      <c r="AR23" s="407"/>
      <c r="AS23" s="106">
        <v>1128054978.1799998</v>
      </c>
      <c r="AT23" s="407"/>
      <c r="AU23" s="1110">
        <v>1020565156.8199999</v>
      </c>
      <c r="AV23" s="407"/>
      <c r="AW23" s="106">
        <v>1014674679.61</v>
      </c>
      <c r="AX23" s="407"/>
      <c r="AY23" s="106">
        <v>1034568780.48</v>
      </c>
      <c r="AZ23" s="407"/>
      <c r="BA23" s="106">
        <v>863625628.53999996</v>
      </c>
      <c r="BB23" s="407"/>
      <c r="BC23" s="106">
        <v>854111277.80999994</v>
      </c>
      <c r="BD23" s="407"/>
      <c r="BE23" s="106">
        <v>756178492.36000001</v>
      </c>
      <c r="BF23" s="407"/>
      <c r="BG23" s="106">
        <v>605116187.63</v>
      </c>
      <c r="BH23" s="407"/>
      <c r="BI23" s="106">
        <v>582429427.04999995</v>
      </c>
      <c r="BJ23" s="407"/>
      <c r="BK23" s="106">
        <v>560835759.79999995</v>
      </c>
      <c r="BL23" s="407"/>
      <c r="BM23" s="106">
        <v>570799986.45999992</v>
      </c>
      <c r="BN23" s="407"/>
      <c r="BO23" s="106">
        <v>550462897.40999997</v>
      </c>
      <c r="BP23" s="407"/>
      <c r="BQ23" s="106">
        <f>+'Notes - Dec25'!DQ127</f>
        <v>161567101.30000001</v>
      </c>
      <c r="BR23" s="407"/>
      <c r="BS23" s="1082">
        <v>487797589.54999995</v>
      </c>
      <c r="BT23" s="407"/>
      <c r="BU23" s="106">
        <v>535930260.44</v>
      </c>
      <c r="BV23" s="407"/>
      <c r="BW23" s="106">
        <v>607387836.22000003</v>
      </c>
      <c r="BX23" s="407"/>
      <c r="BY23" s="106">
        <v>605008908.97000003</v>
      </c>
      <c r="BZ23" s="407"/>
      <c r="CA23" s="106">
        <v>514989778.13000011</v>
      </c>
      <c r="CB23" s="407"/>
      <c r="CC23" s="106">
        <v>518295496.21999997</v>
      </c>
      <c r="CD23" s="407"/>
      <c r="CE23" s="106">
        <v>543471662.38999999</v>
      </c>
      <c r="CF23" s="407"/>
      <c r="CG23" s="106">
        <v>547796167.00999999</v>
      </c>
      <c r="CH23" s="407"/>
      <c r="CI23" s="106">
        <v>445078985.58999997</v>
      </c>
      <c r="CJ23" s="407"/>
      <c r="CK23" s="106">
        <v>441174273.06000006</v>
      </c>
      <c r="CL23" s="407"/>
      <c r="CM23" s="106">
        <v>436333368.6699999</v>
      </c>
      <c r="CN23" s="407"/>
      <c r="CO23" s="106">
        <f>+'Notes - Dec25'!CO127</f>
        <v>437044560.55999994</v>
      </c>
      <c r="CP23" s="407"/>
      <c r="CQ23" s="106">
        <f>+'Notes - Dec25'!CQ127</f>
        <v>487952608.87</v>
      </c>
      <c r="CR23" s="407"/>
      <c r="CS23" s="106">
        <f>+'Notes - Dec25'!CS127</f>
        <v>407409845.99000001</v>
      </c>
      <c r="CT23" s="89"/>
      <c r="CU23" s="106">
        <f>+'Notes - Dec25'!CU127</f>
        <v>382884963.20999992</v>
      </c>
      <c r="CV23" s="89"/>
      <c r="CW23" s="106">
        <f>+'Notes - Dec25'!CW127</f>
        <v>392620846.75999999</v>
      </c>
      <c r="CX23" s="89"/>
      <c r="CY23" s="106">
        <f>+'Notes - Dec25'!CY127</f>
        <v>391093708.37</v>
      </c>
      <c r="CZ23" s="89"/>
      <c r="DA23" s="106">
        <f>+'Notes - Dec25'!DA127</f>
        <v>307222059.13999999</v>
      </c>
      <c r="DB23" s="89"/>
      <c r="DC23" s="106">
        <f>+'Notes - Dec25'!DC127</f>
        <v>307974985.10000002</v>
      </c>
      <c r="DD23" s="89"/>
      <c r="DE23" s="106">
        <f>+'Notes - Dec25'!DE127</f>
        <v>272356246.74000001</v>
      </c>
      <c r="DF23" s="89"/>
      <c r="DG23" s="106">
        <f>+'Notes - Dec25'!DG127</f>
        <v>236466894.59</v>
      </c>
      <c r="DH23" s="89"/>
      <c r="DI23" s="106">
        <f>+'Notes - Dec25'!DI127</f>
        <v>201725499.50999999</v>
      </c>
      <c r="DJ23" s="89"/>
      <c r="DK23" s="106">
        <f>+'Notes - Dec25'!DK127</f>
        <v>208733042.84999999</v>
      </c>
      <c r="DL23" s="89"/>
      <c r="DM23" s="106">
        <f>+'Notes - Dec25'!DM127</f>
        <v>190822246.52000001</v>
      </c>
      <c r="DN23" s="89"/>
      <c r="DO23" s="107">
        <v>192407242.38999999</v>
      </c>
      <c r="DP23" s="89"/>
      <c r="DQ23" s="107">
        <v>161567101.30000001</v>
      </c>
      <c r="DR23" s="89"/>
      <c r="DS23" s="107">
        <v>159838579.11226669</v>
      </c>
      <c r="DT23" s="89"/>
      <c r="DU23" s="107">
        <v>173082628.31941897</v>
      </c>
      <c r="DV23" s="89"/>
      <c r="DW23" s="107">
        <v>195125178.13386258</v>
      </c>
      <c r="DX23" s="89"/>
      <c r="DY23" s="107">
        <v>210056108.91999999</v>
      </c>
      <c r="DZ23" s="89"/>
      <c r="EA23" s="107">
        <v>161739372.03402436</v>
      </c>
      <c r="EB23" s="89"/>
      <c r="EC23" s="107">
        <v>161942936.97000003</v>
      </c>
      <c r="ED23" s="89"/>
      <c r="EE23" s="107">
        <v>158632564.74000001</v>
      </c>
      <c r="EF23" s="89"/>
      <c r="EG23" s="107">
        <v>169702676.99714741</v>
      </c>
      <c r="EH23" s="89"/>
      <c r="EI23" s="107">
        <v>172130773.88999999</v>
      </c>
      <c r="EJ23" s="89"/>
      <c r="EK23" s="107">
        <v>172379996.78</v>
      </c>
      <c r="EL23" s="89"/>
      <c r="EM23" s="107">
        <v>168138962.69</v>
      </c>
      <c r="EN23" s="89"/>
      <c r="EO23" s="107">
        <v>164773432.38</v>
      </c>
      <c r="EP23" s="89"/>
      <c r="EQ23" s="106">
        <v>161933364.89700001</v>
      </c>
      <c r="ER23" s="89"/>
      <c r="ES23" s="106">
        <v>130380376.41</v>
      </c>
      <c r="ET23" s="89"/>
      <c r="EU23" s="106">
        <v>86971820.430000007</v>
      </c>
      <c r="EV23" s="89"/>
      <c r="EW23" s="106">
        <v>63505433.799999997</v>
      </c>
      <c r="EX23" s="89"/>
      <c r="EY23" s="106">
        <v>60822428.839999996</v>
      </c>
      <c r="EZ23" s="89"/>
      <c r="FA23" s="106">
        <v>65128175.040000007</v>
      </c>
      <c r="FB23" s="89"/>
      <c r="FC23" s="106">
        <v>70589619.030000001</v>
      </c>
      <c r="FD23" s="89"/>
      <c r="FE23" s="106">
        <v>67757874.300000012</v>
      </c>
      <c r="FF23" s="89"/>
      <c r="FG23" s="106">
        <v>66968018.049999997</v>
      </c>
      <c r="FH23" s="89"/>
      <c r="FI23" s="106">
        <v>66270813.219999999</v>
      </c>
      <c r="FJ23" s="89"/>
      <c r="FK23" s="106">
        <v>55927162.319999993</v>
      </c>
      <c r="FL23" s="89"/>
      <c r="FM23" s="106">
        <v>55979164.469999999</v>
      </c>
      <c r="FN23" s="89"/>
      <c r="FO23" s="106">
        <v>61166421.959999993</v>
      </c>
      <c r="FP23" s="89"/>
      <c r="FQ23" s="106">
        <v>45535808.630000003</v>
      </c>
      <c r="FR23" s="89"/>
      <c r="FS23" s="106">
        <v>47731184.810000002</v>
      </c>
      <c r="FT23" s="89"/>
      <c r="FU23" s="106">
        <v>26983977.719999999</v>
      </c>
      <c r="FV23" s="89"/>
      <c r="FW23" s="106">
        <v>22842703.059999999</v>
      </c>
      <c r="FX23" s="89"/>
      <c r="FY23" s="106">
        <v>19044603.600000001</v>
      </c>
      <c r="FZ23" s="89"/>
      <c r="GA23" s="106">
        <v>14399224.029999999</v>
      </c>
      <c r="GB23" s="89"/>
      <c r="GC23" s="106">
        <v>13844099.200000001</v>
      </c>
      <c r="GD23" s="89"/>
      <c r="GE23" s="106">
        <v>12636842.02</v>
      </c>
      <c r="GF23" s="89"/>
      <c r="GG23" s="106">
        <v>12325313.710000001</v>
      </c>
      <c r="GH23" s="89"/>
      <c r="GI23" s="108">
        <v>12223431.799999999</v>
      </c>
      <c r="GJ23" s="89"/>
      <c r="GK23" s="108">
        <v>8485545.1699999981</v>
      </c>
      <c r="GL23" s="89"/>
      <c r="GM23" s="108">
        <v>8902423.5</v>
      </c>
      <c r="GN23" s="89"/>
      <c r="GO23" s="108">
        <v>10787365.970000001</v>
      </c>
      <c r="GP23" s="89"/>
      <c r="GQ23" s="108">
        <v>10367781.390000001</v>
      </c>
      <c r="GR23" s="89"/>
      <c r="GS23" s="108">
        <v>7451046.79</v>
      </c>
      <c r="GT23" s="89"/>
      <c r="GU23" s="108">
        <v>7788060.4699999997</v>
      </c>
      <c r="GV23" s="89"/>
      <c r="GW23" s="108">
        <v>7287237.3100000005</v>
      </c>
      <c r="GX23" s="70"/>
      <c r="GY23" s="108">
        <v>7203723.6600000001</v>
      </c>
      <c r="GZ23" s="70"/>
      <c r="HA23" s="108">
        <v>5247117.59</v>
      </c>
      <c r="HB23" s="89"/>
      <c r="HC23" s="108">
        <v>4804843.4400000004</v>
      </c>
      <c r="HD23" s="70"/>
      <c r="HE23" s="108">
        <v>4829383.83</v>
      </c>
      <c r="HF23" s="70"/>
      <c r="HG23" s="70">
        <v>5262858.3999999994</v>
      </c>
    </row>
    <row r="24" spans="1:215" ht="12.75" customHeight="1">
      <c r="A24" s="76" t="s">
        <v>223</v>
      </c>
      <c r="B24" s="76"/>
      <c r="C24" s="110"/>
      <c r="D24" s="401"/>
      <c r="E24" s="110"/>
      <c r="F24" s="401"/>
      <c r="G24" s="110"/>
      <c r="H24" s="401"/>
      <c r="I24" s="110"/>
      <c r="J24" s="401"/>
      <c r="K24" s="110"/>
      <c r="L24" s="401"/>
      <c r="M24" s="110"/>
      <c r="N24" s="401"/>
      <c r="O24" s="110"/>
      <c r="P24" s="401"/>
      <c r="Q24" s="110"/>
      <c r="R24" s="401"/>
      <c r="S24" s="110"/>
      <c r="T24" s="401"/>
      <c r="U24" s="110"/>
      <c r="V24" s="401"/>
      <c r="W24" s="1142"/>
      <c r="X24" s="401"/>
      <c r="Y24" s="110"/>
      <c r="Z24" s="401"/>
      <c r="AA24" s="110"/>
      <c r="AB24" s="401"/>
      <c r="AC24" s="110"/>
      <c r="AD24" s="401"/>
      <c r="AE24" s="110"/>
      <c r="AF24" s="401"/>
      <c r="AG24" s="110"/>
      <c r="AH24" s="401"/>
      <c r="AI24" s="110"/>
      <c r="AJ24" s="401"/>
      <c r="AK24" s="110"/>
      <c r="AL24" s="401"/>
      <c r="AM24" s="110"/>
      <c r="AN24" s="401"/>
      <c r="AO24" s="110"/>
      <c r="AP24" s="401"/>
      <c r="AQ24" s="110"/>
      <c r="AR24" s="401"/>
      <c r="AS24" s="110"/>
      <c r="AT24" s="401"/>
      <c r="AU24" s="1111"/>
      <c r="AV24" s="401"/>
      <c r="AW24" s="110"/>
      <c r="AX24" s="401"/>
      <c r="AY24" s="110"/>
      <c r="AZ24" s="401"/>
      <c r="BA24" s="110"/>
      <c r="BB24" s="401"/>
      <c r="BC24" s="110"/>
      <c r="BD24" s="401"/>
      <c r="BE24" s="110"/>
      <c r="BF24" s="401"/>
      <c r="BG24" s="110"/>
      <c r="BH24" s="401"/>
      <c r="BI24" s="110"/>
      <c r="BJ24" s="401"/>
      <c r="BK24" s="110"/>
      <c r="BL24" s="401"/>
      <c r="BM24" s="110"/>
      <c r="BN24" s="401"/>
      <c r="BO24" s="110"/>
      <c r="BP24" s="401"/>
      <c r="BQ24" s="110"/>
      <c r="BR24" s="401"/>
      <c r="BS24" s="1083"/>
      <c r="BT24" s="401"/>
      <c r="BU24" s="110"/>
      <c r="BV24" s="401"/>
      <c r="BW24" s="110"/>
      <c r="BX24" s="401"/>
      <c r="BY24" s="110"/>
      <c r="BZ24" s="401"/>
      <c r="CA24" s="110"/>
      <c r="CB24" s="401"/>
      <c r="CC24" s="110"/>
      <c r="CD24" s="401"/>
      <c r="CE24" s="110"/>
      <c r="CF24" s="401"/>
      <c r="CG24" s="110"/>
      <c r="CH24" s="401"/>
      <c r="CI24" s="110"/>
      <c r="CJ24" s="401"/>
      <c r="CK24" s="110"/>
      <c r="CL24" s="401"/>
      <c r="CM24" s="110"/>
      <c r="CN24" s="401"/>
      <c r="CO24" s="110"/>
      <c r="CP24" s="401"/>
      <c r="CQ24" s="110"/>
      <c r="CR24" s="401"/>
      <c r="CS24" s="110"/>
      <c r="CT24" s="76"/>
      <c r="CU24" s="110"/>
      <c r="CV24" s="76"/>
      <c r="CW24" s="110"/>
      <c r="CX24" s="76"/>
      <c r="CY24" s="110"/>
      <c r="CZ24" s="76"/>
      <c r="DA24" s="110"/>
      <c r="DB24" s="76"/>
      <c r="DC24" s="110"/>
      <c r="DD24" s="76"/>
      <c r="DE24" s="110"/>
      <c r="DF24" s="76"/>
      <c r="DG24" s="110"/>
      <c r="DH24" s="76"/>
      <c r="DI24" s="110"/>
      <c r="DJ24" s="76"/>
      <c r="DK24" s="110"/>
      <c r="DL24" s="76"/>
      <c r="DM24" s="110"/>
      <c r="DN24" s="76"/>
      <c r="DO24" s="111"/>
      <c r="DP24" s="76"/>
      <c r="DQ24" s="111"/>
      <c r="DR24" s="76"/>
      <c r="DS24" s="111"/>
      <c r="DT24" s="76"/>
      <c r="DU24" s="111"/>
      <c r="DV24" s="76"/>
      <c r="DW24" s="111"/>
      <c r="DX24" s="76"/>
      <c r="DY24" s="111"/>
      <c r="DZ24" s="76"/>
      <c r="EA24" s="111"/>
      <c r="EB24" s="76"/>
      <c r="EC24" s="111"/>
      <c r="ED24" s="76"/>
      <c r="EE24" s="111"/>
      <c r="EF24" s="76"/>
      <c r="EG24" s="111"/>
      <c r="EH24" s="76"/>
      <c r="EI24" s="111"/>
      <c r="EJ24" s="76"/>
      <c r="EK24" s="111"/>
      <c r="EL24" s="76"/>
      <c r="EM24" s="111"/>
      <c r="EN24" s="76"/>
      <c r="EO24" s="111"/>
      <c r="EP24" s="76"/>
      <c r="EQ24" s="111"/>
      <c r="ER24" s="76"/>
      <c r="ES24" s="111"/>
      <c r="ET24" s="76"/>
      <c r="EU24" s="111"/>
      <c r="EV24" s="76"/>
      <c r="EW24" s="111"/>
      <c r="EX24" s="76"/>
      <c r="EY24" s="111"/>
      <c r="EZ24" s="76"/>
      <c r="FA24" s="111"/>
      <c r="FB24" s="76"/>
      <c r="FC24" s="111"/>
      <c r="FD24" s="76"/>
      <c r="FE24" s="111"/>
      <c r="FF24" s="76"/>
      <c r="FG24" s="111"/>
      <c r="FH24" s="76"/>
      <c r="FI24" s="111"/>
      <c r="FJ24" s="76"/>
      <c r="FK24" s="111"/>
      <c r="FL24" s="76"/>
      <c r="FM24" s="111"/>
      <c r="FN24" s="76"/>
      <c r="FO24" s="111"/>
      <c r="FP24" s="76"/>
      <c r="FQ24" s="111"/>
      <c r="FR24" s="76"/>
      <c r="FS24" s="111"/>
      <c r="FT24" s="76"/>
      <c r="FU24" s="111"/>
      <c r="FV24" s="76"/>
      <c r="FW24" s="111"/>
      <c r="FX24" s="76"/>
      <c r="FY24" s="111"/>
      <c r="FZ24" s="76"/>
      <c r="GA24" s="111"/>
      <c r="GB24" s="76"/>
      <c r="GC24" s="111"/>
      <c r="GD24" s="76"/>
      <c r="GE24" s="111"/>
      <c r="GF24" s="76"/>
      <c r="GG24" s="111"/>
      <c r="GH24" s="76"/>
      <c r="GI24" s="76"/>
      <c r="GJ24" s="76"/>
      <c r="GK24" s="76"/>
      <c r="GL24" s="76"/>
      <c r="GM24" s="86"/>
      <c r="GN24" s="76"/>
      <c r="GO24" s="86"/>
      <c r="GP24" s="76"/>
      <c r="GQ24" s="86"/>
      <c r="GR24" s="76"/>
      <c r="GS24" s="86"/>
      <c r="GT24" s="76"/>
      <c r="GU24" s="86"/>
      <c r="GV24" s="76"/>
      <c r="GW24" s="86"/>
      <c r="GX24" s="86"/>
      <c r="GY24" s="86"/>
      <c r="GZ24" s="86"/>
      <c r="HA24" s="86"/>
      <c r="HB24" s="76"/>
      <c r="HC24" s="86"/>
      <c r="HD24" s="86"/>
      <c r="HE24" s="86"/>
      <c r="HF24" s="86"/>
      <c r="HG24" s="86"/>
    </row>
    <row r="25" spans="1:215" ht="12.75" customHeight="1">
      <c r="A25" s="72" t="s">
        <v>232</v>
      </c>
      <c r="B25" s="76"/>
      <c r="C25" s="112">
        <f>SUM(C26:C30)</f>
        <v>547319021.83000004</v>
      </c>
      <c r="D25" s="401"/>
      <c r="E25" s="112">
        <f>SUM(E26:E30)</f>
        <v>541821979.0200001</v>
      </c>
      <c r="F25" s="401"/>
      <c r="G25" s="112">
        <f>SUM(G26:G30)</f>
        <v>550285915.91999996</v>
      </c>
      <c r="H25" s="401"/>
      <c r="I25" s="112">
        <v>548397267.54999995</v>
      </c>
      <c r="J25" s="401"/>
      <c r="K25" s="112">
        <v>546283054.51999998</v>
      </c>
      <c r="L25" s="401"/>
      <c r="M25" s="112">
        <f>SUM(M26:M30)</f>
        <v>550479004.24000001</v>
      </c>
      <c r="N25" s="401"/>
      <c r="O25" s="112">
        <f>SUM(O26:O30)</f>
        <v>548996117.66000009</v>
      </c>
      <c r="P25" s="401"/>
      <c r="Q25" s="112">
        <f>SUM(Q26:Q30)</f>
        <v>549918601.31000006</v>
      </c>
      <c r="R25" s="401"/>
      <c r="S25" s="112">
        <f>SUM(S26:S30)</f>
        <v>546890782.86000001</v>
      </c>
      <c r="T25" s="401"/>
      <c r="U25" s="112">
        <f>SUM(U26:U30)</f>
        <v>554076880.5</v>
      </c>
      <c r="V25" s="401"/>
      <c r="W25" s="1143">
        <f>SUM(W26:W30)</f>
        <v>560518584.10000002</v>
      </c>
      <c r="X25" s="401"/>
      <c r="Y25" s="112">
        <v>633550828.04999995</v>
      </c>
      <c r="Z25" s="401"/>
      <c r="AA25" s="112">
        <v>637729313.19000006</v>
      </c>
      <c r="AB25" s="401"/>
      <c r="AC25" s="112">
        <v>638340523.90999997</v>
      </c>
      <c r="AD25" s="401"/>
      <c r="AE25" s="112">
        <v>638936637.18000007</v>
      </c>
      <c r="AF25" s="401"/>
      <c r="AG25" s="112">
        <v>641882567.62</v>
      </c>
      <c r="AH25" s="401"/>
      <c r="AI25" s="112">
        <v>642276932.21000004</v>
      </c>
      <c r="AJ25" s="401"/>
      <c r="AK25" s="112">
        <v>641436337</v>
      </c>
      <c r="AL25" s="401"/>
      <c r="AM25" s="112">
        <v>639583918.85000002</v>
      </c>
      <c r="AN25" s="401"/>
      <c r="AO25" s="112">
        <v>641468069.67999995</v>
      </c>
      <c r="AP25" s="401"/>
      <c r="AQ25" s="112">
        <v>642507688.91000009</v>
      </c>
      <c r="AR25" s="401"/>
      <c r="AS25" s="112">
        <v>637010067.08999991</v>
      </c>
      <c r="AT25" s="401"/>
      <c r="AU25" s="1112">
        <f>SUM(AU26:AU30)</f>
        <v>573786327.56000006</v>
      </c>
      <c r="AV25" s="401"/>
      <c r="AW25" s="112">
        <v>636490030.63999999</v>
      </c>
      <c r="AX25" s="401"/>
      <c r="AY25" s="112">
        <v>633448024.21000004</v>
      </c>
      <c r="AZ25" s="401"/>
      <c r="BA25" s="112">
        <v>629403132.83000004</v>
      </c>
      <c r="BB25" s="401"/>
      <c r="BC25" s="112">
        <v>628339096.33000004</v>
      </c>
      <c r="BD25" s="401"/>
      <c r="BE25" s="112">
        <v>627344290.20000005</v>
      </c>
      <c r="BF25" s="401"/>
      <c r="BG25" s="112">
        <v>626724299.25999999</v>
      </c>
      <c r="BH25" s="401"/>
      <c r="BI25" s="112">
        <v>626798742.63</v>
      </c>
      <c r="BJ25" s="401"/>
      <c r="BK25" s="112">
        <v>625152772.38</v>
      </c>
      <c r="BL25" s="401"/>
      <c r="BM25" s="112">
        <v>622907473.91999996</v>
      </c>
      <c r="BN25" s="401"/>
      <c r="BO25" s="112">
        <v>620029783.80999994</v>
      </c>
      <c r="BP25" s="401"/>
      <c r="BQ25" s="112">
        <f>SUM(BQ26:BQ30)</f>
        <v>618949702.19000006</v>
      </c>
      <c r="BR25" s="401"/>
      <c r="BS25" s="1084">
        <f>SUM(BS26:BS30)</f>
        <v>567598206.58899999</v>
      </c>
      <c r="BT25" s="401"/>
      <c r="BU25" s="112">
        <v>628212132.21899998</v>
      </c>
      <c r="BV25" s="401"/>
      <c r="BW25" s="112">
        <v>198678328.61899996</v>
      </c>
      <c r="BX25" s="401"/>
      <c r="BY25" s="112">
        <v>198813802.28899997</v>
      </c>
      <c r="BZ25" s="401"/>
      <c r="CA25" s="112">
        <v>205991898.609</v>
      </c>
      <c r="CB25" s="401"/>
      <c r="CC25" s="112">
        <v>205350008.89899999</v>
      </c>
      <c r="CD25" s="401"/>
      <c r="CE25" s="112">
        <v>202365370.11899999</v>
      </c>
      <c r="CF25" s="401"/>
      <c r="CG25" s="112">
        <v>199189447.639</v>
      </c>
      <c r="CH25" s="401"/>
      <c r="CI25" s="112">
        <v>197814195.109</v>
      </c>
      <c r="CJ25" s="401"/>
      <c r="CK25" s="112">
        <v>194673846.68899998</v>
      </c>
      <c r="CL25" s="401"/>
      <c r="CM25" s="112">
        <v>195645764.49900001</v>
      </c>
      <c r="CN25" s="401"/>
      <c r="CO25" s="112">
        <f>SUM(CO26:CO30)</f>
        <v>188425403.89000002</v>
      </c>
      <c r="CP25" s="401"/>
      <c r="CQ25" s="112">
        <f>SUM(CQ26:CQ30)</f>
        <v>102934429.29000001</v>
      </c>
      <c r="CR25" s="401"/>
      <c r="CS25" s="112">
        <f>SUM(CS26:CS30)</f>
        <v>152715907.59</v>
      </c>
      <c r="CT25" s="76"/>
      <c r="CU25" s="112">
        <f>SUM(CU26:CU30)</f>
        <v>107602697.31</v>
      </c>
      <c r="CV25" s="76"/>
      <c r="CW25" s="112">
        <f>SUM(CW26:CW30)</f>
        <v>106553858.94</v>
      </c>
      <c r="CX25" s="76"/>
      <c r="CY25" s="112">
        <f>SUM(CY26:CY30)</f>
        <v>107557026.02</v>
      </c>
      <c r="CZ25" s="76"/>
      <c r="DA25" s="112">
        <f>SUM(DA26:DA30)</f>
        <v>108154578.64999999</v>
      </c>
      <c r="DB25" s="76"/>
      <c r="DC25" s="112">
        <f>SUM(DC26:DC30)</f>
        <v>107924511.19</v>
      </c>
      <c r="DD25" s="76"/>
      <c r="DE25" s="112">
        <f>SUM(DE26:DE30)</f>
        <v>107796951.84</v>
      </c>
      <c r="DF25" s="76"/>
      <c r="DG25" s="112">
        <f>SUM(DG26:DG30)</f>
        <v>106680830.55</v>
      </c>
      <c r="DH25" s="76"/>
      <c r="DI25" s="112">
        <f>SUM(DI26:DI30)</f>
        <v>106202573.95999999</v>
      </c>
      <c r="DJ25" s="76"/>
      <c r="DK25" s="112">
        <f>SUM(DK26:DK30)</f>
        <v>105361632.56</v>
      </c>
      <c r="DL25" s="76"/>
      <c r="DM25" s="112">
        <f>SUM(DM26:DM30)</f>
        <v>104107446.28999999</v>
      </c>
      <c r="DN25" s="76"/>
      <c r="DO25" s="67">
        <v>103694409.42999999</v>
      </c>
      <c r="DP25" s="76"/>
      <c r="DQ25" s="67">
        <v>103836502.88</v>
      </c>
      <c r="DR25" s="76"/>
      <c r="DS25" s="67">
        <v>102927624.31</v>
      </c>
      <c r="DT25" s="76"/>
      <c r="DU25" s="67">
        <v>102193067.19</v>
      </c>
      <c r="DV25" s="76"/>
      <c r="DW25" s="67">
        <v>101563930.7</v>
      </c>
      <c r="DX25" s="76"/>
      <c r="DY25" s="67">
        <v>100674814.53999999</v>
      </c>
      <c r="DZ25" s="76"/>
      <c r="EA25" s="67">
        <v>100122357.12</v>
      </c>
      <c r="EB25" s="76"/>
      <c r="EC25" s="67">
        <v>99185937.25</v>
      </c>
      <c r="ED25" s="76"/>
      <c r="EE25" s="67">
        <v>99364897.590000004</v>
      </c>
      <c r="EF25" s="76"/>
      <c r="EG25" s="67">
        <v>100729579.20999999</v>
      </c>
      <c r="EH25" s="76"/>
      <c r="EI25" s="67">
        <v>102546494.78999999</v>
      </c>
      <c r="EJ25" s="76"/>
      <c r="EK25" s="67">
        <v>104367161.03</v>
      </c>
      <c r="EL25" s="76"/>
      <c r="EM25" s="67">
        <v>106476544.97</v>
      </c>
      <c r="EN25" s="76"/>
      <c r="EO25" s="67">
        <v>108456971.22999999</v>
      </c>
      <c r="EP25" s="76"/>
      <c r="EQ25" s="67">
        <v>107830844.61999999</v>
      </c>
      <c r="ER25" s="76"/>
      <c r="ES25" s="67">
        <v>108178892.67999999</v>
      </c>
      <c r="ET25" s="76"/>
      <c r="EU25" s="67">
        <v>108779599.05</v>
      </c>
      <c r="EV25" s="76"/>
      <c r="EW25" s="67">
        <v>108267676.59</v>
      </c>
      <c r="EX25" s="76"/>
      <c r="EY25" s="67">
        <v>108167362.59</v>
      </c>
      <c r="EZ25" s="76"/>
      <c r="FA25" s="67">
        <v>107364336.34999999</v>
      </c>
      <c r="FB25" s="76"/>
      <c r="FC25" s="67">
        <v>107591990.07000001</v>
      </c>
      <c r="FD25" s="76"/>
      <c r="FE25" s="67">
        <v>21695943.629999999</v>
      </c>
      <c r="FF25" s="76"/>
      <c r="FG25" s="67">
        <v>21083322.359999999</v>
      </c>
      <c r="FH25" s="76"/>
      <c r="FI25" s="67">
        <v>20483098.919999998</v>
      </c>
      <c r="FJ25" s="76"/>
      <c r="FK25" s="67">
        <v>19722655.599999998</v>
      </c>
      <c r="FL25" s="76"/>
      <c r="FM25" s="67">
        <v>20098976.850000001</v>
      </c>
      <c r="FN25" s="76"/>
      <c r="FO25" s="67">
        <v>19022545.5</v>
      </c>
      <c r="FP25" s="76"/>
      <c r="FQ25" s="67">
        <v>19363081.120000001</v>
      </c>
      <c r="FR25" s="76"/>
      <c r="FS25" s="67">
        <v>19345917.5</v>
      </c>
      <c r="FT25" s="76"/>
      <c r="FU25" s="67">
        <v>19284253.190000001</v>
      </c>
      <c r="FV25" s="76"/>
      <c r="FW25" s="67">
        <v>19206410.48</v>
      </c>
      <c r="FX25" s="76"/>
      <c r="FY25" s="67">
        <v>18915538.449999999</v>
      </c>
      <c r="FZ25" s="76"/>
      <c r="GA25" s="67">
        <v>18362820.449999999</v>
      </c>
      <c r="GB25" s="76"/>
      <c r="GC25" s="67">
        <v>18355511.289999999</v>
      </c>
      <c r="GD25" s="76"/>
      <c r="GE25" s="67">
        <v>18265420.620000001</v>
      </c>
      <c r="GF25" s="76"/>
      <c r="GG25" s="67">
        <v>18354001.050000001</v>
      </c>
      <c r="GH25" s="76"/>
      <c r="GI25" s="73">
        <v>18072759.450000003</v>
      </c>
      <c r="GJ25" s="76"/>
      <c r="GK25" s="73">
        <v>18230291.800000001</v>
      </c>
      <c r="GL25" s="76"/>
      <c r="GM25" s="73">
        <v>17865362.800000001</v>
      </c>
      <c r="GN25" s="76"/>
      <c r="GO25" s="73">
        <v>17021839.32</v>
      </c>
      <c r="GP25" s="76"/>
      <c r="GQ25" s="73">
        <v>16811694.07</v>
      </c>
      <c r="GR25" s="76"/>
      <c r="GS25" s="73">
        <v>16985385.440000001</v>
      </c>
      <c r="GT25" s="76"/>
      <c r="GU25" s="73">
        <v>16945144.32</v>
      </c>
      <c r="GV25" s="76"/>
      <c r="GW25" s="73">
        <v>16847122.780000001</v>
      </c>
      <c r="GX25" s="73"/>
      <c r="GY25" s="73">
        <v>17075716.370000001</v>
      </c>
      <c r="GZ25" s="73"/>
      <c r="HA25" s="73">
        <v>16989296.75</v>
      </c>
      <c r="HB25" s="76"/>
      <c r="HC25" s="73">
        <v>17142158.780000001</v>
      </c>
      <c r="HD25" s="70"/>
      <c r="HE25" s="73">
        <v>17448179.400000002</v>
      </c>
      <c r="HF25" s="70"/>
      <c r="HG25" s="73">
        <v>17429227.510000002</v>
      </c>
    </row>
    <row r="26" spans="1:215" ht="12.75" customHeight="1">
      <c r="A26" s="76" t="s">
        <v>233</v>
      </c>
      <c r="B26" s="76"/>
      <c r="C26" s="83">
        <f>'P&amp;L -Dec25'!DU186</f>
        <v>-10725910.249999981</v>
      </c>
      <c r="D26" s="401"/>
      <c r="E26" s="83">
        <v>-15074572.800000001</v>
      </c>
      <c r="F26" s="401"/>
      <c r="G26" s="83">
        <v>-5464539.6899999771</v>
      </c>
      <c r="H26" s="401"/>
      <c r="I26" s="83">
        <v>-6037342.7599999802</v>
      </c>
      <c r="J26" s="401"/>
      <c r="K26" s="83">
        <v>-6832028.5199999772</v>
      </c>
      <c r="L26" s="401"/>
      <c r="M26" s="83">
        <v>-1316551.53</v>
      </c>
      <c r="N26" s="401"/>
      <c r="O26" s="83">
        <v>-1333596.8399999908</v>
      </c>
      <c r="P26" s="401"/>
      <c r="Q26" s="83">
        <v>1054728.08</v>
      </c>
      <c r="R26" s="401"/>
      <c r="S26" s="83">
        <v>-507249.1</v>
      </c>
      <c r="T26" s="401"/>
      <c r="U26" s="83">
        <v>278439.809999994</v>
      </c>
      <c r="V26" s="401"/>
      <c r="W26" s="1137">
        <v>-24062777.629999999</v>
      </c>
      <c r="X26" s="401"/>
      <c r="Y26" s="83">
        <v>-13675063.749999993</v>
      </c>
      <c r="Z26" s="401"/>
      <c r="AA26" s="83">
        <v>-8546293.8499999885</v>
      </c>
      <c r="AB26" s="401"/>
      <c r="AC26" s="83">
        <v>-6984798.3699999936</v>
      </c>
      <c r="AD26" s="401"/>
      <c r="AE26" s="83">
        <v>-5438400.3399999961</v>
      </c>
      <c r="AF26" s="401"/>
      <c r="AG26" s="83">
        <v>-1542185.1400000027</v>
      </c>
      <c r="AH26" s="401"/>
      <c r="AI26" s="83">
        <v>-197535.79000000685</v>
      </c>
      <c r="AJ26" s="401"/>
      <c r="AK26" s="83">
        <v>-330711.10000000801</v>
      </c>
      <c r="AL26" s="401"/>
      <c r="AM26" s="83">
        <v>-1515358.3300000019</v>
      </c>
      <c r="AN26" s="401"/>
      <c r="AO26" s="83">
        <v>1177025</v>
      </c>
      <c r="AP26" s="401"/>
      <c r="AQ26" s="83">
        <v>3186611.660000002</v>
      </c>
      <c r="AR26" s="401"/>
      <c r="AS26" s="83">
        <v>-1341042.7299999967</v>
      </c>
      <c r="AT26" s="401"/>
      <c r="AU26" s="1106">
        <v>6153739.1100000003</v>
      </c>
      <c r="AV26" s="401"/>
      <c r="AW26" s="83">
        <v>18065969.850000009</v>
      </c>
      <c r="AX26" s="401"/>
      <c r="AY26" s="883">
        <v>15044468.270000005</v>
      </c>
      <c r="AZ26" s="401"/>
      <c r="BA26" s="83">
        <v>11020081.74</v>
      </c>
      <c r="BB26" s="401"/>
      <c r="BC26" s="83">
        <v>9977821.1300000176</v>
      </c>
      <c r="BD26" s="401"/>
      <c r="BE26" s="83">
        <v>9004790.8900000136</v>
      </c>
      <c r="BF26" s="401"/>
      <c r="BG26" s="83">
        <v>8428364</v>
      </c>
      <c r="BH26" s="401"/>
      <c r="BI26" s="83">
        <v>8546371.4200000111</v>
      </c>
      <c r="BJ26" s="401"/>
      <c r="BK26" s="83">
        <v>6943965.2200000081</v>
      </c>
      <c r="BL26" s="401"/>
      <c r="BM26" s="83">
        <v>4742231.0500000007</v>
      </c>
      <c r="BN26" s="401"/>
      <c r="BO26" s="83">
        <v>1908104.9400000018</v>
      </c>
      <c r="BP26" s="401"/>
      <c r="BQ26" s="83">
        <f>'P&amp;L -Dec25'!CI186</f>
        <v>743233.32000000263</v>
      </c>
      <c r="BR26" s="401"/>
      <c r="BS26" s="1078">
        <v>-4795572.2710000165</v>
      </c>
      <c r="BT26" s="401"/>
      <c r="BU26" s="83">
        <v>-4355076.6910000201</v>
      </c>
      <c r="BV26" s="401"/>
      <c r="BW26" s="83">
        <v>-5452749.5110000167</v>
      </c>
      <c r="BX26" s="401"/>
      <c r="BY26" s="83">
        <v>-7148508.1410000203</v>
      </c>
      <c r="BZ26" s="401"/>
      <c r="CA26" s="83">
        <v>-5976729.741000019</v>
      </c>
      <c r="CB26" s="401"/>
      <c r="CC26" s="83">
        <v>-4915058.8710000124</v>
      </c>
      <c r="CD26" s="401"/>
      <c r="CE26" s="83">
        <v>-3324099.2410000102</v>
      </c>
      <c r="CF26" s="401"/>
      <c r="CG26" s="83">
        <v>-2617182.4310000064</v>
      </c>
      <c r="CH26" s="401"/>
      <c r="CI26" s="83">
        <v>-1791106.4410000055</v>
      </c>
      <c r="CJ26" s="401"/>
      <c r="CK26" s="83">
        <v>-797966.78100000299</v>
      </c>
      <c r="CL26" s="401"/>
      <c r="CM26" s="83">
        <v>-280848.91100000334</v>
      </c>
      <c r="CN26" s="401"/>
      <c r="CO26" s="83">
        <f>'P&amp;L -Dec25'!BV186</f>
        <v>143106.33999999854</v>
      </c>
      <c r="CP26" s="401"/>
      <c r="CQ26" s="83">
        <f>SUM('P&amp;L -Dec25'!BI186:BT186)</f>
        <v>295731.26000000723</v>
      </c>
      <c r="CR26" s="401"/>
      <c r="CS26" s="83">
        <v>4047696.95</v>
      </c>
      <c r="CT26" s="76"/>
      <c r="CU26" s="83">
        <v>3583223</v>
      </c>
      <c r="CV26" s="76"/>
      <c r="CW26" s="83">
        <v>2440120</v>
      </c>
      <c r="CX26" s="76"/>
      <c r="CY26" s="83">
        <v>3538330.14</v>
      </c>
      <c r="CZ26" s="76"/>
      <c r="DA26" s="83">
        <v>4184384.9799999995</v>
      </c>
      <c r="DB26" s="76"/>
      <c r="DC26" s="83">
        <f>3957000.83+100000</f>
        <v>4057000.83</v>
      </c>
      <c r="DD26" s="76"/>
      <c r="DE26" s="83">
        <v>4000284.94</v>
      </c>
      <c r="DF26" s="76"/>
      <c r="DG26" s="83">
        <v>2847596.92</v>
      </c>
      <c r="DH26" s="76"/>
      <c r="DI26" s="83">
        <v>1943769.29</v>
      </c>
      <c r="DJ26" s="76"/>
      <c r="DK26" s="83">
        <v>1291193.3799999999</v>
      </c>
      <c r="DL26" s="76"/>
      <c r="DM26" s="83">
        <v>232564.46000000002</v>
      </c>
      <c r="DN26" s="76"/>
      <c r="DO26" s="84">
        <v>-3021816.99</v>
      </c>
      <c r="DP26" s="76"/>
      <c r="DQ26" s="84">
        <v>-2722395.6</v>
      </c>
      <c r="DR26" s="76"/>
      <c r="DS26" s="84">
        <v>-3866825.31</v>
      </c>
      <c r="DT26" s="76"/>
      <c r="DU26" s="84">
        <v>-4930527.29</v>
      </c>
      <c r="DV26" s="76"/>
      <c r="DW26" s="84">
        <v>-5347158.5</v>
      </c>
      <c r="DX26" s="76"/>
      <c r="DY26" s="84">
        <v>-5905764.2999999998</v>
      </c>
      <c r="DZ26" s="76"/>
      <c r="EA26" s="84">
        <v>-6302204.9500000002</v>
      </c>
      <c r="EB26" s="76"/>
      <c r="EC26" s="83">
        <v>-6831054.3700000001</v>
      </c>
      <c r="ED26" s="76"/>
      <c r="EE26" s="84">
        <v>-6389273.5800000001</v>
      </c>
      <c r="EF26" s="76"/>
      <c r="EG26" s="83">
        <v>-5955869.2699999996</v>
      </c>
      <c r="EH26" s="76"/>
      <c r="EI26" s="83">
        <v>-3992951.96</v>
      </c>
      <c r="EJ26" s="76"/>
      <c r="EK26" s="83">
        <v>-1778455.21</v>
      </c>
      <c r="EL26" s="76"/>
      <c r="EM26" s="83">
        <v>2174626.7799999998</v>
      </c>
      <c r="EN26" s="76"/>
      <c r="EO26" s="83">
        <v>4337056.18</v>
      </c>
      <c r="EP26" s="76"/>
      <c r="EQ26" s="84">
        <v>4042172.01</v>
      </c>
      <c r="ER26" s="76"/>
      <c r="ES26" s="84">
        <v>3594426.51</v>
      </c>
      <c r="ET26" s="76"/>
      <c r="EU26" s="84">
        <v>3936555.48</v>
      </c>
      <c r="EV26" s="76"/>
      <c r="EW26" s="84">
        <v>3556153.95</v>
      </c>
      <c r="EX26" s="76"/>
      <c r="EY26" s="84">
        <v>3225431.09</v>
      </c>
      <c r="EZ26" s="76"/>
      <c r="FA26" s="84">
        <v>2569778.7599999998</v>
      </c>
      <c r="FB26" s="76"/>
      <c r="FC26" s="84">
        <v>2944852.68</v>
      </c>
      <c r="FD26" s="76"/>
      <c r="FE26" s="84">
        <v>2265117.23</v>
      </c>
      <c r="FF26" s="76"/>
      <c r="FG26" s="84">
        <v>1747141.95</v>
      </c>
      <c r="FH26" s="76"/>
      <c r="FI26" s="84">
        <v>856746.02</v>
      </c>
      <c r="FJ26" s="76"/>
      <c r="FK26" s="84">
        <v>1439264.72</v>
      </c>
      <c r="FL26" s="76"/>
      <c r="FM26" s="84">
        <v>2190799.15</v>
      </c>
      <c r="FN26" s="76"/>
      <c r="FO26" s="84">
        <v>1350619</v>
      </c>
      <c r="FP26" s="76"/>
      <c r="FQ26" s="84">
        <v>1290321.67</v>
      </c>
      <c r="FR26" s="76"/>
      <c r="FS26" s="84">
        <v>1273158.05</v>
      </c>
      <c r="FT26" s="76"/>
      <c r="FU26" s="84">
        <v>1211493.74</v>
      </c>
      <c r="FV26" s="76"/>
      <c r="FW26" s="84">
        <v>1133651.03</v>
      </c>
      <c r="FX26" s="76"/>
      <c r="FY26" s="84">
        <v>842779</v>
      </c>
      <c r="FZ26" s="76"/>
      <c r="GA26" s="84">
        <v>290061</v>
      </c>
      <c r="GB26" s="76"/>
      <c r="GC26" s="84">
        <v>282751.84000000003</v>
      </c>
      <c r="GD26" s="76"/>
      <c r="GE26" s="84">
        <v>192661</v>
      </c>
      <c r="GF26" s="76"/>
      <c r="GG26" s="84">
        <v>281241.43</v>
      </c>
      <c r="GH26" s="76"/>
      <c r="GI26" s="117">
        <v>257394.26</v>
      </c>
      <c r="GJ26" s="76"/>
      <c r="GK26" s="117">
        <v>564874.60999999859</v>
      </c>
      <c r="GL26" s="76"/>
      <c r="GM26" s="117">
        <v>199945.60999999981</v>
      </c>
      <c r="GN26" s="76"/>
      <c r="GO26" s="117">
        <v>-643577.87</v>
      </c>
      <c r="GP26" s="76"/>
      <c r="GQ26" s="117">
        <v>-853723.12000000011</v>
      </c>
      <c r="GR26" s="76"/>
      <c r="GS26" s="117">
        <v>-680031.75</v>
      </c>
      <c r="GT26" s="76"/>
      <c r="GU26" s="117">
        <v>-720272.87</v>
      </c>
      <c r="GV26" s="76"/>
      <c r="GW26" s="117">
        <v>-818294.41</v>
      </c>
      <c r="GX26" s="70"/>
      <c r="GY26" s="117">
        <v>-589701.19999999995</v>
      </c>
      <c r="GZ26" s="70"/>
      <c r="HA26" s="117">
        <v>-676120.44</v>
      </c>
      <c r="HB26" s="76"/>
      <c r="HC26" s="117">
        <v>-523258.41</v>
      </c>
      <c r="HD26" s="70"/>
      <c r="HE26" s="117">
        <v>-217237.79</v>
      </c>
      <c r="HF26" s="70"/>
      <c r="HG26" s="117">
        <v>-1221755</v>
      </c>
    </row>
    <row r="27" spans="1:215" ht="12.75" customHeight="1">
      <c r="A27" s="76" t="s">
        <v>234</v>
      </c>
      <c r="B27" s="76"/>
      <c r="C27" s="118">
        <v>-79860420.019999996</v>
      </c>
      <c r="D27" s="401"/>
      <c r="E27" s="118">
        <v>-79860420.019999996</v>
      </c>
      <c r="F27" s="401"/>
      <c r="G27" s="118">
        <v>-79860420.019999996</v>
      </c>
      <c r="H27" s="401"/>
      <c r="I27" s="118">
        <v>-79856738.049999997</v>
      </c>
      <c r="J27" s="401"/>
      <c r="K27" s="118">
        <v>-79856738.049999997</v>
      </c>
      <c r="L27" s="401"/>
      <c r="M27" s="118">
        <v>-79856738.049999997</v>
      </c>
      <c r="N27" s="401"/>
      <c r="O27" s="118">
        <v>-79856738.049999997</v>
      </c>
      <c r="P27" s="401"/>
      <c r="Q27" s="118">
        <v>-79856738.049999997</v>
      </c>
      <c r="R27" s="401"/>
      <c r="S27" s="118">
        <v>-79856738.049999997</v>
      </c>
      <c r="T27" s="401"/>
      <c r="U27" s="118">
        <v>-79856738.049999997</v>
      </c>
      <c r="V27" s="401"/>
      <c r="W27" s="1145">
        <v>-55793960.420000002</v>
      </c>
      <c r="X27" s="401"/>
      <c r="Y27" s="118">
        <v>7800854.4100000001</v>
      </c>
      <c r="Z27" s="401"/>
      <c r="AA27" s="118">
        <v>7800854.4100000001</v>
      </c>
      <c r="AB27" s="401"/>
      <c r="AC27" s="118">
        <v>7800854.4100000001</v>
      </c>
      <c r="AD27" s="401"/>
      <c r="AE27" s="118">
        <v>7800854.4100000001</v>
      </c>
      <c r="AF27" s="401"/>
      <c r="AG27" s="118">
        <v>7800854.4100000001</v>
      </c>
      <c r="AH27" s="401"/>
      <c r="AI27" s="118">
        <v>7800854.4100000001</v>
      </c>
      <c r="AJ27" s="401"/>
      <c r="AK27" s="118">
        <v>7800854.4100000001</v>
      </c>
      <c r="AL27" s="401"/>
      <c r="AM27" s="118">
        <v>7800854.4100000001</v>
      </c>
      <c r="AN27" s="401"/>
      <c r="AO27" s="118">
        <v>7800854.4100000001</v>
      </c>
      <c r="AP27" s="401"/>
      <c r="AQ27" s="118">
        <v>7800854.4100000001</v>
      </c>
      <c r="AR27" s="401"/>
      <c r="AS27" s="118">
        <v>7800854.4100000001</v>
      </c>
      <c r="AT27" s="401"/>
      <c r="AU27" s="1114">
        <v>-61947699.530000001</v>
      </c>
      <c r="AV27" s="401"/>
      <c r="AW27" s="118">
        <v>-11235022.130000001</v>
      </c>
      <c r="AX27" s="401"/>
      <c r="AY27" s="888">
        <v>-11235022.130000001</v>
      </c>
      <c r="AZ27" s="401"/>
      <c r="BA27" s="118">
        <v>-11235022.130000001</v>
      </c>
      <c r="BB27" s="401"/>
      <c r="BC27" s="118">
        <v>-11235022.130000001</v>
      </c>
      <c r="BD27" s="401"/>
      <c r="BE27" s="118">
        <v>-11235022.130000001</v>
      </c>
      <c r="BF27" s="401"/>
      <c r="BG27" s="118">
        <v>-11235022.130000001</v>
      </c>
      <c r="BH27" s="401"/>
      <c r="BI27" s="118">
        <v>-11235022.130000001</v>
      </c>
      <c r="BJ27" s="401"/>
      <c r="BK27" s="118">
        <v>-11235022.130000001</v>
      </c>
      <c r="BL27" s="401"/>
      <c r="BM27" s="118">
        <v>-11235022.130000001</v>
      </c>
      <c r="BN27" s="401"/>
      <c r="BO27" s="118">
        <v>-11235022.130000001</v>
      </c>
      <c r="BP27" s="401"/>
      <c r="BQ27" s="118">
        <v>-11235022.130000001</v>
      </c>
      <c r="BR27" s="401"/>
      <c r="BS27" s="1086">
        <v>-57152127.020000003</v>
      </c>
      <c r="BT27" s="401"/>
      <c r="BU27" s="118">
        <v>-6439449.6200000001</v>
      </c>
      <c r="BV27" s="401"/>
      <c r="BW27" s="118">
        <v>-6439449.6200000001</v>
      </c>
      <c r="BX27" s="401"/>
      <c r="BY27" s="118">
        <v>-6439449.6200000001</v>
      </c>
      <c r="BZ27" s="401"/>
      <c r="CA27" s="118">
        <v>-6439449.6200000001</v>
      </c>
      <c r="CB27" s="401"/>
      <c r="CC27" s="118">
        <v>-6439449.6200000001</v>
      </c>
      <c r="CD27" s="401"/>
      <c r="CE27" s="118">
        <v>-6439449.6200000001</v>
      </c>
      <c r="CF27" s="401"/>
      <c r="CG27" s="118">
        <v>-6439449.6200000001</v>
      </c>
      <c r="CH27" s="401"/>
      <c r="CI27" s="118">
        <v>-6439450</v>
      </c>
      <c r="CJ27" s="401"/>
      <c r="CK27" s="118">
        <v>-6439449.6200000001</v>
      </c>
      <c r="CL27" s="401"/>
      <c r="CM27" s="118">
        <v>-6439449.6200000001</v>
      </c>
      <c r="CN27" s="401"/>
      <c r="CO27" s="118">
        <f>SUM(CQ26:CQ27)</f>
        <v>-6439450.4299999932</v>
      </c>
      <c r="CP27" s="401"/>
      <c r="CQ27" s="461">
        <v>-6735181.6900000004</v>
      </c>
      <c r="CR27" s="401"/>
      <c r="CS27" s="118">
        <v>-6735181.6900000004</v>
      </c>
      <c r="CT27" s="76"/>
      <c r="CU27" s="118">
        <v>-6735181.6900000004</v>
      </c>
      <c r="CV27" s="76"/>
      <c r="CW27" s="118">
        <v>-6735182</v>
      </c>
      <c r="CX27" s="76"/>
      <c r="CY27" s="118">
        <v>-6735181.6900000004</v>
      </c>
      <c r="CZ27" s="76"/>
      <c r="DA27" s="118">
        <v>-6735181.6900000004</v>
      </c>
      <c r="DB27" s="76"/>
      <c r="DC27" s="118">
        <v>-6735181.6900000004</v>
      </c>
      <c r="DD27" s="76"/>
      <c r="DE27" s="118">
        <v>-6735181.6900000004</v>
      </c>
      <c r="DF27" s="76"/>
      <c r="DG27" s="118">
        <v>-6735181.6900000004</v>
      </c>
      <c r="DH27" s="76"/>
      <c r="DI27" s="118">
        <v>-6735181.6900000004</v>
      </c>
      <c r="DJ27" s="76"/>
      <c r="DK27" s="118">
        <v>-6735181.6900000004</v>
      </c>
      <c r="DL27" s="76"/>
      <c r="DM27" s="118">
        <v>-6735181.6900000004</v>
      </c>
      <c r="DN27" s="76"/>
      <c r="DO27" s="91">
        <v>-3713364.7</v>
      </c>
      <c r="DP27" s="76"/>
      <c r="DQ27" s="91">
        <v>-3713364.7</v>
      </c>
      <c r="DR27" s="76"/>
      <c r="DS27" s="91">
        <v>-3713364.7</v>
      </c>
      <c r="DT27" s="76"/>
      <c r="DU27" s="91">
        <v>-3713364.7</v>
      </c>
      <c r="DV27" s="76"/>
      <c r="DW27" s="91">
        <v>-3713364.7</v>
      </c>
      <c r="DX27" s="76"/>
      <c r="DY27" s="91">
        <v>-3713364.7</v>
      </c>
      <c r="DZ27" s="76"/>
      <c r="EA27" s="91">
        <v>-3713364.7</v>
      </c>
      <c r="EB27" s="76"/>
      <c r="EC27" s="118">
        <v>-3713364.7</v>
      </c>
      <c r="ED27" s="76"/>
      <c r="EE27" s="91">
        <v>-3713364.7</v>
      </c>
      <c r="EF27" s="76"/>
      <c r="EG27" s="118">
        <v>-3713364.7</v>
      </c>
      <c r="EH27" s="76"/>
      <c r="EI27" s="118">
        <v>-3713364.7</v>
      </c>
      <c r="EJ27" s="76"/>
      <c r="EK27" s="118">
        <v>-3713364.7</v>
      </c>
      <c r="EL27" s="76"/>
      <c r="EM27" s="118">
        <v>-5887991.4800000004</v>
      </c>
      <c r="EN27" s="76"/>
      <c r="EO27" s="118">
        <v>472809.56</v>
      </c>
      <c r="EP27" s="76"/>
      <c r="EQ27" s="91">
        <v>472809.56</v>
      </c>
      <c r="ER27" s="76"/>
      <c r="ES27" s="91">
        <v>509879.55</v>
      </c>
      <c r="ET27" s="76"/>
      <c r="EU27" s="91">
        <v>509879.55</v>
      </c>
      <c r="EV27" s="76"/>
      <c r="EW27" s="91">
        <v>509879.55</v>
      </c>
      <c r="EX27" s="76"/>
      <c r="EY27" s="91">
        <v>509879.55</v>
      </c>
      <c r="EZ27" s="76"/>
      <c r="FA27" s="91">
        <v>509879.55</v>
      </c>
      <c r="FB27" s="76"/>
      <c r="FC27" s="91">
        <v>509879.55</v>
      </c>
      <c r="FD27" s="76"/>
      <c r="FE27" s="91">
        <v>509879.55</v>
      </c>
      <c r="FF27" s="76"/>
      <c r="FG27" s="91">
        <v>509879.55</v>
      </c>
      <c r="FH27" s="76"/>
      <c r="FI27" s="91">
        <v>509879.55</v>
      </c>
      <c r="FJ27" s="76"/>
      <c r="FK27" s="91">
        <v>-929385.17</v>
      </c>
      <c r="FL27" s="76"/>
      <c r="FM27" s="91">
        <v>-929385.17</v>
      </c>
      <c r="FN27" s="76"/>
      <c r="FO27" s="91">
        <v>-929385.17</v>
      </c>
      <c r="FP27" s="76"/>
      <c r="FQ27" s="91">
        <v>-929385.17</v>
      </c>
      <c r="FR27" s="76"/>
      <c r="FS27" s="91">
        <v>-929385.17</v>
      </c>
      <c r="FT27" s="76"/>
      <c r="FU27" s="91">
        <v>-929385.17</v>
      </c>
      <c r="FV27" s="76"/>
      <c r="FW27" s="91">
        <v>-929385.17</v>
      </c>
      <c r="FX27" s="76"/>
      <c r="FY27" s="91">
        <v>-929385.17</v>
      </c>
      <c r="FZ27" s="76"/>
      <c r="GA27" s="91">
        <v>-929385.17</v>
      </c>
      <c r="GB27" s="76"/>
      <c r="GC27" s="91">
        <v>-929385.17</v>
      </c>
      <c r="GD27" s="76"/>
      <c r="GE27" s="91">
        <v>-929385</v>
      </c>
      <c r="GF27" s="76"/>
      <c r="GG27" s="91">
        <v>-929385</v>
      </c>
      <c r="GH27" s="76"/>
      <c r="GI27" s="92">
        <v>-1186779.43</v>
      </c>
      <c r="GJ27" s="76"/>
      <c r="GK27" s="92">
        <v>-1186779.43</v>
      </c>
      <c r="GL27" s="76"/>
      <c r="GM27" s="92">
        <v>-1186779.43</v>
      </c>
      <c r="GN27" s="76"/>
      <c r="GO27" s="92">
        <v>-1186779.43</v>
      </c>
      <c r="GP27" s="76"/>
      <c r="GQ27" s="92">
        <v>-1186779.43</v>
      </c>
      <c r="GR27" s="76"/>
      <c r="GS27" s="92">
        <v>-1186779.43</v>
      </c>
      <c r="GT27" s="76"/>
      <c r="GU27" s="92">
        <v>-1186779.43</v>
      </c>
      <c r="GV27" s="76"/>
      <c r="GW27" s="92">
        <v>-1186779.43</v>
      </c>
      <c r="GX27" s="70"/>
      <c r="GY27" s="92">
        <v>-1186779.43</v>
      </c>
      <c r="GZ27" s="70"/>
      <c r="HA27" s="92">
        <v>-1186779.4300000002</v>
      </c>
      <c r="HB27" s="76"/>
      <c r="HC27" s="92">
        <v>-1186779.4300000002</v>
      </c>
      <c r="HD27" s="70"/>
      <c r="HE27" s="92">
        <v>-1186779.4300000002</v>
      </c>
      <c r="HF27" s="70"/>
      <c r="HG27" s="92">
        <v>-201214.11</v>
      </c>
    </row>
    <row r="28" spans="1:215" ht="12.75" customHeight="1">
      <c r="A28" s="76" t="s">
        <v>235</v>
      </c>
      <c r="B28" s="76"/>
      <c r="C28" s="118">
        <v>-6359333.0800000001</v>
      </c>
      <c r="D28" s="401"/>
      <c r="E28" s="118">
        <v>-7328623.2400000002</v>
      </c>
      <c r="F28" s="401"/>
      <c r="G28" s="118">
        <v>-8297913.4000000004</v>
      </c>
      <c r="H28" s="401"/>
      <c r="I28" s="118">
        <v>-9267203.5600000005</v>
      </c>
      <c r="J28" s="401"/>
      <c r="K28" s="118">
        <v>-10236493.720000001</v>
      </c>
      <c r="L28" s="401"/>
      <c r="M28" s="118">
        <v>-11205783.880000001</v>
      </c>
      <c r="N28" s="401"/>
      <c r="O28" s="118">
        <v>-12175074.039999999</v>
      </c>
      <c r="P28" s="401"/>
      <c r="Q28" s="118">
        <v>-13144364.199999999</v>
      </c>
      <c r="R28" s="401"/>
      <c r="S28" s="118">
        <v>-14113654.359999999</v>
      </c>
      <c r="T28" s="401"/>
      <c r="U28" s="118">
        <v>-7216694.5199999996</v>
      </c>
      <c r="V28" s="401"/>
      <c r="W28" s="1145">
        <v>0</v>
      </c>
      <c r="X28" s="401"/>
      <c r="Y28" s="118">
        <v>0</v>
      </c>
      <c r="Z28" s="401"/>
      <c r="AA28" s="118">
        <v>0</v>
      </c>
      <c r="AB28" s="401"/>
      <c r="AC28" s="118">
        <v>0</v>
      </c>
      <c r="AD28" s="401"/>
      <c r="AE28" s="118">
        <v>0</v>
      </c>
      <c r="AF28" s="401"/>
      <c r="AG28" s="118">
        <v>0</v>
      </c>
      <c r="AH28" s="401"/>
      <c r="AI28" s="118">
        <v>0</v>
      </c>
      <c r="AJ28" s="401"/>
      <c r="AK28" s="118">
        <v>0</v>
      </c>
      <c r="AL28" s="401"/>
      <c r="AM28" s="118">
        <v>0</v>
      </c>
      <c r="AN28" s="401"/>
      <c r="AO28" s="118">
        <v>0</v>
      </c>
      <c r="AP28" s="401"/>
      <c r="AQ28" s="118">
        <v>0</v>
      </c>
      <c r="AR28" s="401"/>
      <c r="AS28" s="118">
        <v>0</v>
      </c>
      <c r="AT28" s="401"/>
      <c r="AU28" s="1114">
        <v>0</v>
      </c>
      <c r="AV28" s="401"/>
      <c r="AW28" s="118">
        <v>0</v>
      </c>
      <c r="AX28" s="401"/>
      <c r="AY28" s="888">
        <v>0</v>
      </c>
      <c r="AZ28" s="401"/>
      <c r="BA28" s="118">
        <v>0</v>
      </c>
      <c r="BB28" s="401"/>
      <c r="BC28" s="118">
        <v>0</v>
      </c>
      <c r="BD28" s="401"/>
      <c r="BE28" s="118">
        <v>0</v>
      </c>
      <c r="BF28" s="401"/>
      <c r="BG28" s="118">
        <v>0</v>
      </c>
      <c r="BH28" s="401"/>
      <c r="BI28" s="118">
        <v>0</v>
      </c>
      <c r="BJ28" s="401"/>
      <c r="BK28" s="118">
        <v>0</v>
      </c>
      <c r="BL28" s="401"/>
      <c r="BM28" s="118">
        <v>0</v>
      </c>
      <c r="BN28" s="401"/>
      <c r="BO28" s="118">
        <v>0</v>
      </c>
      <c r="BP28" s="401"/>
      <c r="BQ28" s="118">
        <v>0</v>
      </c>
      <c r="BR28" s="401"/>
      <c r="BS28" s="1086">
        <v>0</v>
      </c>
      <c r="BT28" s="401"/>
      <c r="BU28" s="118">
        <v>0</v>
      </c>
      <c r="BV28" s="401"/>
      <c r="BW28" s="118">
        <v>492112.55</v>
      </c>
      <c r="BX28" s="401"/>
      <c r="BY28" s="118">
        <v>721696.42</v>
      </c>
      <c r="BZ28" s="401"/>
      <c r="CA28" s="118">
        <v>341280.29</v>
      </c>
      <c r="CB28" s="401"/>
      <c r="CC28" s="118">
        <v>-39135.839999999997</v>
      </c>
      <c r="CD28" s="401"/>
      <c r="CE28" s="118">
        <v>690448.03</v>
      </c>
      <c r="CF28" s="401"/>
      <c r="CG28" s="118">
        <v>166710.9</v>
      </c>
      <c r="CH28" s="401"/>
      <c r="CI28" s="118">
        <v>-357026.23</v>
      </c>
      <c r="CJ28" s="401"/>
      <c r="CK28" s="118">
        <v>-820491.61</v>
      </c>
      <c r="CL28" s="401"/>
      <c r="CM28" s="118">
        <v>-1346453.77</v>
      </c>
      <c r="CN28" s="401"/>
      <c r="CO28" s="118">
        <v>-1872415.93</v>
      </c>
      <c r="CP28" s="401"/>
      <c r="CQ28" s="461">
        <v>-2398378.09</v>
      </c>
      <c r="CR28" s="401"/>
      <c r="CS28" s="118">
        <v>-67836.33</v>
      </c>
      <c r="CT28" s="76"/>
      <c r="CU28" s="118">
        <v>-19246.88</v>
      </c>
      <c r="CV28" s="76"/>
      <c r="CW28" s="118">
        <v>-52443</v>
      </c>
      <c r="CX28" s="76"/>
      <c r="CY28" s="118">
        <v>-147486.37</v>
      </c>
      <c r="CZ28" s="76"/>
      <c r="DA28" s="118">
        <v>-195988.58</v>
      </c>
      <c r="DB28" s="76"/>
      <c r="DC28" s="118">
        <v>-298671.89</v>
      </c>
      <c r="DD28" s="76"/>
      <c r="DE28" s="118">
        <v>-369515.35</v>
      </c>
      <c r="DF28" s="76"/>
      <c r="DG28" s="118">
        <v>-332948.62</v>
      </c>
      <c r="DH28" s="76"/>
      <c r="DI28" s="118">
        <v>92622.42</v>
      </c>
      <c r="DJ28" s="76"/>
      <c r="DK28" s="118">
        <v>-95743.07</v>
      </c>
      <c r="DL28" s="76"/>
      <c r="DM28" s="118">
        <v>-329000.42</v>
      </c>
      <c r="DN28" s="76"/>
      <c r="DO28" s="91">
        <v>-509472.82</v>
      </c>
      <c r="DP28" s="76"/>
      <c r="DQ28" s="91">
        <v>-714095.89</v>
      </c>
      <c r="DR28" s="76"/>
      <c r="DS28" s="91">
        <v>-410634.4</v>
      </c>
      <c r="DT28" s="76"/>
      <c r="DU28" s="91">
        <v>-103893.01</v>
      </c>
      <c r="DV28" s="76"/>
      <c r="DW28" s="91">
        <v>-119891.65</v>
      </c>
      <c r="DX28" s="76"/>
      <c r="DY28" s="91">
        <v>-450402.01</v>
      </c>
      <c r="DZ28" s="76"/>
      <c r="EA28" s="91">
        <v>-606418.78</v>
      </c>
      <c r="EB28" s="76"/>
      <c r="EC28" s="118">
        <v>-1013989.23</v>
      </c>
      <c r="ED28" s="76"/>
      <c r="EE28" s="91">
        <v>-1276809.68</v>
      </c>
      <c r="EF28" s="76"/>
      <c r="EG28" s="118">
        <v>-345532.37</v>
      </c>
      <c r="EH28" s="76"/>
      <c r="EI28" s="118">
        <v>-491534.1</v>
      </c>
      <c r="EJ28" s="76"/>
      <c r="EK28" s="118">
        <v>-885364.61</v>
      </c>
      <c r="EL28" s="76"/>
      <c r="EM28" s="118">
        <v>-554435.88</v>
      </c>
      <c r="EN28" s="76"/>
      <c r="EO28" s="118">
        <v>-1058786.4099999999</v>
      </c>
      <c r="EP28" s="76"/>
      <c r="EQ28" s="91">
        <v>-1390028.85</v>
      </c>
      <c r="ER28" s="76"/>
      <c r="ES28" s="91">
        <v>-594235.29</v>
      </c>
      <c r="ET28" s="76"/>
      <c r="EU28" s="91">
        <v>-335657.89</v>
      </c>
      <c r="EV28" s="76"/>
      <c r="EW28" s="91">
        <v>-467178.82</v>
      </c>
      <c r="EX28" s="76"/>
      <c r="EY28" s="91">
        <v>-236769.96</v>
      </c>
      <c r="EZ28" s="76"/>
      <c r="FA28" s="91">
        <v>-384143.87</v>
      </c>
      <c r="FB28" s="76"/>
      <c r="FC28" s="91">
        <v>-351967.78</v>
      </c>
      <c r="FD28" s="76"/>
      <c r="FE28" s="91">
        <v>-370529.16</v>
      </c>
      <c r="FF28" s="76"/>
      <c r="FG28" s="91">
        <v>-465175.15</v>
      </c>
      <c r="FH28" s="76"/>
      <c r="FI28" s="91">
        <v>-175002.66</v>
      </c>
      <c r="FJ28" s="76"/>
      <c r="FK28" s="91">
        <v>-78699.960000000006</v>
      </c>
      <c r="FL28" s="76"/>
      <c r="FM28" s="91">
        <v>-164581.75</v>
      </c>
      <c r="FN28" s="76"/>
      <c r="FO28" s="91">
        <v>-400833.33</v>
      </c>
      <c r="FP28" s="76"/>
      <c r="FQ28" s="91">
        <v>0</v>
      </c>
      <c r="FR28" s="76"/>
      <c r="FS28" s="91">
        <v>0</v>
      </c>
      <c r="FT28" s="76"/>
      <c r="FU28" s="91">
        <v>0</v>
      </c>
      <c r="FV28" s="76"/>
      <c r="FW28" s="91">
        <v>0</v>
      </c>
      <c r="FX28" s="76"/>
      <c r="FY28" s="91">
        <v>0</v>
      </c>
      <c r="FZ28" s="76"/>
      <c r="GA28" s="91">
        <v>0</v>
      </c>
      <c r="GB28" s="76"/>
      <c r="GC28" s="91">
        <v>0</v>
      </c>
      <c r="GD28" s="76"/>
      <c r="GE28" s="91">
        <v>0</v>
      </c>
      <c r="GF28" s="76"/>
      <c r="GG28" s="91">
        <v>0</v>
      </c>
      <c r="GH28" s="76"/>
      <c r="GI28" s="91">
        <v>0</v>
      </c>
      <c r="GJ28" s="76"/>
      <c r="GK28" s="91">
        <v>0</v>
      </c>
      <c r="GL28" s="76"/>
      <c r="GM28" s="91">
        <v>0</v>
      </c>
      <c r="GN28" s="76"/>
      <c r="GO28" s="91">
        <v>0</v>
      </c>
      <c r="GP28" s="76"/>
      <c r="GQ28" s="91">
        <v>0</v>
      </c>
      <c r="GR28" s="76"/>
      <c r="GS28" s="91">
        <v>0</v>
      </c>
      <c r="GT28" s="76"/>
      <c r="GU28" s="91">
        <v>0</v>
      </c>
      <c r="GV28" s="76"/>
      <c r="GW28" s="91">
        <v>0</v>
      </c>
      <c r="GX28" s="70"/>
      <c r="GY28" s="91">
        <v>0</v>
      </c>
      <c r="GZ28" s="70"/>
      <c r="HA28" s="91">
        <v>0</v>
      </c>
      <c r="HB28" s="76"/>
      <c r="HC28" s="91">
        <v>0</v>
      </c>
      <c r="HD28" s="70"/>
      <c r="HE28" s="91">
        <v>0</v>
      </c>
      <c r="HF28" s="70"/>
      <c r="HG28" s="92"/>
    </row>
    <row r="29" spans="1:215" ht="12.75" hidden="1" customHeight="1">
      <c r="A29" s="76" t="s">
        <v>236</v>
      </c>
      <c r="B29" s="76"/>
      <c r="C29" s="118">
        <v>0</v>
      </c>
      <c r="D29" s="401"/>
      <c r="E29" s="118">
        <v>0</v>
      </c>
      <c r="F29" s="401"/>
      <c r="G29" s="118">
        <v>0</v>
      </c>
      <c r="H29" s="401"/>
      <c r="I29" s="118">
        <v>0</v>
      </c>
      <c r="J29" s="401"/>
      <c r="K29" s="118">
        <v>0</v>
      </c>
      <c r="L29" s="401"/>
      <c r="M29" s="118">
        <v>0</v>
      </c>
      <c r="N29" s="401"/>
      <c r="O29" s="118">
        <v>0</v>
      </c>
      <c r="P29" s="401"/>
      <c r="Q29" s="118">
        <v>0</v>
      </c>
      <c r="R29" s="401"/>
      <c r="S29" s="118">
        <v>0</v>
      </c>
      <c r="T29" s="401"/>
      <c r="U29" s="118">
        <v>0</v>
      </c>
      <c r="V29" s="401"/>
      <c r="W29" s="1145">
        <v>0</v>
      </c>
      <c r="X29" s="401"/>
      <c r="Y29" s="118">
        <v>0</v>
      </c>
      <c r="Z29" s="401"/>
      <c r="AA29" s="118">
        <v>0</v>
      </c>
      <c r="AB29" s="401"/>
      <c r="AC29" s="118">
        <v>0</v>
      </c>
      <c r="AD29" s="401"/>
      <c r="AE29" s="118">
        <v>0</v>
      </c>
      <c r="AF29" s="401"/>
      <c r="AG29" s="118">
        <v>0</v>
      </c>
      <c r="AH29" s="401"/>
      <c r="AI29" s="118">
        <v>0</v>
      </c>
      <c r="AJ29" s="401"/>
      <c r="AK29" s="118">
        <v>0</v>
      </c>
      <c r="AL29" s="401"/>
      <c r="AM29" s="118">
        <v>0</v>
      </c>
      <c r="AN29" s="401"/>
      <c r="AO29" s="118">
        <v>0</v>
      </c>
      <c r="AP29" s="401"/>
      <c r="AQ29" s="118">
        <v>0</v>
      </c>
      <c r="AR29" s="401"/>
      <c r="AS29" s="118">
        <v>0</v>
      </c>
      <c r="AT29" s="401"/>
      <c r="AU29" s="1114">
        <v>0</v>
      </c>
      <c r="AV29" s="401"/>
      <c r="AW29" s="118">
        <v>0</v>
      </c>
      <c r="AX29" s="401"/>
      <c r="AY29" s="888">
        <v>0</v>
      </c>
      <c r="AZ29" s="401"/>
      <c r="BA29" s="118">
        <v>0</v>
      </c>
      <c r="BB29" s="401"/>
      <c r="BC29" s="118">
        <v>0</v>
      </c>
      <c r="BD29" s="401"/>
      <c r="BE29" s="118">
        <v>0</v>
      </c>
      <c r="BF29" s="401"/>
      <c r="BG29" s="118">
        <v>0</v>
      </c>
      <c r="BH29" s="401"/>
      <c r="BI29" s="118">
        <v>0</v>
      </c>
      <c r="BJ29" s="401"/>
      <c r="BK29" s="118">
        <v>0</v>
      </c>
      <c r="BL29" s="401"/>
      <c r="BM29" s="118">
        <v>0</v>
      </c>
      <c r="BN29" s="401"/>
      <c r="BO29" s="118">
        <v>0</v>
      </c>
      <c r="BP29" s="401"/>
      <c r="BQ29" s="118">
        <v>0</v>
      </c>
      <c r="BR29" s="401"/>
      <c r="BS29" s="1086">
        <v>0</v>
      </c>
      <c r="BT29" s="401"/>
      <c r="BU29" s="118">
        <v>0</v>
      </c>
      <c r="BV29" s="401"/>
      <c r="BW29" s="118">
        <v>0</v>
      </c>
      <c r="BX29" s="401"/>
      <c r="BY29" s="118">
        <v>0</v>
      </c>
      <c r="BZ29" s="401"/>
      <c r="CA29" s="118">
        <v>0</v>
      </c>
      <c r="CB29" s="401"/>
      <c r="CC29" s="118">
        <v>0</v>
      </c>
      <c r="CD29" s="401"/>
      <c r="CE29" s="118">
        <v>0</v>
      </c>
      <c r="CF29" s="401"/>
      <c r="CG29" s="118">
        <v>0</v>
      </c>
      <c r="CH29" s="401"/>
      <c r="CI29" s="118">
        <v>0</v>
      </c>
      <c r="CJ29" s="401"/>
      <c r="CK29" s="118">
        <v>0</v>
      </c>
      <c r="CL29" s="401"/>
      <c r="CM29" s="118">
        <v>0</v>
      </c>
      <c r="CN29" s="401"/>
      <c r="CO29" s="118">
        <v>0</v>
      </c>
      <c r="CP29" s="401"/>
      <c r="CQ29" s="118">
        <v>0</v>
      </c>
      <c r="CR29" s="401"/>
      <c r="CS29" s="118">
        <v>0</v>
      </c>
      <c r="CT29" s="76"/>
      <c r="CU29" s="118">
        <v>0</v>
      </c>
      <c r="CV29" s="76"/>
      <c r="CW29" s="118">
        <v>0</v>
      </c>
      <c r="CX29" s="76"/>
      <c r="CY29" s="118">
        <v>0</v>
      </c>
      <c r="CZ29" s="76"/>
      <c r="DA29" s="118">
        <v>0</v>
      </c>
      <c r="DB29" s="76"/>
      <c r="DC29" s="118">
        <v>0</v>
      </c>
      <c r="DD29" s="76"/>
      <c r="DE29" s="118">
        <v>0</v>
      </c>
      <c r="DF29" s="76"/>
      <c r="DG29" s="118">
        <v>0</v>
      </c>
      <c r="DH29" s="76"/>
      <c r="DI29" s="118">
        <v>0</v>
      </c>
      <c r="DJ29" s="76"/>
      <c r="DK29" s="118">
        <v>0</v>
      </c>
      <c r="DL29" s="76"/>
      <c r="DM29" s="118">
        <v>0</v>
      </c>
      <c r="DN29" s="76"/>
      <c r="DO29" s="91">
        <v>0</v>
      </c>
      <c r="DP29" s="76"/>
      <c r="DQ29" s="91">
        <v>242013.52</v>
      </c>
      <c r="DR29" s="76"/>
      <c r="DS29" s="91">
        <v>174103.17</v>
      </c>
      <c r="DT29" s="76"/>
      <c r="DU29" s="91">
        <v>196506.64</v>
      </c>
      <c r="DV29" s="76"/>
      <c r="DW29" s="91">
        <v>0</v>
      </c>
      <c r="DX29" s="76"/>
      <c r="DY29" s="91">
        <v>0</v>
      </c>
      <c r="DZ29" s="76"/>
      <c r="EA29" s="91">
        <v>0</v>
      </c>
      <c r="EB29" s="76"/>
      <c r="EC29" s="91">
        <v>0</v>
      </c>
      <c r="ED29" s="76"/>
      <c r="EE29" s="91">
        <v>0</v>
      </c>
      <c r="EF29" s="76"/>
      <c r="EG29" s="91">
        <v>0</v>
      </c>
      <c r="EH29" s="76"/>
      <c r="EI29" s="91">
        <v>0</v>
      </c>
      <c r="EJ29" s="76"/>
      <c r="EK29" s="91">
        <v>0</v>
      </c>
      <c r="EL29" s="76"/>
      <c r="EM29" s="91">
        <v>0</v>
      </c>
      <c r="EN29" s="76"/>
      <c r="EO29" s="91">
        <v>0</v>
      </c>
      <c r="EP29" s="76"/>
      <c r="EQ29" s="91">
        <v>0</v>
      </c>
      <c r="ER29" s="76"/>
      <c r="ES29" s="91">
        <v>0</v>
      </c>
      <c r="ET29" s="76"/>
      <c r="EU29" s="91">
        <v>0</v>
      </c>
      <c r="EV29" s="76"/>
      <c r="EW29" s="91">
        <v>0</v>
      </c>
      <c r="EX29" s="76"/>
      <c r="EY29" s="91">
        <v>0</v>
      </c>
      <c r="EZ29" s="76"/>
      <c r="FA29" s="91">
        <v>0</v>
      </c>
      <c r="FB29" s="76"/>
      <c r="FC29" s="91">
        <v>0</v>
      </c>
      <c r="FD29" s="76"/>
      <c r="FE29" s="91">
        <v>0</v>
      </c>
      <c r="FF29" s="76"/>
      <c r="FG29" s="91">
        <v>0</v>
      </c>
      <c r="FH29" s="76"/>
      <c r="FI29" s="91">
        <v>0</v>
      </c>
      <c r="FJ29" s="76"/>
      <c r="FK29" s="91">
        <v>0</v>
      </c>
      <c r="FL29" s="76"/>
      <c r="FM29" s="91">
        <v>0</v>
      </c>
      <c r="FN29" s="76"/>
      <c r="FO29" s="91">
        <v>0</v>
      </c>
      <c r="FP29" s="76"/>
      <c r="FQ29" s="91">
        <v>0</v>
      </c>
      <c r="FR29" s="76"/>
      <c r="FS29" s="91">
        <v>0</v>
      </c>
      <c r="FT29" s="76"/>
      <c r="FU29" s="91">
        <v>0</v>
      </c>
      <c r="FV29" s="76"/>
      <c r="FW29" s="91">
        <v>0</v>
      </c>
      <c r="FX29" s="76"/>
      <c r="FY29" s="91">
        <v>0</v>
      </c>
      <c r="FZ29" s="76"/>
      <c r="GA29" s="91">
        <v>0</v>
      </c>
      <c r="GB29" s="76"/>
      <c r="GC29" s="91">
        <v>0</v>
      </c>
      <c r="GD29" s="76"/>
      <c r="GE29" s="91">
        <v>0</v>
      </c>
      <c r="GF29" s="76"/>
      <c r="GG29" s="91">
        <v>0</v>
      </c>
      <c r="GH29" s="76"/>
      <c r="GI29" s="91">
        <v>0</v>
      </c>
      <c r="GJ29" s="76"/>
      <c r="GK29" s="91">
        <v>0</v>
      </c>
      <c r="GL29" s="76"/>
      <c r="GM29" s="91">
        <v>0</v>
      </c>
      <c r="GN29" s="76"/>
      <c r="GO29" s="91">
        <v>0</v>
      </c>
      <c r="GP29" s="76"/>
      <c r="GQ29" s="91">
        <v>0</v>
      </c>
      <c r="GR29" s="76"/>
      <c r="GS29" s="91">
        <v>0</v>
      </c>
      <c r="GT29" s="76"/>
      <c r="GU29" s="91">
        <v>0</v>
      </c>
      <c r="GV29" s="76"/>
      <c r="GW29" s="91">
        <v>0</v>
      </c>
      <c r="GX29" s="70"/>
      <c r="GY29" s="91">
        <v>0</v>
      </c>
      <c r="GZ29" s="70"/>
      <c r="HA29" s="91">
        <v>0</v>
      </c>
      <c r="HB29" s="76"/>
      <c r="HC29" s="91">
        <v>0</v>
      </c>
      <c r="HD29" s="70"/>
      <c r="HE29" s="91">
        <v>0</v>
      </c>
      <c r="HF29" s="70"/>
      <c r="HG29" s="92"/>
    </row>
    <row r="30" spans="1:215" ht="12.75" customHeight="1">
      <c r="A30" s="76" t="s">
        <v>237</v>
      </c>
      <c r="B30" s="76"/>
      <c r="C30" s="119">
        <v>644264685.18000007</v>
      </c>
      <c r="D30" s="401"/>
      <c r="E30" s="119">
        <v>644085595.08000004</v>
      </c>
      <c r="F30" s="401"/>
      <c r="G30" s="119">
        <v>643908789.02999997</v>
      </c>
      <c r="H30" s="401"/>
      <c r="I30" s="119">
        <v>643558551.91999996</v>
      </c>
      <c r="J30" s="401"/>
      <c r="K30" s="119">
        <v>643208314.80999994</v>
      </c>
      <c r="L30" s="401"/>
      <c r="M30" s="119">
        <v>642858077.70000005</v>
      </c>
      <c r="N30" s="401"/>
      <c r="O30" s="119">
        <v>642361526.59000003</v>
      </c>
      <c r="P30" s="401"/>
      <c r="Q30" s="119">
        <v>641864975.48000002</v>
      </c>
      <c r="R30" s="401"/>
      <c r="S30" s="119">
        <v>641368424.37</v>
      </c>
      <c r="T30" s="401"/>
      <c r="U30" s="119">
        <v>640871873.25999999</v>
      </c>
      <c r="V30" s="401"/>
      <c r="W30" s="1146">
        <v>640375322.14999998</v>
      </c>
      <c r="X30" s="401"/>
      <c r="Y30" s="119">
        <v>639425037.38999999</v>
      </c>
      <c r="Z30" s="401"/>
      <c r="AA30" s="119">
        <v>638474752.63</v>
      </c>
      <c r="AB30" s="401"/>
      <c r="AC30" s="119">
        <v>637524467.87</v>
      </c>
      <c r="AD30" s="401"/>
      <c r="AE30" s="119">
        <v>636574183.11000001</v>
      </c>
      <c r="AF30" s="401"/>
      <c r="AG30" s="119">
        <v>635623898.35000002</v>
      </c>
      <c r="AH30" s="401"/>
      <c r="AI30" s="119">
        <v>634673613.59000003</v>
      </c>
      <c r="AJ30" s="401"/>
      <c r="AK30" s="119">
        <v>633966193.69000006</v>
      </c>
      <c r="AL30" s="401"/>
      <c r="AM30" s="119">
        <v>633298422.76999998</v>
      </c>
      <c r="AN30" s="401"/>
      <c r="AO30" s="119">
        <v>632490190.26999998</v>
      </c>
      <c r="AP30" s="401"/>
      <c r="AQ30" s="119">
        <v>631520222.84000003</v>
      </c>
      <c r="AR30" s="401"/>
      <c r="AS30" s="119">
        <v>630550255.40999997</v>
      </c>
      <c r="AT30" s="401"/>
      <c r="AU30" s="1115">
        <v>629580287.98000002</v>
      </c>
      <c r="AV30" s="401"/>
      <c r="AW30" s="119">
        <v>629659082.91999996</v>
      </c>
      <c r="AX30" s="401"/>
      <c r="AY30" s="119">
        <v>629638578.07000005</v>
      </c>
      <c r="AZ30" s="401"/>
      <c r="BA30" s="119">
        <v>629618073.22000003</v>
      </c>
      <c r="BB30" s="401"/>
      <c r="BC30" s="119">
        <v>629596297.33000004</v>
      </c>
      <c r="BD30" s="401"/>
      <c r="BE30" s="119">
        <v>629574521.44000006</v>
      </c>
      <c r="BF30" s="401"/>
      <c r="BG30" s="119">
        <v>629530957.38999999</v>
      </c>
      <c r="BH30" s="401"/>
      <c r="BI30" s="119">
        <v>629487393.34000003</v>
      </c>
      <c r="BJ30" s="401"/>
      <c r="BK30" s="119">
        <v>629443829.28999996</v>
      </c>
      <c r="BL30" s="401"/>
      <c r="BM30" s="119">
        <v>629400265</v>
      </c>
      <c r="BN30" s="401"/>
      <c r="BO30" s="119">
        <v>629356701</v>
      </c>
      <c r="BP30" s="401"/>
      <c r="BQ30" s="119">
        <v>629441491</v>
      </c>
      <c r="BR30" s="401"/>
      <c r="BS30" s="1087">
        <v>629545905.88</v>
      </c>
      <c r="BT30" s="401"/>
      <c r="BU30" s="119">
        <v>639006658.52999997</v>
      </c>
      <c r="BW30" s="119">
        <v>210078415.19999999</v>
      </c>
      <c r="BX30" s="401"/>
      <c r="BY30" s="119">
        <v>211680063.63</v>
      </c>
      <c r="BZ30" s="401"/>
      <c r="CA30" s="119">
        <v>218066797.68000001</v>
      </c>
      <c r="CB30" s="401"/>
      <c r="CC30" s="119">
        <v>216743653.22999999</v>
      </c>
      <c r="CD30" s="401"/>
      <c r="CE30" s="119">
        <v>211438470.94999999</v>
      </c>
      <c r="CF30" s="401"/>
      <c r="CG30" s="119">
        <v>208079368.78999999</v>
      </c>
      <c r="CH30" s="401"/>
      <c r="CI30" s="119">
        <v>206401777.78</v>
      </c>
      <c r="CJ30" s="401"/>
      <c r="CK30" s="119">
        <v>202731754.69999999</v>
      </c>
      <c r="CL30" s="401"/>
      <c r="CM30" s="119">
        <v>203712516.80000001</v>
      </c>
      <c r="CN30" s="401"/>
      <c r="CO30" s="119">
        <f>194166653.91+2427510</f>
        <v>196594163.91</v>
      </c>
      <c r="CP30" s="401"/>
      <c r="CQ30" s="119">
        <f>109344748+2427509.81</f>
        <v>111772257.81</v>
      </c>
      <c r="CR30" s="401"/>
      <c r="CS30" s="119">
        <f>153914612.72+1556615.94</f>
        <v>155471228.66</v>
      </c>
      <c r="CT30" s="76"/>
      <c r="CU30" s="119">
        <v>110773902.88</v>
      </c>
      <c r="CV30" s="76"/>
      <c r="CW30" s="119">
        <f>109344748+1556615.94</f>
        <v>110901363.94</v>
      </c>
      <c r="CX30" s="76"/>
      <c r="CY30" s="119">
        <f>109344748+1556615.94</f>
        <v>110901363.94</v>
      </c>
      <c r="CZ30" s="76"/>
      <c r="DA30" s="119">
        <f>109344748+1556615.94</f>
        <v>110901363.94</v>
      </c>
      <c r="DB30" s="76"/>
      <c r="DC30" s="119">
        <f>109344748+1556615.94</f>
        <v>110901363.94</v>
      </c>
      <c r="DD30" s="76"/>
      <c r="DE30" s="119">
        <f>109344748+1556615.94</f>
        <v>110901363.94</v>
      </c>
      <c r="DF30" s="76"/>
      <c r="DG30" s="119">
        <f>109344748+1556615.94</f>
        <v>110901363.94</v>
      </c>
      <c r="DH30" s="76"/>
      <c r="DI30" s="119">
        <f>109344748+1556615.94</f>
        <v>110901363.94</v>
      </c>
      <c r="DJ30" s="76"/>
      <c r="DK30" s="119">
        <f>109344748+1556615.94</f>
        <v>110901363.94</v>
      </c>
      <c r="DL30" s="76"/>
      <c r="DM30" s="119">
        <f>109382448+1556615.94</f>
        <v>110939063.94</v>
      </c>
      <c r="DN30" s="76"/>
      <c r="DO30" s="120">
        <v>110939063.94</v>
      </c>
      <c r="DP30" s="76"/>
      <c r="DQ30" s="120">
        <v>110744345.55</v>
      </c>
      <c r="DR30" s="76"/>
      <c r="DS30" s="120">
        <v>110744345.55</v>
      </c>
      <c r="DT30" s="76"/>
      <c r="DU30" s="120">
        <v>110744345.55</v>
      </c>
      <c r="DV30" s="76"/>
      <c r="DW30" s="120">
        <v>110744345.55</v>
      </c>
      <c r="DX30" s="76"/>
      <c r="DY30" s="120">
        <v>110744345.55</v>
      </c>
      <c r="DZ30" s="76"/>
      <c r="EA30" s="120">
        <v>110744345.55</v>
      </c>
      <c r="EB30" s="76"/>
      <c r="EC30" s="119">
        <v>110744345.55</v>
      </c>
      <c r="ED30" s="76"/>
      <c r="EE30" s="119">
        <v>110744345.55</v>
      </c>
      <c r="EF30" s="76"/>
      <c r="EG30" s="119">
        <v>110744345.55</v>
      </c>
      <c r="EH30" s="76"/>
      <c r="EI30" s="119">
        <v>110744345.55</v>
      </c>
      <c r="EJ30" s="76"/>
      <c r="EK30" s="119">
        <v>110744345.55</v>
      </c>
      <c r="EL30" s="76"/>
      <c r="EM30" s="119">
        <v>110744345.55</v>
      </c>
      <c r="EN30" s="76"/>
      <c r="EO30" s="119">
        <v>104705891.89999999</v>
      </c>
      <c r="EP30" s="76"/>
      <c r="EQ30" s="120">
        <v>104705891.89999999</v>
      </c>
      <c r="ER30" s="76"/>
      <c r="ES30" s="120">
        <v>104668821.91</v>
      </c>
      <c r="ET30" s="76"/>
      <c r="EU30" s="120">
        <v>104668821.91</v>
      </c>
      <c r="EV30" s="76"/>
      <c r="EW30" s="120">
        <v>104668821.91</v>
      </c>
      <c r="EX30" s="76"/>
      <c r="EY30" s="120">
        <v>104668821.91</v>
      </c>
      <c r="EZ30" s="76"/>
      <c r="FA30" s="120">
        <v>104668821.91</v>
      </c>
      <c r="FB30" s="76"/>
      <c r="FC30" s="120">
        <v>104489225.62</v>
      </c>
      <c r="FD30" s="76"/>
      <c r="FE30" s="120">
        <v>19291476.009999998</v>
      </c>
      <c r="FF30" s="76"/>
      <c r="FG30" s="120">
        <v>19291476.009999998</v>
      </c>
      <c r="FH30" s="76"/>
      <c r="FI30" s="120">
        <v>19291476.009999998</v>
      </c>
      <c r="FJ30" s="76"/>
      <c r="FK30" s="120">
        <v>19291476.009999998</v>
      </c>
      <c r="FL30" s="76"/>
      <c r="FM30" s="120">
        <v>19002144.620000001</v>
      </c>
      <c r="FN30" s="76"/>
      <c r="FO30" s="120">
        <v>19002145</v>
      </c>
      <c r="FP30" s="76"/>
      <c r="FQ30" s="120">
        <v>19002144.620000001</v>
      </c>
      <c r="FR30" s="76"/>
      <c r="FS30" s="120">
        <v>19002144.620000001</v>
      </c>
      <c r="FT30" s="76"/>
      <c r="FU30" s="120">
        <v>19002144.620000001</v>
      </c>
      <c r="FV30" s="76"/>
      <c r="FW30" s="120">
        <v>19002144.620000001</v>
      </c>
      <c r="FX30" s="76"/>
      <c r="FY30" s="120">
        <v>19002144.620000001</v>
      </c>
      <c r="FZ30" s="76"/>
      <c r="GA30" s="120">
        <v>19002144.620000001</v>
      </c>
      <c r="GB30" s="76"/>
      <c r="GC30" s="120">
        <v>19002144.620000001</v>
      </c>
      <c r="GD30" s="76"/>
      <c r="GE30" s="120">
        <v>19002144.620000001</v>
      </c>
      <c r="GF30" s="76"/>
      <c r="GG30" s="120">
        <v>19002144.620000001</v>
      </c>
      <c r="GH30" s="76"/>
      <c r="GI30" s="108">
        <v>19002144.620000001</v>
      </c>
      <c r="GJ30" s="76"/>
      <c r="GK30" s="108">
        <v>18852196.620000001</v>
      </c>
      <c r="GL30" s="76"/>
      <c r="GM30" s="108">
        <v>18852196.620000001</v>
      </c>
      <c r="GN30" s="76"/>
      <c r="GO30" s="108">
        <v>18852196.620000001</v>
      </c>
      <c r="GP30" s="76"/>
      <c r="GQ30" s="108">
        <v>18852196.620000001</v>
      </c>
      <c r="GR30" s="76"/>
      <c r="GS30" s="108">
        <v>18852196.620000001</v>
      </c>
      <c r="GT30" s="76"/>
      <c r="GU30" s="108">
        <v>18852196.620000001</v>
      </c>
      <c r="GV30" s="76"/>
      <c r="GW30" s="108">
        <v>18852196.620000001</v>
      </c>
      <c r="GX30" s="70"/>
      <c r="GY30" s="108">
        <v>18852197</v>
      </c>
      <c r="GZ30" s="70"/>
      <c r="HA30" s="108">
        <v>18852196.620000001</v>
      </c>
      <c r="HB30" s="76"/>
      <c r="HC30" s="108">
        <v>18852196.620000001</v>
      </c>
      <c r="HD30" s="70"/>
      <c r="HE30" s="108">
        <v>18852196.620000001</v>
      </c>
      <c r="HF30" s="70"/>
      <c r="HG30" s="108">
        <v>18852196.620000001</v>
      </c>
    </row>
    <row r="31" spans="1:215" ht="12.75" customHeight="1">
      <c r="A31" s="76"/>
      <c r="B31" s="76"/>
      <c r="C31" s="110"/>
      <c r="D31" s="401"/>
      <c r="E31" s="110"/>
      <c r="F31" s="401"/>
      <c r="G31" s="110"/>
      <c r="H31" s="401"/>
      <c r="I31" s="110"/>
      <c r="J31" s="401"/>
      <c r="K31" s="110"/>
      <c r="L31" s="401"/>
      <c r="M31" s="110"/>
      <c r="N31" s="401"/>
      <c r="O31" s="110"/>
      <c r="P31" s="401"/>
      <c r="Q31" s="110"/>
      <c r="R31" s="401"/>
      <c r="S31" s="110"/>
      <c r="T31" s="401"/>
      <c r="U31" s="110"/>
      <c r="V31" s="401"/>
      <c r="W31" s="1142"/>
      <c r="X31" s="401"/>
      <c r="Y31" s="110"/>
      <c r="Z31" s="401"/>
      <c r="AA31" s="110"/>
      <c r="AB31" s="401"/>
      <c r="AC31" s="110"/>
      <c r="AD31" s="401"/>
      <c r="AE31" s="110"/>
      <c r="AF31" s="401"/>
      <c r="AG31" s="110"/>
      <c r="AH31" s="401"/>
      <c r="AI31" s="110"/>
      <c r="AJ31" s="401"/>
      <c r="AK31" s="110"/>
      <c r="AL31" s="401"/>
      <c r="AM31" s="110"/>
      <c r="AN31" s="401"/>
      <c r="AO31" s="110"/>
      <c r="AP31" s="401"/>
      <c r="AQ31" s="110"/>
      <c r="AR31" s="401"/>
      <c r="AS31" s="110"/>
      <c r="AT31" s="401"/>
      <c r="AU31" s="1111"/>
      <c r="AV31" s="401"/>
      <c r="AW31" s="110"/>
      <c r="AX31" s="401"/>
      <c r="AY31" s="110"/>
      <c r="AZ31" s="401"/>
      <c r="BA31" s="110"/>
      <c r="BB31" s="401"/>
      <c r="BC31" s="110"/>
      <c r="BD31" s="401"/>
      <c r="BE31" s="110"/>
      <c r="BF31" s="401"/>
      <c r="BG31" s="110"/>
      <c r="BH31" s="401"/>
      <c r="BI31" s="110"/>
      <c r="BJ31" s="401"/>
      <c r="BK31" s="110"/>
      <c r="BL31" s="401"/>
      <c r="BM31" s="110"/>
      <c r="BN31" s="401"/>
      <c r="BO31" s="110"/>
      <c r="BP31" s="401"/>
      <c r="BQ31" s="110"/>
      <c r="BR31" s="401"/>
      <c r="BS31" s="1083"/>
      <c r="BT31" s="401"/>
      <c r="BU31" s="110"/>
      <c r="BV31" s="401"/>
      <c r="BW31" s="110"/>
      <c r="BX31" s="401"/>
      <c r="BY31" s="110"/>
      <c r="BZ31" s="401"/>
      <c r="CA31" s="110"/>
      <c r="CB31" s="401"/>
      <c r="CC31" s="110"/>
      <c r="CD31" s="401"/>
      <c r="CE31" s="110"/>
      <c r="CF31" s="401"/>
      <c r="CG31" s="110"/>
      <c r="CH31" s="401"/>
      <c r="CI31" s="110"/>
      <c r="CJ31" s="401"/>
      <c r="CK31" s="110"/>
      <c r="CL31" s="401"/>
      <c r="CM31" s="110"/>
      <c r="CN31" s="401"/>
      <c r="CO31" s="110"/>
      <c r="CP31" s="401"/>
      <c r="CQ31" s="110"/>
      <c r="CR31" s="401"/>
      <c r="CS31" s="110"/>
      <c r="CT31" s="76"/>
      <c r="CU31" s="110"/>
      <c r="CV31" s="76"/>
      <c r="CW31" s="110"/>
      <c r="CX31" s="76"/>
      <c r="CY31" s="110"/>
      <c r="CZ31" s="76"/>
      <c r="DA31" s="110"/>
      <c r="DB31" s="76"/>
      <c r="DC31" s="110"/>
      <c r="DD31" s="76"/>
      <c r="DE31" s="110"/>
      <c r="DF31" s="76"/>
      <c r="DG31" s="110"/>
      <c r="DH31" s="76"/>
      <c r="DI31" s="110"/>
      <c r="DJ31" s="76"/>
      <c r="DK31" s="110"/>
      <c r="DL31" s="76"/>
      <c r="DM31" s="110"/>
      <c r="DN31" s="76"/>
      <c r="DO31" s="111"/>
      <c r="DP31" s="76"/>
      <c r="DQ31" s="111"/>
      <c r="DR31" s="76"/>
      <c r="DS31" s="111"/>
      <c r="DT31" s="76"/>
      <c r="DU31" s="111"/>
      <c r="DV31" s="76"/>
      <c r="DW31" s="111"/>
      <c r="DX31" s="76"/>
      <c r="DY31" s="111"/>
      <c r="DZ31" s="76"/>
      <c r="EA31" s="111"/>
      <c r="EB31" s="76"/>
      <c r="EC31" s="111"/>
      <c r="ED31" s="76"/>
      <c r="EE31" s="111"/>
      <c r="EF31" s="76"/>
      <c r="EG31" s="111"/>
      <c r="EH31" s="76"/>
      <c r="EI31" s="111"/>
      <c r="EJ31" s="76"/>
      <c r="EK31" s="111"/>
      <c r="EL31" s="76"/>
      <c r="EM31" s="111"/>
      <c r="EN31" s="76"/>
      <c r="EO31" s="111"/>
      <c r="EP31" s="76"/>
      <c r="EQ31" s="111"/>
      <c r="ER31" s="76"/>
      <c r="ES31" s="111"/>
      <c r="ET31" s="76"/>
      <c r="EU31" s="111"/>
      <c r="EV31" s="76"/>
      <c r="EW31" s="111"/>
      <c r="EX31" s="76"/>
      <c r="EY31" s="111"/>
      <c r="EZ31" s="76"/>
      <c r="FA31" s="111"/>
      <c r="FB31" s="76"/>
      <c r="FC31" s="111"/>
      <c r="FD31" s="76"/>
      <c r="FE31" s="111"/>
      <c r="FF31" s="76"/>
      <c r="FG31" s="111"/>
      <c r="FH31" s="76"/>
      <c r="FI31" s="111"/>
      <c r="FJ31" s="76"/>
      <c r="FK31" s="111"/>
      <c r="FL31" s="76"/>
      <c r="FM31" s="111"/>
      <c r="FN31" s="76"/>
      <c r="FO31" s="111"/>
      <c r="FP31" s="76"/>
      <c r="FQ31" s="111"/>
      <c r="FR31" s="76"/>
      <c r="FS31" s="111"/>
      <c r="FT31" s="76"/>
      <c r="FU31" s="111"/>
      <c r="FV31" s="76"/>
      <c r="FW31" s="111"/>
      <c r="FX31" s="76"/>
      <c r="FY31" s="111"/>
      <c r="FZ31" s="76"/>
      <c r="GA31" s="111"/>
      <c r="GB31" s="76"/>
      <c r="GC31" s="111"/>
      <c r="GD31" s="76"/>
      <c r="GE31" s="111"/>
      <c r="GF31" s="76"/>
      <c r="GG31" s="111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</row>
    <row r="32" spans="1:215" ht="12.75" customHeight="1">
      <c r="A32" s="874" t="s">
        <v>695</v>
      </c>
      <c r="B32" s="401"/>
      <c r="C32" s="122">
        <f>ROUND(C25+C19-C7,0)</f>
        <v>0</v>
      </c>
      <c r="D32" s="401"/>
      <c r="E32" s="122">
        <f>ROUND(E25+E19-E7,0)</f>
        <v>0</v>
      </c>
      <c r="F32" s="401"/>
      <c r="G32" s="122">
        <f>ROUND(G25+G19-G7,0)</f>
        <v>0</v>
      </c>
      <c r="H32" s="401"/>
      <c r="I32" s="122">
        <v>0</v>
      </c>
      <c r="J32" s="401"/>
      <c r="K32" s="122">
        <v>0</v>
      </c>
      <c r="L32" s="401"/>
      <c r="M32" s="122">
        <f>ROUND(M25+M19-M7,0)</f>
        <v>0</v>
      </c>
      <c r="N32" s="401"/>
      <c r="O32" s="122">
        <f>ROUND(O25+O19-O7,0)</f>
        <v>0</v>
      </c>
      <c r="P32" s="401"/>
      <c r="Q32" s="122">
        <f>ROUND(Q25+Q19-Q7,0)</f>
        <v>0</v>
      </c>
      <c r="R32" s="401"/>
      <c r="S32" s="122">
        <f>ROUND(S25+S19-S7,0)</f>
        <v>0</v>
      </c>
      <c r="T32" s="401"/>
      <c r="U32" s="122">
        <f>ROUND(U25+U19-U7,0)</f>
        <v>0</v>
      </c>
      <c r="V32" s="401"/>
      <c r="W32" s="1147">
        <v>0</v>
      </c>
      <c r="X32" s="401"/>
      <c r="Y32" s="122">
        <v>0</v>
      </c>
      <c r="Z32" s="401"/>
      <c r="AA32" s="122">
        <v>0</v>
      </c>
      <c r="AB32" s="401"/>
      <c r="AC32" s="122">
        <v>0</v>
      </c>
      <c r="AD32" s="401"/>
      <c r="AE32" s="122"/>
      <c r="AF32" s="401"/>
      <c r="AG32" s="122"/>
      <c r="AH32" s="401"/>
      <c r="AI32" s="122"/>
      <c r="AJ32" s="401"/>
      <c r="AK32" s="122"/>
      <c r="AL32" s="401"/>
      <c r="AM32" s="122"/>
      <c r="AN32" s="401"/>
      <c r="AO32" s="122"/>
      <c r="AP32" s="401"/>
      <c r="AQ32" s="122"/>
      <c r="AR32" s="401"/>
      <c r="AS32" s="122"/>
      <c r="AT32" s="401"/>
      <c r="AU32" s="1116"/>
      <c r="AV32" s="401"/>
      <c r="AW32" s="122"/>
      <c r="AX32" s="401"/>
      <c r="AY32" s="122"/>
      <c r="AZ32" s="401"/>
      <c r="BA32" s="110"/>
      <c r="BB32" s="401"/>
      <c r="BC32" s="110"/>
      <c r="BD32" s="401"/>
      <c r="BE32" s="110"/>
      <c r="BF32" s="401"/>
      <c r="BG32" s="110"/>
      <c r="BH32" s="401"/>
      <c r="BI32" s="110"/>
      <c r="BJ32" s="401"/>
      <c r="BK32" s="110"/>
      <c r="BL32" s="401"/>
      <c r="BM32" s="110"/>
      <c r="BN32" s="401"/>
      <c r="BO32" s="110"/>
      <c r="BP32" s="401"/>
      <c r="BQ32" s="110"/>
      <c r="BR32" s="401"/>
      <c r="BS32" s="1083"/>
      <c r="BT32" s="401"/>
      <c r="BU32" s="110"/>
      <c r="BV32" s="401"/>
      <c r="BW32" s="110"/>
      <c r="BX32" s="401"/>
      <c r="BY32" s="110"/>
      <c r="BZ32" s="401"/>
      <c r="CA32" s="110"/>
      <c r="CB32" s="401"/>
      <c r="CC32" s="110"/>
      <c r="CD32" s="401"/>
      <c r="CE32" s="110"/>
      <c r="CF32" s="401"/>
      <c r="CG32" s="110"/>
      <c r="CH32" s="401"/>
      <c r="CI32" s="110"/>
      <c r="CJ32" s="401"/>
      <c r="CK32" s="110"/>
      <c r="CL32" s="401"/>
      <c r="CM32" s="110"/>
      <c r="CN32" s="401"/>
      <c r="CO32" s="110"/>
      <c r="CP32" s="401"/>
      <c r="CQ32" s="110"/>
      <c r="CR32" s="401"/>
      <c r="CS32" s="110"/>
      <c r="CT32" s="401"/>
      <c r="CU32" s="110"/>
      <c r="CV32" s="401"/>
      <c r="CW32" s="110"/>
      <c r="CX32" s="401"/>
      <c r="CY32" s="110"/>
      <c r="CZ32" s="401"/>
      <c r="DA32" s="110"/>
      <c r="DB32" s="401"/>
      <c r="DC32" s="110"/>
      <c r="DD32" s="401"/>
      <c r="DE32" s="110"/>
      <c r="DF32" s="401"/>
      <c r="DG32" s="110"/>
      <c r="DH32" s="401"/>
      <c r="DI32" s="110"/>
      <c r="DJ32" s="401"/>
      <c r="DK32" s="110"/>
      <c r="DL32" s="401"/>
      <c r="DM32" s="110"/>
      <c r="DN32" s="401"/>
      <c r="DO32" s="873"/>
      <c r="DP32" s="401"/>
      <c r="DQ32" s="873"/>
      <c r="DR32" s="401"/>
      <c r="DS32" s="873"/>
      <c r="DT32" s="401"/>
      <c r="DU32" s="873"/>
      <c r="DV32" s="401"/>
      <c r="DW32" s="873"/>
      <c r="DX32" s="401"/>
      <c r="DY32" s="873"/>
      <c r="DZ32" s="401"/>
      <c r="EA32" s="873"/>
      <c r="EB32" s="401"/>
      <c r="EC32" s="873"/>
      <c r="ED32" s="401"/>
      <c r="EE32" s="873"/>
      <c r="EF32" s="401"/>
      <c r="EG32" s="873"/>
      <c r="EH32" s="401"/>
      <c r="EI32" s="873"/>
      <c r="EJ32" s="401"/>
      <c r="EK32" s="873"/>
      <c r="EL32" s="401"/>
      <c r="EM32" s="873"/>
      <c r="EN32" s="401"/>
      <c r="EO32" s="873"/>
      <c r="EP32" s="401"/>
      <c r="EQ32" s="873"/>
      <c r="ER32" s="401"/>
      <c r="ES32" s="873"/>
      <c r="ET32" s="401"/>
      <c r="EU32" s="873"/>
      <c r="EV32" s="401"/>
      <c r="EW32" s="873"/>
      <c r="EX32" s="401"/>
      <c r="EY32" s="873"/>
      <c r="EZ32" s="401"/>
      <c r="FA32" s="873"/>
      <c r="FB32" s="401"/>
      <c r="FC32" s="873"/>
      <c r="FD32" s="401"/>
      <c r="FE32" s="873"/>
      <c r="FF32" s="401"/>
      <c r="FG32" s="873"/>
      <c r="FH32" s="401"/>
      <c r="FI32" s="873"/>
      <c r="FJ32" s="401"/>
      <c r="FK32" s="873"/>
      <c r="FL32" s="401"/>
      <c r="FM32" s="873"/>
      <c r="FN32" s="401"/>
      <c r="FO32" s="873"/>
      <c r="FP32" s="401"/>
      <c r="FQ32" s="873"/>
      <c r="FR32" s="401"/>
      <c r="FS32" s="873"/>
      <c r="FT32" s="401"/>
      <c r="FU32" s="873"/>
      <c r="FV32" s="401"/>
      <c r="FW32" s="873"/>
      <c r="FX32" s="401"/>
      <c r="FY32" s="873"/>
      <c r="FZ32" s="401"/>
      <c r="GA32" s="873"/>
      <c r="GB32" s="401"/>
      <c r="GC32" s="873"/>
      <c r="GD32" s="401"/>
      <c r="GE32" s="873"/>
      <c r="GF32" s="401"/>
      <c r="GG32" s="873"/>
      <c r="GH32" s="401"/>
      <c r="GI32" s="401"/>
      <c r="GJ32" s="401"/>
      <c r="GK32" s="401"/>
      <c r="GL32" s="401"/>
      <c r="GM32" s="401"/>
      <c r="GN32" s="401"/>
      <c r="GO32" s="401"/>
      <c r="GP32" s="401"/>
      <c r="GQ32" s="401"/>
      <c r="GR32" s="401"/>
      <c r="GS32" s="401"/>
      <c r="GT32" s="401"/>
      <c r="GU32" s="401"/>
      <c r="GV32" s="401"/>
      <c r="GW32" s="401"/>
      <c r="GX32" s="401"/>
      <c r="GY32" s="401"/>
      <c r="GZ32" s="401"/>
      <c r="HA32" s="401"/>
      <c r="HB32" s="401"/>
      <c r="HC32" s="401"/>
      <c r="HD32" s="401"/>
      <c r="HE32" s="401"/>
      <c r="HF32" s="401"/>
      <c r="HG32" s="401"/>
    </row>
    <row r="33" spans="1:215" ht="12.75" hidden="1" customHeight="1" outlineLevel="1">
      <c r="A33" s="121" t="s">
        <v>693</v>
      </c>
      <c r="B33" s="121"/>
      <c r="C33" s="1190">
        <f>C7-C19-C25</f>
        <v>-9.0000033378601074E-2</v>
      </c>
      <c r="D33" s="404"/>
      <c r="E33" s="1190">
        <f>E7-E19-E25</f>
        <v>-1.0000348091125488E-2</v>
      </c>
      <c r="F33" s="404"/>
      <c r="G33" s="1190">
        <f>G7-G19-G25</f>
        <v>0.38000023365020752</v>
      </c>
      <c r="H33" s="404"/>
      <c r="I33" s="871">
        <v>-0.20000004768371582</v>
      </c>
      <c r="J33" s="404"/>
      <c r="K33" s="871">
        <v>0.16000008583068848</v>
      </c>
      <c r="L33" s="404"/>
      <c r="M33" s="871">
        <v>0.15999960899353027</v>
      </c>
      <c r="N33" s="404"/>
      <c r="O33" s="871">
        <v>0.38999950885772705</v>
      </c>
      <c r="P33" s="404"/>
      <c r="Q33" s="871">
        <v>-7.0000410079956055E-2</v>
      </c>
      <c r="R33" s="404"/>
      <c r="S33" s="871">
        <v>0.23000025749206543</v>
      </c>
      <c r="T33" s="404"/>
      <c r="U33" s="871">
        <v>0.37999963760375977</v>
      </c>
      <c r="V33" s="404"/>
      <c r="W33" s="1148">
        <v>-8.9999556541442871E-2</v>
      </c>
      <c r="X33" s="404"/>
      <c r="Y33" s="871">
        <v>-0.17999935150146484</v>
      </c>
      <c r="Z33" s="404"/>
      <c r="AA33" s="871">
        <v>-0.3600003719329834</v>
      </c>
      <c r="AB33" s="404"/>
      <c r="AC33" s="871">
        <v>-0.10000050067901611</v>
      </c>
      <c r="AD33" s="404"/>
      <c r="AE33" s="871">
        <f>AE7-AE19-AE25</f>
        <v>0</v>
      </c>
      <c r="AF33" s="404"/>
      <c r="AG33" s="871">
        <f>AG7-AG19-AG25</f>
        <v>0</v>
      </c>
      <c r="AH33" s="404"/>
      <c r="AI33" s="871">
        <v>0</v>
      </c>
      <c r="AJ33" s="404"/>
      <c r="AK33" s="871">
        <v>0</v>
      </c>
      <c r="AL33" s="404"/>
      <c r="AM33" s="871">
        <v>0</v>
      </c>
      <c r="AN33" s="404"/>
      <c r="AO33" s="871">
        <v>0</v>
      </c>
      <c r="AP33" s="404"/>
      <c r="AQ33" s="871">
        <v>0</v>
      </c>
      <c r="AR33" s="404"/>
      <c r="AS33" s="871">
        <v>0</v>
      </c>
      <c r="AT33" s="404"/>
      <c r="AU33" s="1117">
        <v>0</v>
      </c>
      <c r="AV33" s="404"/>
      <c r="AW33" s="871">
        <v>0</v>
      </c>
      <c r="AX33" s="404"/>
      <c r="AY33" s="871">
        <v>0</v>
      </c>
      <c r="AZ33" s="404"/>
      <c r="BA33" s="871">
        <v>0</v>
      </c>
      <c r="BB33" s="404"/>
      <c r="BC33" s="122">
        <v>0.41999971866607666</v>
      </c>
      <c r="BD33" s="404"/>
      <c r="BE33" s="122">
        <v>0.22999966144561768</v>
      </c>
      <c r="BF33" s="404"/>
      <c r="BG33" s="122">
        <v>0</v>
      </c>
      <c r="BH33" s="404"/>
      <c r="BI33" s="122">
        <v>5.000007152557373E-2</v>
      </c>
      <c r="BJ33" s="404"/>
      <c r="BK33" s="122">
        <v>0.84999978542327881</v>
      </c>
      <c r="BL33" s="404"/>
      <c r="BM33" s="122">
        <v>0.12999999523162842</v>
      </c>
      <c r="BN33" s="404"/>
      <c r="BO33" s="122">
        <v>-9.0000033378601074E-2</v>
      </c>
      <c r="BP33" s="404"/>
      <c r="BQ33" s="122">
        <f>+BQ7-BQ19-BQ25</f>
        <v>-232296607.04000008</v>
      </c>
      <c r="BR33" s="404"/>
      <c r="BS33" s="1088">
        <v>-0.23899996280670166</v>
      </c>
      <c r="BT33" s="404"/>
      <c r="BU33" s="122">
        <v>-0.40900003910064697</v>
      </c>
      <c r="BV33" s="404"/>
      <c r="BW33" s="122">
        <v>-0.22899985313415527</v>
      </c>
      <c r="BX33" s="404"/>
      <c r="BY33" s="122">
        <v>-0.39899998903274536</v>
      </c>
      <c r="BZ33" s="404"/>
      <c r="CA33" s="122">
        <v>-0.4190000593662262</v>
      </c>
      <c r="CB33" s="404"/>
      <c r="CC33" s="122">
        <v>-0.23899996280670166</v>
      </c>
      <c r="CD33" s="404"/>
      <c r="CE33" s="122">
        <v>-0.36900010704994202</v>
      </c>
      <c r="CF33" s="404"/>
      <c r="CG33" s="122">
        <v>-8.9000165462493896E-2</v>
      </c>
      <c r="CH33" s="404"/>
      <c r="CI33" s="122">
        <v>0.17099985480308533</v>
      </c>
      <c r="CJ33" s="404"/>
      <c r="CK33" s="458">
        <v>-9.0002715587615967E-3</v>
      </c>
      <c r="CL33" s="404"/>
      <c r="CM33" s="458">
        <v>8.1000089645385742E-2</v>
      </c>
      <c r="CN33" s="404"/>
      <c r="CO33" s="122">
        <f>+CO7-CO19-CO25</f>
        <v>0.40999999642372131</v>
      </c>
      <c r="CP33" s="404"/>
      <c r="CQ33" s="122">
        <f>+CQ7-CQ19-CQ25</f>
        <v>0.41000010073184967</v>
      </c>
      <c r="CR33" s="404"/>
      <c r="CS33" s="122">
        <f>+CS7-CS19-CS25</f>
        <v>0.27000001072883606</v>
      </c>
      <c r="CT33" s="121"/>
      <c r="CU33" s="122">
        <f>+CU7-CU19-CU25</f>
        <v>0.49000000953674316</v>
      </c>
      <c r="CV33" s="121"/>
      <c r="CW33" s="122">
        <f>+CW7-CW19-CW25</f>
        <v>-0.22000002861022949</v>
      </c>
      <c r="CX33" s="121"/>
      <c r="CY33" s="122">
        <f>+CY7-CY19-CY25</f>
        <v>0</v>
      </c>
      <c r="CZ33" s="123"/>
      <c r="DA33" s="122">
        <f>+DA7-DA19-DA25</f>
        <v>0</v>
      </c>
      <c r="DB33" s="123"/>
      <c r="DC33" s="122">
        <f>+DC7-DC19-DC25</f>
        <v>-0.19999998807907104</v>
      </c>
      <c r="DD33" s="123"/>
      <c r="DE33" s="122">
        <f>+DE7-DE19-DE25</f>
        <v>-0.1900000274181366</v>
      </c>
      <c r="DF33" s="123"/>
      <c r="DG33" s="122">
        <f>+DG7-DG19-DG25</f>
        <v>1.0000064969062805E-2</v>
      </c>
      <c r="DH33" s="123"/>
      <c r="DI33" s="122">
        <f>+DI7-DI19-DI25</f>
        <v>0</v>
      </c>
      <c r="DJ33" s="123"/>
      <c r="DK33" s="122">
        <f>+DK7-DK19-DK25</f>
        <v>0</v>
      </c>
      <c r="DL33" s="123"/>
      <c r="DM33" s="122">
        <f>+DM7-DM19-DM25</f>
        <v>-1.9999951124191284E-2</v>
      </c>
      <c r="DN33" s="123"/>
      <c r="DO33" s="122">
        <v>0</v>
      </c>
      <c r="DP33" s="123"/>
      <c r="DQ33" s="122">
        <v>0</v>
      </c>
      <c r="DR33" s="123"/>
      <c r="DS33" s="123">
        <v>-9.4264745712280273E-5</v>
      </c>
      <c r="DT33" s="123"/>
      <c r="DU33" s="123">
        <v>2.0000040531158447E-2</v>
      </c>
      <c r="DV33" s="123"/>
      <c r="DW33" s="123">
        <v>-8.8889151811599731E-3</v>
      </c>
      <c r="DX33" s="123"/>
      <c r="DY33" s="123">
        <v>9.9999308586120605E-3</v>
      </c>
      <c r="DZ33" s="123"/>
      <c r="EA33" s="123">
        <v>5.9756636619567871E-3</v>
      </c>
      <c r="EB33" s="123"/>
      <c r="EC33" s="123">
        <v>0.25</v>
      </c>
      <c r="ED33" s="123"/>
      <c r="EE33" s="123">
        <v>0.16000005602836609</v>
      </c>
      <c r="EF33" s="123"/>
      <c r="EG33" s="123">
        <v>-0.28000001609325409</v>
      </c>
      <c r="EH33" s="123"/>
      <c r="EI33" s="123">
        <v>0</v>
      </c>
      <c r="EJ33" s="123"/>
      <c r="EK33" s="123">
        <v>9.9999904632568359E-3</v>
      </c>
      <c r="EL33" s="123"/>
      <c r="EM33" s="123">
        <v>-9.9999904632568359E-3</v>
      </c>
      <c r="EN33" s="123"/>
      <c r="EO33" s="123">
        <v>1.0000050067901611E-2</v>
      </c>
      <c r="EP33" s="123"/>
      <c r="EQ33" s="123">
        <v>-0.44700004160404205</v>
      </c>
      <c r="ER33" s="123"/>
      <c r="ES33" s="123">
        <v>0.10999996960163116</v>
      </c>
      <c r="ET33" s="123"/>
      <c r="EU33" s="123">
        <v>0.39000000059604645</v>
      </c>
      <c r="EV33" s="123"/>
      <c r="EW33" s="123">
        <v>-0.24000000953674316</v>
      </c>
      <c r="EX33" s="123"/>
      <c r="EY33" s="123">
        <v>0.49000000953674316</v>
      </c>
      <c r="EZ33" s="123"/>
      <c r="FA33" s="123">
        <v>0.37000000476837158</v>
      </c>
      <c r="FB33" s="123"/>
      <c r="FC33" s="123">
        <v>-0.26999999582767487</v>
      </c>
      <c r="FD33" s="123"/>
      <c r="FE33" s="123">
        <v>0.44999999925494194</v>
      </c>
      <c r="FF33" s="123"/>
      <c r="FG33" s="123">
        <v>-0.38999998569488525</v>
      </c>
      <c r="FH33" s="123"/>
      <c r="FI33" s="123">
        <v>-4.9999993294477463E-2</v>
      </c>
      <c r="FJ33" s="123"/>
      <c r="FK33" s="123">
        <v>0.20000003650784492</v>
      </c>
      <c r="FL33" s="123"/>
      <c r="FM33" s="123">
        <v>0.39999999850988388</v>
      </c>
      <c r="FN33" s="123"/>
      <c r="FO33" s="123">
        <v>-0.13999999314546585</v>
      </c>
      <c r="FP33" s="123"/>
      <c r="FQ33" s="123">
        <v>4.0000002831220627E-2</v>
      </c>
      <c r="FR33" s="123"/>
      <c r="FS33" s="123">
        <v>-0.37000000476837158</v>
      </c>
      <c r="FT33" s="123"/>
      <c r="FU33" s="123">
        <v>0.20000000670552254</v>
      </c>
      <c r="FV33" s="123"/>
      <c r="FW33" s="123">
        <v>-0.16999999433755875</v>
      </c>
      <c r="FX33" s="123"/>
      <c r="FY33" s="123">
        <v>-0.15000000223517418</v>
      </c>
      <c r="FZ33" s="123"/>
      <c r="GA33" s="123">
        <v>-0.10999999195337296</v>
      </c>
      <c r="GB33" s="123"/>
      <c r="GC33" s="123">
        <v>-0.35999999940395355</v>
      </c>
      <c r="GD33" s="123"/>
      <c r="GE33" s="123">
        <v>6.0000002384185791E-2</v>
      </c>
      <c r="GF33" s="123"/>
      <c r="GG33" s="123">
        <v>-5.9999991208314896E-2</v>
      </c>
      <c r="GH33" s="123"/>
      <c r="GI33" s="123">
        <v>5.7999990880489349E-2</v>
      </c>
      <c r="GJ33" s="123"/>
      <c r="GK33" s="123">
        <v>-2.1999996155500412E-2</v>
      </c>
      <c r="GL33" s="123"/>
      <c r="GM33" s="123">
        <v>-2.0000152289867401E-3</v>
      </c>
      <c r="GN33" s="123"/>
      <c r="GO33" s="123">
        <v>1.8000014126300812E-2</v>
      </c>
      <c r="GP33" s="123"/>
      <c r="GQ33" s="123">
        <v>-2.1999996155500412E-2</v>
      </c>
      <c r="GR33" s="123"/>
      <c r="GS33" s="123">
        <v>-1.1999998241662979E-2</v>
      </c>
      <c r="GT33" s="123"/>
      <c r="GU33" s="123">
        <v>-1.2000009417533875E-2</v>
      </c>
      <c r="GV33" s="123"/>
      <c r="GW33" s="123">
        <v>0.14999999850988388</v>
      </c>
      <c r="GX33" s="123"/>
      <c r="GY33" s="123">
        <v>8.9999999850988388E-2</v>
      </c>
      <c r="GZ33" s="123"/>
      <c r="HA33" s="123">
        <v>9.9999997764825821E-2</v>
      </c>
      <c r="HB33" s="123"/>
      <c r="HC33" s="123">
        <v>0</v>
      </c>
      <c r="HD33" s="123"/>
      <c r="HE33" s="123">
        <v>0</v>
      </c>
      <c r="HF33" s="124"/>
      <c r="HG33" s="125">
        <v>0</v>
      </c>
    </row>
    <row r="34" spans="1:215" ht="12.75" customHeight="1" collapsed="1">
      <c r="A34" s="404"/>
      <c r="B34" s="404"/>
      <c r="C34" s="122"/>
      <c r="D34" s="404"/>
      <c r="E34" s="122"/>
      <c r="F34" s="404"/>
      <c r="G34" s="122"/>
      <c r="H34" s="404"/>
      <c r="I34" s="122"/>
      <c r="J34" s="404"/>
      <c r="K34" s="122"/>
      <c r="L34" s="404"/>
      <c r="M34" s="122"/>
      <c r="N34" s="404"/>
      <c r="O34" s="122"/>
      <c r="P34" s="404"/>
      <c r="Q34" s="122"/>
      <c r="R34" s="404"/>
      <c r="S34" s="122"/>
      <c r="T34" s="404"/>
      <c r="U34" s="122"/>
      <c r="V34" s="404"/>
      <c r="W34" s="1147"/>
      <c r="X34" s="404"/>
      <c r="Y34" s="122"/>
      <c r="Z34" s="404"/>
      <c r="AA34" s="122"/>
      <c r="AB34" s="404"/>
      <c r="AC34" s="122"/>
      <c r="AD34" s="404"/>
      <c r="AE34" s="122"/>
      <c r="AF34" s="404"/>
      <c r="AG34" s="122"/>
      <c r="AH34" s="404"/>
      <c r="AI34" s="122"/>
      <c r="AJ34" s="404"/>
      <c r="AK34" s="122"/>
      <c r="AL34" s="404"/>
      <c r="AM34" s="122"/>
      <c r="AN34" s="404"/>
      <c r="AO34" s="122"/>
      <c r="AP34" s="404"/>
      <c r="AQ34" s="122"/>
      <c r="AR34" s="404"/>
      <c r="AS34" s="122"/>
      <c r="AT34" s="404"/>
      <c r="AU34" s="1116"/>
      <c r="AV34" s="404"/>
      <c r="AW34" s="871"/>
      <c r="AX34" s="404"/>
      <c r="AY34" s="122"/>
      <c r="AZ34" s="404"/>
      <c r="BA34" s="122"/>
      <c r="BB34" s="404"/>
      <c r="BC34" s="122"/>
      <c r="BD34" s="404"/>
      <c r="BE34" s="122"/>
      <c r="BF34" s="404"/>
      <c r="BG34" s="122"/>
      <c r="BH34" s="404"/>
      <c r="BI34" s="122"/>
      <c r="BJ34" s="404"/>
      <c r="BK34" s="122"/>
      <c r="BL34" s="404"/>
      <c r="BM34" s="122"/>
      <c r="BN34" s="404"/>
      <c r="BO34" s="122"/>
      <c r="BP34" s="404"/>
      <c r="BQ34" s="122"/>
      <c r="BR34" s="404"/>
      <c r="BS34" s="1088"/>
      <c r="BT34" s="404"/>
      <c r="BU34" s="122"/>
      <c r="BV34" s="404"/>
      <c r="BW34" s="122"/>
      <c r="BX34" s="404"/>
      <c r="BY34" s="122"/>
      <c r="BZ34" s="404"/>
      <c r="CA34" s="122"/>
      <c r="CB34" s="404"/>
      <c r="CC34" s="122"/>
      <c r="CD34" s="404"/>
      <c r="CE34" s="122"/>
      <c r="CF34" s="404"/>
      <c r="CG34" s="122"/>
      <c r="CH34" s="404"/>
      <c r="CI34" s="122"/>
      <c r="CJ34" s="404"/>
      <c r="CK34" s="122"/>
      <c r="CL34" s="404"/>
      <c r="CM34" s="122"/>
      <c r="CN34" s="404"/>
      <c r="CO34" s="122"/>
      <c r="CP34" s="404"/>
      <c r="CQ34" s="122"/>
      <c r="CR34" s="404"/>
      <c r="CS34" s="122"/>
      <c r="CT34" s="404"/>
      <c r="CU34" s="122"/>
      <c r="CV34" s="404"/>
      <c r="CW34" s="122"/>
      <c r="CX34" s="404"/>
      <c r="CY34" s="122"/>
      <c r="CZ34" s="843"/>
      <c r="DA34" s="122"/>
      <c r="DB34" s="843"/>
      <c r="DC34" s="122"/>
      <c r="DD34" s="843"/>
      <c r="DE34" s="122"/>
      <c r="DF34" s="843"/>
      <c r="DG34" s="122"/>
      <c r="DH34" s="843"/>
      <c r="DI34" s="122"/>
      <c r="DJ34" s="843"/>
      <c r="DK34" s="122"/>
      <c r="DL34" s="843"/>
      <c r="DM34" s="122"/>
      <c r="DN34" s="843"/>
      <c r="DO34" s="122"/>
      <c r="DP34" s="843"/>
      <c r="DQ34" s="122"/>
      <c r="DR34" s="843"/>
      <c r="DS34" s="843"/>
      <c r="DT34" s="843"/>
      <c r="DU34" s="843"/>
      <c r="DV34" s="843"/>
      <c r="DW34" s="843"/>
      <c r="DX34" s="843"/>
      <c r="DY34" s="843"/>
      <c r="DZ34" s="843"/>
      <c r="EA34" s="843"/>
      <c r="EB34" s="843"/>
      <c r="EC34" s="843"/>
      <c r="ED34" s="843"/>
      <c r="EE34" s="843"/>
      <c r="EF34" s="843"/>
      <c r="EG34" s="843"/>
      <c r="EH34" s="843"/>
      <c r="EI34" s="843"/>
      <c r="EJ34" s="843"/>
      <c r="EK34" s="843"/>
      <c r="EL34" s="843"/>
      <c r="EM34" s="843"/>
      <c r="EN34" s="843"/>
      <c r="EO34" s="843"/>
      <c r="EP34" s="843"/>
      <c r="EQ34" s="843"/>
      <c r="ER34" s="843"/>
      <c r="ES34" s="843"/>
      <c r="ET34" s="843"/>
      <c r="EU34" s="843"/>
      <c r="EV34" s="843"/>
      <c r="EW34" s="843"/>
      <c r="EX34" s="843"/>
      <c r="EY34" s="843"/>
      <c r="EZ34" s="843"/>
      <c r="FA34" s="843"/>
      <c r="FB34" s="843"/>
      <c r="FC34" s="843"/>
      <c r="FD34" s="843"/>
      <c r="FE34" s="843"/>
      <c r="FF34" s="843"/>
      <c r="FG34" s="843"/>
      <c r="FH34" s="843"/>
      <c r="FI34" s="843"/>
      <c r="FJ34" s="843"/>
      <c r="FK34" s="843"/>
      <c r="FL34" s="843"/>
      <c r="FM34" s="843"/>
      <c r="FN34" s="843"/>
      <c r="FO34" s="843"/>
      <c r="FP34" s="843"/>
      <c r="FQ34" s="843"/>
      <c r="FR34" s="843"/>
      <c r="FS34" s="843"/>
      <c r="FT34" s="843"/>
      <c r="FU34" s="843"/>
      <c r="FV34" s="843"/>
      <c r="FW34" s="843"/>
      <c r="FX34" s="843"/>
      <c r="FY34" s="843"/>
      <c r="FZ34" s="843"/>
      <c r="GA34" s="843"/>
      <c r="GB34" s="843"/>
      <c r="GC34" s="843"/>
      <c r="GD34" s="843"/>
      <c r="GE34" s="843"/>
      <c r="GF34" s="843"/>
      <c r="GG34" s="843"/>
      <c r="GH34" s="843"/>
      <c r="GI34" s="843"/>
      <c r="GJ34" s="843"/>
      <c r="GK34" s="843"/>
      <c r="GL34" s="843"/>
      <c r="GM34" s="843"/>
      <c r="GN34" s="843"/>
      <c r="GO34" s="843"/>
      <c r="GP34" s="843"/>
      <c r="GQ34" s="843"/>
      <c r="GR34" s="843"/>
      <c r="GS34" s="843"/>
      <c r="GT34" s="843"/>
      <c r="GU34" s="843"/>
      <c r="GV34" s="843"/>
      <c r="GW34" s="843"/>
      <c r="GX34" s="843"/>
      <c r="GY34" s="843"/>
      <c r="GZ34" s="843"/>
      <c r="HA34" s="843"/>
      <c r="HB34" s="843"/>
      <c r="HC34" s="843"/>
      <c r="HD34" s="843"/>
      <c r="HE34" s="843"/>
      <c r="HF34" s="844"/>
      <c r="HG34" s="845"/>
    </row>
    <row r="35" spans="1:215" ht="12.75" hidden="1" customHeight="1">
      <c r="A35" s="126" t="s">
        <v>238</v>
      </c>
      <c r="B35" s="127"/>
      <c r="C35" s="652"/>
      <c r="D35" s="405"/>
      <c r="E35" s="652"/>
      <c r="F35" s="405"/>
      <c r="G35" s="652"/>
      <c r="H35" s="405"/>
      <c r="I35" s="652"/>
      <c r="J35" s="405"/>
      <c r="K35" s="652"/>
      <c r="L35" s="405"/>
      <c r="M35" s="652"/>
      <c r="N35" s="405"/>
      <c r="O35" s="652"/>
      <c r="P35" s="405"/>
      <c r="Q35" s="652"/>
      <c r="R35" s="405"/>
      <c r="S35" s="652"/>
      <c r="T35" s="405"/>
      <c r="U35" s="652"/>
      <c r="V35" s="405"/>
      <c r="W35" s="1149"/>
      <c r="X35" s="405"/>
      <c r="Y35" s="652"/>
      <c r="Z35" s="405"/>
      <c r="AA35" s="652"/>
      <c r="AB35" s="405"/>
      <c r="AC35" s="652"/>
      <c r="AD35" s="405"/>
      <c r="AE35" s="652"/>
      <c r="AF35" s="405"/>
      <c r="AG35" s="652"/>
      <c r="AH35" s="405"/>
      <c r="AI35" s="652"/>
      <c r="AJ35" s="405"/>
      <c r="AK35" s="652"/>
      <c r="AL35" s="405"/>
      <c r="AM35" s="652"/>
      <c r="AN35" s="405"/>
      <c r="AO35" s="652"/>
      <c r="AP35" s="405"/>
      <c r="AQ35" s="652"/>
      <c r="AR35" s="405"/>
      <c r="AS35" s="652"/>
      <c r="AT35" s="405"/>
      <c r="AU35" s="1118"/>
      <c r="AV35" s="405"/>
      <c r="AW35" s="652"/>
      <c r="AX35" s="405"/>
      <c r="AY35" s="889"/>
      <c r="AZ35" s="405"/>
      <c r="BA35" s="652"/>
      <c r="BB35" s="405"/>
      <c r="BC35" s="652"/>
      <c r="BD35" s="405"/>
      <c r="BE35" s="652"/>
      <c r="BF35" s="405"/>
      <c r="BG35" s="652"/>
      <c r="BH35" s="405"/>
      <c r="BI35" s="652"/>
      <c r="BJ35" s="405"/>
      <c r="BK35" s="652"/>
      <c r="BL35" s="405"/>
      <c r="BM35" s="652"/>
      <c r="BN35" s="405"/>
      <c r="BO35" s="652"/>
      <c r="BP35" s="405"/>
      <c r="BQ35" s="652"/>
      <c r="BR35" s="405"/>
      <c r="BS35" s="1089"/>
      <c r="BT35" s="405"/>
      <c r="BU35" s="652"/>
      <c r="BV35" s="405"/>
      <c r="BW35" s="128"/>
      <c r="BX35" s="405"/>
      <c r="BY35" s="128"/>
      <c r="BZ35" s="405"/>
      <c r="CA35" s="128"/>
      <c r="CB35" s="405"/>
      <c r="CC35" s="128"/>
      <c r="CD35" s="405"/>
      <c r="CE35" s="128"/>
      <c r="CF35" s="405"/>
      <c r="CG35" s="128"/>
      <c r="CH35" s="405"/>
      <c r="CI35" s="128"/>
      <c r="CJ35" s="405"/>
      <c r="CK35" s="128"/>
      <c r="CL35" s="405"/>
      <c r="CM35" s="128"/>
      <c r="CN35" s="405"/>
      <c r="CO35" s="128"/>
      <c r="CP35" s="405"/>
      <c r="CQ35" s="128"/>
      <c r="CR35" s="405"/>
      <c r="CS35" s="128"/>
      <c r="CT35" s="127"/>
      <c r="CU35" s="128"/>
      <c r="CV35" s="127"/>
      <c r="CW35" s="128"/>
      <c r="CX35" s="127"/>
      <c r="CY35" s="128" t="e">
        <f>SUM(CY36:CY38)</f>
        <v>#REF!</v>
      </c>
      <c r="CZ35" s="129"/>
      <c r="DA35" s="128" t="e">
        <f>SUM(DA36:DA38)</f>
        <v>#REF!</v>
      </c>
      <c r="DB35" s="129"/>
      <c r="DC35" s="128" t="e">
        <f>SUM(DC36:DC38)</f>
        <v>#REF!</v>
      </c>
      <c r="DD35" s="129"/>
      <c r="DE35" s="128" t="e">
        <f>SUM(DE36:DE38)</f>
        <v>#REF!</v>
      </c>
      <c r="DF35" s="129"/>
      <c r="DG35" s="128" t="e">
        <f>SUM(DG36:DG38)</f>
        <v>#REF!</v>
      </c>
      <c r="DH35" s="129"/>
      <c r="DI35" s="128" t="e">
        <f>SUM(DI36:DI38)</f>
        <v>#REF!</v>
      </c>
      <c r="DJ35" s="129"/>
      <c r="DK35" s="128" t="e">
        <f>SUM(DK36:DK38)</f>
        <v>#REF!</v>
      </c>
      <c r="DL35" s="129"/>
      <c r="DM35" s="128" t="e">
        <f>SUM(DM36:DM38)</f>
        <v>#REF!</v>
      </c>
      <c r="DN35" s="129"/>
      <c r="DO35" s="128">
        <v>157528671.16469049</v>
      </c>
      <c r="DP35" s="129"/>
      <c r="DQ35" s="128">
        <v>141301312.26761907</v>
      </c>
      <c r="DR35" s="129"/>
      <c r="DS35" s="128">
        <v>145575256.17142856</v>
      </c>
      <c r="DT35" s="129"/>
      <c r="DU35" s="128">
        <v>161708908.72934523</v>
      </c>
      <c r="DV35" s="129"/>
      <c r="DW35" s="128">
        <v>196883555.04559523</v>
      </c>
      <c r="DX35" s="129"/>
      <c r="DY35" s="128">
        <v>216290436.75166667</v>
      </c>
      <c r="DZ35" s="129"/>
      <c r="EA35" s="128">
        <v>169993865.03708333</v>
      </c>
      <c r="EB35" s="129"/>
      <c r="EC35" s="128">
        <v>170475653.03166667</v>
      </c>
      <c r="ED35" s="129"/>
      <c r="EE35" s="128">
        <v>168047278.69416666</v>
      </c>
      <c r="EF35" s="129"/>
      <c r="EG35" s="128">
        <v>166425229.21333334</v>
      </c>
      <c r="EH35" s="129"/>
      <c r="EI35" s="128">
        <v>162456207.33083332</v>
      </c>
      <c r="EJ35" s="129"/>
      <c r="EK35" s="128">
        <v>156834816.88999993</v>
      </c>
      <c r="EL35" s="129"/>
      <c r="EM35" s="128">
        <v>156661117.90333331</v>
      </c>
      <c r="EN35" s="129"/>
      <c r="EO35" s="128">
        <v>173381795.58416665</v>
      </c>
      <c r="EP35" s="129"/>
      <c r="EQ35" s="128">
        <v>175264167.03583333</v>
      </c>
      <c r="ER35" s="129"/>
      <c r="ES35" s="128">
        <v>146702296.08833337</v>
      </c>
      <c r="ET35" s="129"/>
      <c r="EU35" s="128">
        <v>116374890.16083333</v>
      </c>
      <c r="EV35" s="129"/>
      <c r="EW35" s="128">
        <v>101317836.31083333</v>
      </c>
      <c r="EX35" s="129"/>
      <c r="EY35" s="128">
        <v>105350827.98166667</v>
      </c>
      <c r="EZ35" s="129"/>
      <c r="FA35" s="128">
        <v>123310920.2475</v>
      </c>
      <c r="FB35" s="129"/>
      <c r="FC35" s="128">
        <v>125550870.59</v>
      </c>
      <c r="FD35" s="129"/>
      <c r="FE35" s="128">
        <v>38595485.834166661</v>
      </c>
      <c r="FF35" s="129"/>
      <c r="FG35" s="128">
        <v>43772418.109999999</v>
      </c>
      <c r="FH35" s="129"/>
      <c r="FI35" s="128">
        <v>45242487.271666668</v>
      </c>
      <c r="FJ35" s="129"/>
      <c r="FK35" s="128">
        <v>34644813.211666666</v>
      </c>
      <c r="FL35" s="129"/>
      <c r="FM35" s="128">
        <v>39020004.57</v>
      </c>
      <c r="FN35" s="129"/>
      <c r="FO35" s="128">
        <v>46756948.414166667</v>
      </c>
      <c r="FP35" s="129"/>
      <c r="FQ35" s="128">
        <v>32418954.795833331</v>
      </c>
      <c r="FR35" s="129"/>
      <c r="FS35" s="128">
        <v>38294175.359166667</v>
      </c>
      <c r="FT35" s="129"/>
      <c r="FU35" s="128">
        <v>21835454.489999998</v>
      </c>
      <c r="FV35" s="129"/>
      <c r="FW35" s="128">
        <v>19169091.320000004</v>
      </c>
      <c r="FX35" s="129"/>
      <c r="FY35" s="128">
        <v>17963851.137499999</v>
      </c>
      <c r="FZ35" s="129"/>
      <c r="GA35" s="128">
        <v>15137988.192500008</v>
      </c>
      <c r="GB35" s="129"/>
      <c r="GC35" s="128">
        <v>15141803.310000001</v>
      </c>
      <c r="GD35" s="129"/>
      <c r="GE35" s="128">
        <v>15530546.6</v>
      </c>
      <c r="GF35" s="129"/>
      <c r="GG35" s="128">
        <v>16434634.199999999</v>
      </c>
      <c r="GH35" s="129"/>
      <c r="GI35" s="128">
        <v>16372587.119999999</v>
      </c>
      <c r="GJ35" s="129"/>
      <c r="GK35" s="128">
        <v>13812857.970000001</v>
      </c>
      <c r="GL35" s="129"/>
      <c r="GM35" s="128">
        <v>14358473.84</v>
      </c>
      <c r="GN35" s="129"/>
      <c r="GO35" s="128">
        <v>15861704.219999999</v>
      </c>
      <c r="GP35" s="129"/>
      <c r="GQ35" s="128">
        <v>16341113.060000001</v>
      </c>
      <c r="GR35" s="129"/>
      <c r="GS35" s="123"/>
      <c r="GT35" s="123"/>
      <c r="GU35" s="123"/>
      <c r="GV35" s="123"/>
      <c r="GW35" s="123"/>
      <c r="GX35" s="123"/>
      <c r="GY35" s="123"/>
      <c r="GZ35" s="123"/>
      <c r="HA35" s="123"/>
      <c r="HB35" s="123"/>
      <c r="HC35" s="123"/>
      <c r="HD35" s="123"/>
      <c r="HE35" s="123"/>
      <c r="HF35" s="130"/>
      <c r="HG35" s="131"/>
    </row>
    <row r="36" spans="1:215" ht="12.75" hidden="1" customHeight="1">
      <c r="A36" s="127" t="s">
        <v>239</v>
      </c>
      <c r="B36" s="127"/>
      <c r="C36" s="653"/>
      <c r="D36" s="405"/>
      <c r="E36" s="653"/>
      <c r="F36" s="405"/>
      <c r="G36" s="653"/>
      <c r="H36" s="405"/>
      <c r="I36" s="653"/>
      <c r="J36" s="405"/>
      <c r="K36" s="653"/>
      <c r="L36" s="405"/>
      <c r="M36" s="653"/>
      <c r="N36" s="405"/>
      <c r="O36" s="653"/>
      <c r="P36" s="405"/>
      <c r="Q36" s="653"/>
      <c r="R36" s="405"/>
      <c r="S36" s="653"/>
      <c r="T36" s="405"/>
      <c r="U36" s="653"/>
      <c r="V36" s="405"/>
      <c r="W36" s="1150"/>
      <c r="X36" s="405"/>
      <c r="Y36" s="653"/>
      <c r="Z36" s="405"/>
      <c r="AA36" s="653"/>
      <c r="AB36" s="405"/>
      <c r="AC36" s="653"/>
      <c r="AD36" s="405"/>
      <c r="AE36" s="653"/>
      <c r="AF36" s="405"/>
      <c r="AG36" s="653"/>
      <c r="AH36" s="405"/>
      <c r="AI36" s="653"/>
      <c r="AJ36" s="405"/>
      <c r="AK36" s="653"/>
      <c r="AL36" s="405"/>
      <c r="AM36" s="653"/>
      <c r="AN36" s="405"/>
      <c r="AO36" s="653"/>
      <c r="AP36" s="405"/>
      <c r="AQ36" s="653"/>
      <c r="AR36" s="405"/>
      <c r="AS36" s="653"/>
      <c r="AT36" s="405"/>
      <c r="AU36" s="1119"/>
      <c r="AV36" s="405"/>
      <c r="AW36" s="653"/>
      <c r="AX36" s="405"/>
      <c r="AY36" s="653"/>
      <c r="AZ36" s="405"/>
      <c r="BA36" s="653"/>
      <c r="BB36" s="405"/>
      <c r="BC36" s="653"/>
      <c r="BD36" s="405"/>
      <c r="BE36" s="653"/>
      <c r="BF36" s="405"/>
      <c r="BG36" s="653"/>
      <c r="BH36" s="405"/>
      <c r="BI36" s="653"/>
      <c r="BJ36" s="405"/>
      <c r="BK36" s="653"/>
      <c r="BL36" s="405"/>
      <c r="BM36" s="653"/>
      <c r="BN36" s="405"/>
      <c r="BO36" s="653"/>
      <c r="BP36" s="405"/>
      <c r="BQ36" s="653"/>
      <c r="BR36" s="405"/>
      <c r="BS36" s="1090"/>
      <c r="BT36" s="405"/>
      <c r="BU36" s="653"/>
      <c r="BV36" s="405"/>
      <c r="BW36" s="132"/>
      <c r="BX36" s="405"/>
      <c r="BY36" s="132"/>
      <c r="BZ36" s="405"/>
      <c r="CA36" s="132"/>
      <c r="CB36" s="405"/>
      <c r="CC36" s="132"/>
      <c r="CD36" s="405"/>
      <c r="CE36" s="132"/>
      <c r="CF36" s="405"/>
      <c r="CG36" s="132"/>
      <c r="CH36" s="405"/>
      <c r="CI36" s="132"/>
      <c r="CJ36" s="405"/>
      <c r="CK36" s="132"/>
      <c r="CL36" s="405"/>
      <c r="CM36" s="132"/>
      <c r="CN36" s="405"/>
      <c r="CO36" s="132"/>
      <c r="CP36" s="405"/>
      <c r="CQ36" s="132"/>
      <c r="CR36" s="405"/>
      <c r="CS36" s="132"/>
      <c r="CT36" s="127"/>
      <c r="CU36" s="132"/>
      <c r="CV36" s="127"/>
      <c r="CW36" s="132"/>
      <c r="CX36" s="127"/>
      <c r="CY36" s="132" t="e">
        <f>'Exposure Analysis - Dec25'!BV61</f>
        <v>#REF!</v>
      </c>
      <c r="CZ36" s="129"/>
      <c r="DA36" s="132" t="e">
        <f>'Exposure Analysis - Dec25'!BX61</f>
        <v>#REF!</v>
      </c>
      <c r="DB36" s="129"/>
      <c r="DC36" s="132" t="e">
        <f>'Exposure Analysis - Dec25'!BZ61</f>
        <v>#REF!</v>
      </c>
      <c r="DD36" s="129"/>
      <c r="DE36" s="132" t="e">
        <f>'Exposure Analysis - Dec25'!CB61</f>
        <v>#REF!</v>
      </c>
      <c r="DF36" s="129"/>
      <c r="DG36" s="133" t="e">
        <f>'Exposure Analysis - Dec25'!BZ61</f>
        <v>#REF!</v>
      </c>
      <c r="DH36" s="129"/>
      <c r="DI36" s="133" t="e">
        <f>'Exposure Analysis - Dec25'!BX61</f>
        <v>#REF!</v>
      </c>
      <c r="DJ36" s="129"/>
      <c r="DK36" s="133" t="e">
        <f>'Exposure Analysis - Dec25'!BV61</f>
        <v>#REF!</v>
      </c>
      <c r="DL36" s="129"/>
      <c r="DM36" s="133" t="e">
        <f>'Exposure Analysis - Dec25'!BT61</f>
        <v>#REF!</v>
      </c>
      <c r="DN36" s="129"/>
      <c r="DO36" s="133">
        <v>80052575.034690484</v>
      </c>
      <c r="DP36" s="129"/>
      <c r="DQ36" s="133">
        <v>74599996.567619056</v>
      </c>
      <c r="DR36" s="129"/>
      <c r="DS36" s="133">
        <v>71361253.201428577</v>
      </c>
      <c r="DT36" s="129"/>
      <c r="DU36" s="133">
        <v>73915193.16934523</v>
      </c>
      <c r="DV36" s="129"/>
      <c r="DW36" s="133">
        <v>64721768.905595236</v>
      </c>
      <c r="DX36" s="129"/>
      <c r="DY36" s="133">
        <v>59676293.941666663</v>
      </c>
      <c r="DZ36" s="129"/>
      <c r="EA36" s="133">
        <v>58234031.927083328</v>
      </c>
      <c r="EB36" s="129"/>
      <c r="EC36" s="133">
        <v>57119545.111666664</v>
      </c>
      <c r="ED36" s="129"/>
      <c r="EE36" s="132">
        <v>59992564.364166662</v>
      </c>
      <c r="EF36" s="129"/>
      <c r="EG36" s="132">
        <v>59640223.793333344</v>
      </c>
      <c r="EH36" s="129"/>
      <c r="EI36" s="132">
        <v>60419266.820833333</v>
      </c>
      <c r="EJ36" s="129"/>
      <c r="EK36" s="132">
        <v>66161031.049999937</v>
      </c>
      <c r="EL36" s="129"/>
      <c r="EM36" s="132">
        <v>69146493.603333324</v>
      </c>
      <c r="EN36" s="129"/>
      <c r="EO36" s="132">
        <v>60945846.894166663</v>
      </c>
      <c r="EP36" s="129"/>
      <c r="EQ36" s="132">
        <v>58062213.835833326</v>
      </c>
      <c r="ER36" s="129"/>
      <c r="ES36" s="132">
        <v>55555081.718333349</v>
      </c>
      <c r="ET36" s="129"/>
      <c r="EU36" s="132">
        <v>45927077.460833341</v>
      </c>
      <c r="EV36" s="129"/>
      <c r="EW36" s="132">
        <v>41794266.070833333</v>
      </c>
      <c r="EX36" s="129"/>
      <c r="EY36" s="132">
        <v>36938249.251666665</v>
      </c>
      <c r="EZ36" s="129"/>
      <c r="FA36" s="132">
        <v>34548910.907499999</v>
      </c>
      <c r="FB36" s="129"/>
      <c r="FC36" s="132">
        <v>31189703.439999994</v>
      </c>
      <c r="FD36" s="129"/>
      <c r="FE36" s="132">
        <v>29887072.924166664</v>
      </c>
      <c r="FF36" s="129"/>
      <c r="FG36" s="132">
        <v>27305984.149999999</v>
      </c>
      <c r="FH36" s="129"/>
      <c r="FI36" s="132">
        <v>26745952.961666666</v>
      </c>
      <c r="FJ36" s="129"/>
      <c r="FK36" s="132">
        <v>27281960.131666668</v>
      </c>
      <c r="FL36" s="129"/>
      <c r="FM36" s="132">
        <v>24277297.619999997</v>
      </c>
      <c r="FN36" s="129"/>
      <c r="FO36" s="132">
        <v>22001255.714166667</v>
      </c>
      <c r="FP36" s="129"/>
      <c r="FQ36" s="132">
        <v>21172989.085833333</v>
      </c>
      <c r="FR36" s="129"/>
      <c r="FS36" s="132">
        <v>19058747.829166669</v>
      </c>
      <c r="FT36" s="129"/>
      <c r="FU36" s="132">
        <v>16848135.32</v>
      </c>
      <c r="FV36" s="129"/>
      <c r="FW36" s="132">
        <v>15838802.080000006</v>
      </c>
      <c r="FX36" s="129"/>
      <c r="FY36" s="132">
        <v>13870181.3375</v>
      </c>
      <c r="FZ36" s="129"/>
      <c r="GA36" s="132">
        <v>12010511.702500008</v>
      </c>
      <c r="GB36" s="129"/>
      <c r="GC36" s="132">
        <v>11746991.869999999</v>
      </c>
      <c r="GD36" s="129"/>
      <c r="GE36" s="132">
        <v>10239615.6</v>
      </c>
      <c r="GF36" s="129"/>
      <c r="GG36" s="132">
        <v>9923605.8900000006</v>
      </c>
      <c r="GH36" s="129"/>
      <c r="GI36" s="132">
        <v>9750782.0299999993</v>
      </c>
      <c r="GJ36" s="129"/>
      <c r="GK36" s="132">
        <v>8602326.1500000004</v>
      </c>
      <c r="GL36" s="129"/>
      <c r="GM36" s="132">
        <v>8100189.7999999998</v>
      </c>
      <c r="GN36" s="129"/>
      <c r="GO36" s="132">
        <v>7838902.5099999998</v>
      </c>
      <c r="GP36" s="129"/>
      <c r="GQ36" s="132">
        <v>7177160.0700000003</v>
      </c>
      <c r="GR36" s="129"/>
      <c r="GS36" s="123"/>
      <c r="GT36" s="123"/>
      <c r="GU36" s="123"/>
      <c r="GV36" s="123"/>
      <c r="GW36" s="123"/>
      <c r="GX36" s="123"/>
      <c r="GY36" s="123"/>
      <c r="GZ36" s="123"/>
      <c r="HA36" s="123"/>
      <c r="HB36" s="123"/>
      <c r="HC36" s="123"/>
      <c r="HD36" s="123"/>
      <c r="HE36" s="123"/>
      <c r="HF36" s="130"/>
      <c r="HG36" s="131"/>
    </row>
    <row r="37" spans="1:215" ht="12.75" hidden="1" customHeight="1">
      <c r="A37" s="127" t="s">
        <v>209</v>
      </c>
      <c r="B37" s="127"/>
      <c r="C37" s="654"/>
      <c r="D37" s="405"/>
      <c r="E37" s="654"/>
      <c r="F37" s="405"/>
      <c r="G37" s="654"/>
      <c r="H37" s="405"/>
      <c r="I37" s="654"/>
      <c r="J37" s="405"/>
      <c r="K37" s="654"/>
      <c r="L37" s="405"/>
      <c r="M37" s="654"/>
      <c r="N37" s="405"/>
      <c r="O37" s="654"/>
      <c r="P37" s="405"/>
      <c r="Q37" s="654"/>
      <c r="R37" s="405"/>
      <c r="S37" s="654"/>
      <c r="T37" s="405"/>
      <c r="U37" s="654"/>
      <c r="V37" s="405"/>
      <c r="W37" s="1151"/>
      <c r="X37" s="405"/>
      <c r="Y37" s="654"/>
      <c r="Z37" s="405"/>
      <c r="AA37" s="654"/>
      <c r="AB37" s="405"/>
      <c r="AC37" s="654"/>
      <c r="AD37" s="405"/>
      <c r="AE37" s="654"/>
      <c r="AF37" s="405"/>
      <c r="AG37" s="654"/>
      <c r="AH37" s="405"/>
      <c r="AI37" s="654"/>
      <c r="AJ37" s="405"/>
      <c r="AK37" s="654"/>
      <c r="AL37" s="405"/>
      <c r="AM37" s="654"/>
      <c r="AN37" s="405"/>
      <c r="AO37" s="654"/>
      <c r="AP37" s="405"/>
      <c r="AQ37" s="654"/>
      <c r="AR37" s="405"/>
      <c r="AS37" s="654"/>
      <c r="AT37" s="405"/>
      <c r="AU37" s="1120"/>
      <c r="AV37" s="405"/>
      <c r="AW37" s="654"/>
      <c r="AX37" s="405"/>
      <c r="AY37" s="890"/>
      <c r="AZ37" s="405"/>
      <c r="BA37" s="654"/>
      <c r="BB37" s="405"/>
      <c r="BC37" s="654"/>
      <c r="BD37" s="405"/>
      <c r="BE37" s="654"/>
      <c r="BF37" s="405"/>
      <c r="BG37" s="654"/>
      <c r="BH37" s="405"/>
      <c r="BI37" s="654"/>
      <c r="BJ37" s="405"/>
      <c r="BK37" s="654"/>
      <c r="BL37" s="405"/>
      <c r="BM37" s="654"/>
      <c r="BN37" s="405"/>
      <c r="BO37" s="654"/>
      <c r="BP37" s="405"/>
      <c r="BQ37" s="654"/>
      <c r="BR37" s="405"/>
      <c r="BS37" s="1091"/>
      <c r="BT37" s="405"/>
      <c r="BU37" s="654"/>
      <c r="BV37" s="405"/>
      <c r="BW37" s="134"/>
      <c r="BX37" s="405"/>
      <c r="BY37" s="134"/>
      <c r="BZ37" s="405"/>
      <c r="CA37" s="134"/>
      <c r="CB37" s="405"/>
      <c r="CC37" s="134"/>
      <c r="CD37" s="405"/>
      <c r="CE37" s="134"/>
      <c r="CF37" s="405"/>
      <c r="CG37" s="134"/>
      <c r="CH37" s="405"/>
      <c r="CI37" s="134"/>
      <c r="CJ37" s="405"/>
      <c r="CK37" s="134"/>
      <c r="CL37" s="405"/>
      <c r="CM37" s="134"/>
      <c r="CN37" s="405"/>
      <c r="CO37" s="134"/>
      <c r="CP37" s="405"/>
      <c r="CQ37" s="134"/>
      <c r="CR37" s="405"/>
      <c r="CS37" s="134"/>
      <c r="CT37" s="127"/>
      <c r="CU37" s="134"/>
      <c r="CV37" s="127"/>
      <c r="CW37" s="134"/>
      <c r="CX37" s="127"/>
      <c r="CY37" s="134">
        <f>CY8</f>
        <v>11430254.880000001</v>
      </c>
      <c r="CZ37" s="129"/>
      <c r="DA37" s="134">
        <f>DA8</f>
        <v>6354640.7599999998</v>
      </c>
      <c r="DB37" s="129"/>
      <c r="DC37" s="134">
        <f>DC8</f>
        <v>6912516.4699999997</v>
      </c>
      <c r="DD37" s="129"/>
      <c r="DE37" s="134">
        <f>DE8</f>
        <v>6908378.5899999999</v>
      </c>
      <c r="DF37" s="129"/>
      <c r="DG37" s="134">
        <f>DG8</f>
        <v>24967152.699999999</v>
      </c>
      <c r="DH37" s="129"/>
      <c r="DI37" s="134">
        <f>DI8</f>
        <v>6726657.9299999997</v>
      </c>
      <c r="DJ37" s="129"/>
      <c r="DK37" s="134">
        <f>DK8</f>
        <v>5702844.1200000001</v>
      </c>
      <c r="DL37" s="129"/>
      <c r="DM37" s="134">
        <f>DM8</f>
        <v>4764699.07</v>
      </c>
      <c r="DN37" s="129"/>
      <c r="DO37" s="134">
        <v>5925577.5</v>
      </c>
      <c r="DP37" s="129"/>
      <c r="DQ37" s="134">
        <v>6977360.0899999999</v>
      </c>
      <c r="DR37" s="129"/>
      <c r="DS37" s="134">
        <v>8175547.0800000001</v>
      </c>
      <c r="DT37" s="129"/>
      <c r="DU37" s="134">
        <v>6134514.7199999997</v>
      </c>
      <c r="DV37" s="129"/>
      <c r="DW37" s="134">
        <v>5407838.75</v>
      </c>
      <c r="DX37" s="129"/>
      <c r="DY37" s="134">
        <v>3296504.74</v>
      </c>
      <c r="DZ37" s="129"/>
      <c r="EA37" s="134">
        <v>23306833.309999999</v>
      </c>
      <c r="EB37" s="129"/>
      <c r="EC37" s="134">
        <v>24640199.949999999</v>
      </c>
      <c r="ED37" s="129"/>
      <c r="EE37" s="134">
        <v>28070477.300000001</v>
      </c>
      <c r="EF37" s="129"/>
      <c r="EG37" s="134">
        <v>24530681.370000001</v>
      </c>
      <c r="EH37" s="129"/>
      <c r="EI37" s="134">
        <v>22040176.300000001</v>
      </c>
      <c r="EJ37" s="129"/>
      <c r="EK37" s="134">
        <v>27937728.899999999</v>
      </c>
      <c r="EL37" s="129"/>
      <c r="EM37" s="134">
        <v>35049424.729999997</v>
      </c>
      <c r="EN37" s="129"/>
      <c r="EO37" s="134">
        <v>50771437.710000001</v>
      </c>
      <c r="EP37" s="129"/>
      <c r="EQ37" s="134">
        <v>51911161.910000004</v>
      </c>
      <c r="ER37" s="129"/>
      <c r="ES37" s="134">
        <v>21227342.91</v>
      </c>
      <c r="ET37" s="129"/>
      <c r="EU37" s="134">
        <v>5484862.8900000006</v>
      </c>
      <c r="EV37" s="129"/>
      <c r="EW37" s="134">
        <v>6552421.5599999996</v>
      </c>
      <c r="EX37" s="129"/>
      <c r="EY37" s="134">
        <v>7425167.5299999993</v>
      </c>
      <c r="EZ37" s="129"/>
      <c r="FA37" s="134">
        <v>47740848.020000003</v>
      </c>
      <c r="FB37" s="129"/>
      <c r="FC37" s="134">
        <v>21050055.780000001</v>
      </c>
      <c r="FD37" s="129"/>
      <c r="FE37" s="134">
        <v>8496771.5199999996</v>
      </c>
      <c r="FF37" s="129"/>
      <c r="FG37" s="134">
        <v>7801128.5999999996</v>
      </c>
      <c r="FH37" s="129"/>
      <c r="FI37" s="134">
        <v>18355518.18</v>
      </c>
      <c r="FJ37" s="129"/>
      <c r="FK37" s="134">
        <v>4232869.6400000006</v>
      </c>
      <c r="FL37" s="129"/>
      <c r="FM37" s="134">
        <v>5660186.7800000003</v>
      </c>
      <c r="FN37" s="129"/>
      <c r="FO37" s="134">
        <v>13730333.52</v>
      </c>
      <c r="FP37" s="129"/>
      <c r="FQ37" s="134">
        <v>7236672.8099999996</v>
      </c>
      <c r="FR37" s="129"/>
      <c r="FS37" s="134">
        <v>19226141.879999999</v>
      </c>
      <c r="FT37" s="129"/>
      <c r="FU37" s="134">
        <v>4978040.51</v>
      </c>
      <c r="FV37" s="129"/>
      <c r="FW37" s="134">
        <v>3321017.79</v>
      </c>
      <c r="FX37" s="129"/>
      <c r="FY37" s="134">
        <v>4084405.5500000003</v>
      </c>
      <c r="FZ37" s="129"/>
      <c r="GA37" s="134">
        <v>3118219.18</v>
      </c>
      <c r="GB37" s="129"/>
      <c r="GC37" s="134">
        <v>1498945.3</v>
      </c>
      <c r="GD37" s="129"/>
      <c r="GE37" s="134">
        <v>2908466</v>
      </c>
      <c r="GF37" s="129"/>
      <c r="GG37" s="134">
        <v>3644314.4499999997</v>
      </c>
      <c r="GH37" s="129"/>
      <c r="GI37" s="134">
        <v>3766000.9</v>
      </c>
      <c r="GJ37" s="129"/>
      <c r="GK37" s="134">
        <v>1372327.97</v>
      </c>
      <c r="GL37" s="129"/>
      <c r="GM37" s="134">
        <v>2441615.52</v>
      </c>
      <c r="GN37" s="129"/>
      <c r="GO37" s="134">
        <v>3155860.46</v>
      </c>
      <c r="GP37" s="129"/>
      <c r="GQ37" s="134">
        <v>2037962.76</v>
      </c>
      <c r="GR37" s="129"/>
      <c r="GS37" s="123"/>
      <c r="GT37" s="123"/>
      <c r="GU37" s="123"/>
      <c r="GV37" s="123"/>
      <c r="GW37" s="123"/>
      <c r="GX37" s="123"/>
      <c r="GY37" s="123"/>
      <c r="GZ37" s="123"/>
      <c r="HA37" s="123"/>
      <c r="HB37" s="123"/>
      <c r="HC37" s="123"/>
      <c r="HD37" s="123"/>
      <c r="HE37" s="123"/>
      <c r="HF37" s="130"/>
      <c r="HG37" s="131"/>
    </row>
    <row r="38" spans="1:215" ht="12.75" hidden="1" customHeight="1">
      <c r="A38" s="127" t="s">
        <v>210</v>
      </c>
      <c r="B38" s="127"/>
      <c r="C38" s="655"/>
      <c r="D38" s="405"/>
      <c r="E38" s="655"/>
      <c r="F38" s="405"/>
      <c r="G38" s="655"/>
      <c r="H38" s="405"/>
      <c r="I38" s="655"/>
      <c r="J38" s="405"/>
      <c r="K38" s="655"/>
      <c r="L38" s="405"/>
      <c r="M38" s="655"/>
      <c r="N38" s="405"/>
      <c r="O38" s="655"/>
      <c r="P38" s="405"/>
      <c r="Q38" s="655"/>
      <c r="R38" s="405"/>
      <c r="S38" s="655"/>
      <c r="T38" s="405"/>
      <c r="U38" s="655"/>
      <c r="V38" s="405"/>
      <c r="W38" s="1152"/>
      <c r="X38" s="405"/>
      <c r="Y38" s="655"/>
      <c r="Z38" s="405"/>
      <c r="AA38" s="655"/>
      <c r="AB38" s="405"/>
      <c r="AC38" s="655"/>
      <c r="AD38" s="405"/>
      <c r="AE38" s="655"/>
      <c r="AF38" s="405"/>
      <c r="AG38" s="655"/>
      <c r="AH38" s="405"/>
      <c r="AI38" s="655"/>
      <c r="AJ38" s="405"/>
      <c r="AK38" s="655"/>
      <c r="AL38" s="405"/>
      <c r="AM38" s="655"/>
      <c r="AN38" s="405"/>
      <c r="AO38" s="655"/>
      <c r="AP38" s="405"/>
      <c r="AQ38" s="655"/>
      <c r="AR38" s="405"/>
      <c r="AS38" s="655"/>
      <c r="AT38" s="405"/>
      <c r="AU38" s="1121"/>
      <c r="AV38" s="405"/>
      <c r="AW38" s="655"/>
      <c r="AX38" s="405"/>
      <c r="AY38" s="136"/>
      <c r="AZ38" s="405"/>
      <c r="BA38" s="655"/>
      <c r="BB38" s="405"/>
      <c r="BC38" s="655"/>
      <c r="BD38" s="405"/>
      <c r="BE38" s="655"/>
      <c r="BF38" s="405"/>
      <c r="BG38" s="655"/>
      <c r="BH38" s="405"/>
      <c r="BI38" s="655"/>
      <c r="BJ38" s="405"/>
      <c r="BK38" s="655"/>
      <c r="BL38" s="405"/>
      <c r="BM38" s="655"/>
      <c r="BN38" s="405"/>
      <c r="BO38" s="655"/>
      <c r="BP38" s="405"/>
      <c r="BQ38" s="655"/>
      <c r="BR38" s="405"/>
      <c r="BS38" s="1092"/>
      <c r="BT38" s="405"/>
      <c r="BU38" s="655"/>
      <c r="BV38" s="405"/>
      <c r="BW38" s="135"/>
      <c r="BX38" s="405"/>
      <c r="BY38" s="135"/>
      <c r="BZ38" s="405"/>
      <c r="CA38" s="135"/>
      <c r="CB38" s="405"/>
      <c r="CC38" s="135"/>
      <c r="CD38" s="405"/>
      <c r="CE38" s="135"/>
      <c r="CF38" s="405"/>
      <c r="CG38" s="135"/>
      <c r="CH38" s="405"/>
      <c r="CI38" s="135"/>
      <c r="CJ38" s="405"/>
      <c r="CK38" s="135"/>
      <c r="CL38" s="405"/>
      <c r="CM38" s="135"/>
      <c r="CN38" s="405"/>
      <c r="CO38" s="135"/>
      <c r="CP38" s="405"/>
      <c r="CQ38" s="135"/>
      <c r="CR38" s="405"/>
      <c r="CS38" s="135"/>
      <c r="CT38" s="127"/>
      <c r="CU38" s="135"/>
      <c r="CV38" s="127"/>
      <c r="CW38" s="135"/>
      <c r="CX38" s="127"/>
      <c r="CY38" s="135">
        <f>CY9</f>
        <v>108475544.11</v>
      </c>
      <c r="CZ38" s="129"/>
      <c r="DA38" s="135">
        <f>DA9</f>
        <v>57354789.32</v>
      </c>
      <c r="DB38" s="129"/>
      <c r="DC38" s="135">
        <f>DC9</f>
        <v>87143010.420000002</v>
      </c>
      <c r="DD38" s="129"/>
      <c r="DE38" s="135">
        <f>DE9</f>
        <v>83247084.289999992</v>
      </c>
      <c r="DF38" s="129"/>
      <c r="DG38" s="135">
        <f>DG9</f>
        <v>40462362.420000002</v>
      </c>
      <c r="DH38" s="129"/>
      <c r="DI38" s="135">
        <f>DI9</f>
        <v>32669442.879999999</v>
      </c>
      <c r="DJ38" s="129"/>
      <c r="DK38" s="135">
        <f>DK9</f>
        <v>62893341.18</v>
      </c>
      <c r="DL38" s="129"/>
      <c r="DM38" s="135">
        <f>DM9</f>
        <v>50747875.969999999</v>
      </c>
      <c r="DN38" s="129"/>
      <c r="DO38" s="135">
        <v>71550518.629999995</v>
      </c>
      <c r="DP38" s="129"/>
      <c r="DQ38" s="135">
        <v>59723955.609999999</v>
      </c>
      <c r="DR38" s="129"/>
      <c r="DS38" s="135">
        <v>66038455.890000001</v>
      </c>
      <c r="DT38" s="129"/>
      <c r="DU38" s="135">
        <v>81659200.840000004</v>
      </c>
      <c r="DV38" s="129"/>
      <c r="DW38" s="135">
        <v>126753947.39</v>
      </c>
      <c r="DX38" s="129"/>
      <c r="DY38" s="135">
        <v>153317638.06999999</v>
      </c>
      <c r="DZ38" s="129"/>
      <c r="EA38" s="135">
        <v>88452999.799999997</v>
      </c>
      <c r="EB38" s="129"/>
      <c r="EC38" s="135">
        <v>88715907.969999999</v>
      </c>
      <c r="ED38" s="129"/>
      <c r="EE38" s="135">
        <v>79984237.030000001</v>
      </c>
      <c r="EF38" s="129"/>
      <c r="EG38" s="135">
        <v>82254324.049999997</v>
      </c>
      <c r="EH38" s="129"/>
      <c r="EI38" s="135">
        <v>79996764.209999993</v>
      </c>
      <c r="EJ38" s="129"/>
      <c r="EK38" s="135">
        <v>62736056.939999998</v>
      </c>
      <c r="EL38" s="129"/>
      <c r="EM38" s="135">
        <v>52465199.57</v>
      </c>
      <c r="EN38" s="129"/>
      <c r="EO38" s="135">
        <v>61664510.979999997</v>
      </c>
      <c r="EP38" s="129"/>
      <c r="EQ38" s="135">
        <v>65290791.289999999</v>
      </c>
      <c r="ER38" s="129"/>
      <c r="ES38" s="135">
        <v>69919871.460000008</v>
      </c>
      <c r="ET38" s="129"/>
      <c r="EU38" s="135">
        <v>64962949.809999995</v>
      </c>
      <c r="EV38" s="129"/>
      <c r="EW38" s="135">
        <v>52971148.68</v>
      </c>
      <c r="EX38" s="129"/>
      <c r="EY38" s="135">
        <v>60987411.200000003</v>
      </c>
      <c r="EZ38" s="129"/>
      <c r="FA38" s="135">
        <v>41021161.32</v>
      </c>
      <c r="FB38" s="129"/>
      <c r="FC38" s="135">
        <v>73311111.370000005</v>
      </c>
      <c r="FD38" s="129"/>
      <c r="FE38" s="135">
        <v>211641.39</v>
      </c>
      <c r="FF38" s="129"/>
      <c r="FG38" s="135">
        <v>8665305.3599999994</v>
      </c>
      <c r="FH38" s="129"/>
      <c r="FI38" s="135">
        <v>141016.13</v>
      </c>
      <c r="FJ38" s="129"/>
      <c r="FK38" s="135">
        <v>3129983.44</v>
      </c>
      <c r="FL38" s="129"/>
      <c r="FM38" s="135">
        <v>9082520.1699999999</v>
      </c>
      <c r="FN38" s="129"/>
      <c r="FO38" s="135">
        <v>11025359.18</v>
      </c>
      <c r="FP38" s="129"/>
      <c r="FQ38" s="135">
        <v>4009292.9</v>
      </c>
      <c r="FR38" s="129"/>
      <c r="FS38" s="135">
        <v>9285.65</v>
      </c>
      <c r="FT38" s="129"/>
      <c r="FU38" s="135">
        <v>9278.66</v>
      </c>
      <c r="FV38" s="129"/>
      <c r="FW38" s="135">
        <v>9271.4500000000007</v>
      </c>
      <c r="FX38" s="129"/>
      <c r="FY38" s="135">
        <v>9264.25</v>
      </c>
      <c r="FZ38" s="129"/>
      <c r="GA38" s="135">
        <v>9257.31</v>
      </c>
      <c r="GB38" s="129"/>
      <c r="GC38" s="135">
        <v>1895866.14</v>
      </c>
      <c r="GD38" s="129"/>
      <c r="GE38" s="135">
        <v>2382465</v>
      </c>
      <c r="GF38" s="129"/>
      <c r="GG38" s="135">
        <v>2866713.8600000003</v>
      </c>
      <c r="GH38" s="129"/>
      <c r="GI38" s="135">
        <v>2855804.19</v>
      </c>
      <c r="GJ38" s="129"/>
      <c r="GK38" s="135">
        <v>3838203.85</v>
      </c>
      <c r="GL38" s="129"/>
      <c r="GM38" s="135">
        <v>3816668.52</v>
      </c>
      <c r="GN38" s="129"/>
      <c r="GO38" s="135">
        <v>4866941.25</v>
      </c>
      <c r="GP38" s="129"/>
      <c r="GQ38" s="135">
        <v>7125990.2300000004</v>
      </c>
      <c r="GR38" s="129"/>
      <c r="GS38" s="123"/>
      <c r="GT38" s="123"/>
      <c r="GU38" s="123"/>
      <c r="GV38" s="123"/>
      <c r="GW38" s="123"/>
      <c r="GX38" s="123"/>
      <c r="GY38" s="123"/>
      <c r="GZ38" s="123"/>
      <c r="HA38" s="123"/>
      <c r="HB38" s="123"/>
      <c r="HC38" s="123"/>
      <c r="HD38" s="123"/>
      <c r="HE38" s="123"/>
      <c r="HF38" s="130"/>
      <c r="HG38" s="131"/>
    </row>
    <row r="39" spans="1:215" ht="12.75" hidden="1" customHeight="1">
      <c r="A39" s="127"/>
      <c r="B39" s="127"/>
      <c r="C39" s="656"/>
      <c r="D39" s="405"/>
      <c r="E39" s="656"/>
      <c r="F39" s="405"/>
      <c r="G39" s="656"/>
      <c r="H39" s="405"/>
      <c r="I39" s="656"/>
      <c r="J39" s="405"/>
      <c r="K39" s="656"/>
      <c r="L39" s="405"/>
      <c r="M39" s="656"/>
      <c r="N39" s="405"/>
      <c r="O39" s="656"/>
      <c r="P39" s="405"/>
      <c r="Q39" s="656"/>
      <c r="R39" s="405"/>
      <c r="S39" s="656"/>
      <c r="T39" s="405"/>
      <c r="U39" s="656"/>
      <c r="V39" s="405"/>
      <c r="W39" s="1153"/>
      <c r="X39" s="405"/>
      <c r="Y39" s="656"/>
      <c r="Z39" s="405"/>
      <c r="AA39" s="656"/>
      <c r="AB39" s="405"/>
      <c r="AC39" s="656"/>
      <c r="AD39" s="405"/>
      <c r="AE39" s="656"/>
      <c r="AF39" s="405"/>
      <c r="AG39" s="656"/>
      <c r="AH39" s="405"/>
      <c r="AI39" s="656"/>
      <c r="AJ39" s="405"/>
      <c r="AK39" s="656"/>
      <c r="AL39" s="405"/>
      <c r="AM39" s="656"/>
      <c r="AN39" s="405"/>
      <c r="AO39" s="656"/>
      <c r="AP39" s="405"/>
      <c r="AQ39" s="656"/>
      <c r="AR39" s="405"/>
      <c r="AS39" s="656"/>
      <c r="AT39" s="405"/>
      <c r="AU39" s="1122"/>
      <c r="AV39" s="405"/>
      <c r="AW39" s="656"/>
      <c r="AX39" s="405"/>
      <c r="AY39" s="891"/>
      <c r="AZ39" s="405"/>
      <c r="BA39" s="656"/>
      <c r="BB39" s="405"/>
      <c r="BC39" s="656"/>
      <c r="BD39" s="405"/>
      <c r="BE39" s="656"/>
      <c r="BF39" s="405"/>
      <c r="BG39" s="656"/>
      <c r="BH39" s="405"/>
      <c r="BI39" s="656"/>
      <c r="BJ39" s="405"/>
      <c r="BK39" s="656"/>
      <c r="BL39" s="405"/>
      <c r="BM39" s="656"/>
      <c r="BN39" s="405"/>
      <c r="BO39" s="656"/>
      <c r="BP39" s="405"/>
      <c r="BQ39" s="656"/>
      <c r="BR39" s="405"/>
      <c r="BS39" s="1093"/>
      <c r="BT39" s="405"/>
      <c r="BU39" s="656"/>
      <c r="BV39" s="405"/>
      <c r="BW39" s="129"/>
      <c r="BX39" s="405"/>
      <c r="BY39" s="129"/>
      <c r="BZ39" s="405"/>
      <c r="CA39" s="129"/>
      <c r="CB39" s="405"/>
      <c r="CC39" s="129"/>
      <c r="CD39" s="405"/>
      <c r="CE39" s="129"/>
      <c r="CF39" s="405"/>
      <c r="CG39" s="129"/>
      <c r="CH39" s="405"/>
      <c r="CI39" s="129"/>
      <c r="CJ39" s="405"/>
      <c r="CK39" s="129"/>
      <c r="CL39" s="405"/>
      <c r="CM39" s="129"/>
      <c r="CN39" s="405"/>
      <c r="CO39" s="129"/>
      <c r="CP39" s="405"/>
      <c r="CQ39" s="129"/>
      <c r="CR39" s="405"/>
      <c r="CS39" s="129"/>
      <c r="CT39" s="127"/>
      <c r="CU39" s="129"/>
      <c r="CV39" s="127"/>
      <c r="CW39" s="129"/>
      <c r="CX39" s="127"/>
      <c r="CY39" s="129"/>
      <c r="CZ39" s="129"/>
      <c r="DA39" s="129"/>
      <c r="DB39" s="129"/>
      <c r="DC39" s="129"/>
      <c r="DD39" s="129"/>
      <c r="DE39" s="129"/>
      <c r="DF39" s="129"/>
      <c r="DG39" s="129"/>
      <c r="DH39" s="129"/>
      <c r="DI39" s="129"/>
      <c r="DJ39" s="129"/>
      <c r="DK39" s="129"/>
      <c r="DL39" s="129"/>
      <c r="DM39" s="129"/>
      <c r="DN39" s="129"/>
      <c r="DO39" s="129"/>
      <c r="DP39" s="129"/>
      <c r="DQ39" s="129"/>
      <c r="DR39" s="129"/>
      <c r="DS39" s="129"/>
      <c r="DT39" s="129"/>
      <c r="DU39" s="129"/>
      <c r="DV39" s="129"/>
      <c r="DW39" s="129"/>
      <c r="DX39" s="129"/>
      <c r="DY39" s="129"/>
      <c r="DZ39" s="129"/>
      <c r="EA39" s="129"/>
      <c r="EB39" s="129"/>
      <c r="EC39" s="129"/>
      <c r="ED39" s="129"/>
      <c r="EE39" s="129"/>
      <c r="EF39" s="129"/>
      <c r="EG39" s="129"/>
      <c r="EH39" s="129"/>
      <c r="EI39" s="129"/>
      <c r="EJ39" s="129"/>
      <c r="EK39" s="129"/>
      <c r="EL39" s="129"/>
      <c r="EM39" s="129"/>
      <c r="EN39" s="129"/>
      <c r="EO39" s="129"/>
      <c r="EP39" s="129"/>
      <c r="EQ39" s="129"/>
      <c r="ER39" s="129"/>
      <c r="ES39" s="129"/>
      <c r="ET39" s="129"/>
      <c r="EU39" s="129"/>
      <c r="EV39" s="129"/>
      <c r="EW39" s="129"/>
      <c r="EX39" s="129"/>
      <c r="EY39" s="129"/>
      <c r="EZ39" s="129"/>
      <c r="FA39" s="129"/>
      <c r="FB39" s="129"/>
      <c r="FC39" s="129"/>
      <c r="FD39" s="129"/>
      <c r="FE39" s="129"/>
      <c r="FF39" s="129"/>
      <c r="FG39" s="129"/>
      <c r="FH39" s="129"/>
      <c r="FI39" s="129"/>
      <c r="FJ39" s="129"/>
      <c r="FK39" s="129"/>
      <c r="FL39" s="129"/>
      <c r="FM39" s="129"/>
      <c r="FN39" s="129"/>
      <c r="FO39" s="129"/>
      <c r="FP39" s="129"/>
      <c r="FQ39" s="129"/>
      <c r="FR39" s="129"/>
      <c r="FS39" s="129"/>
      <c r="FT39" s="129"/>
      <c r="FU39" s="129"/>
      <c r="FV39" s="129"/>
      <c r="FW39" s="129"/>
      <c r="FX39" s="129"/>
      <c r="FY39" s="129"/>
      <c r="FZ39" s="129"/>
      <c r="GA39" s="129"/>
      <c r="GB39" s="129"/>
      <c r="GC39" s="129"/>
      <c r="GD39" s="129"/>
      <c r="GE39" s="129"/>
      <c r="GF39" s="129"/>
      <c r="GG39" s="129"/>
      <c r="GH39" s="129"/>
      <c r="GI39" s="129"/>
      <c r="GJ39" s="129"/>
      <c r="GK39" s="129"/>
      <c r="GL39" s="129"/>
      <c r="GM39" s="129"/>
      <c r="GN39" s="129"/>
      <c r="GO39" s="129"/>
      <c r="GP39" s="129"/>
      <c r="GQ39" s="129"/>
      <c r="GR39" s="129"/>
      <c r="GS39" s="123"/>
      <c r="GT39" s="123"/>
      <c r="GU39" s="123"/>
      <c r="GV39" s="123"/>
      <c r="GW39" s="123"/>
      <c r="GX39" s="123"/>
      <c r="GY39" s="123"/>
      <c r="GZ39" s="123"/>
      <c r="HA39" s="123"/>
      <c r="HB39" s="123"/>
      <c r="HC39" s="123"/>
      <c r="HD39" s="123"/>
      <c r="HE39" s="123"/>
      <c r="HF39" s="130"/>
      <c r="HG39" s="131"/>
    </row>
    <row r="40" spans="1:215" ht="12.75" hidden="1" customHeight="1">
      <c r="A40" s="126" t="s">
        <v>240</v>
      </c>
      <c r="B40" s="127"/>
      <c r="C40" s="652"/>
      <c r="D40" s="405"/>
      <c r="E40" s="652"/>
      <c r="F40" s="405"/>
      <c r="G40" s="652"/>
      <c r="H40" s="405"/>
      <c r="I40" s="652"/>
      <c r="J40" s="405"/>
      <c r="K40" s="652"/>
      <c r="L40" s="405"/>
      <c r="M40" s="652"/>
      <c r="N40" s="405"/>
      <c r="O40" s="652"/>
      <c r="P40" s="405"/>
      <c r="Q40" s="652"/>
      <c r="R40" s="405"/>
      <c r="S40" s="652"/>
      <c r="T40" s="405"/>
      <c r="U40" s="652"/>
      <c r="V40" s="405"/>
      <c r="W40" s="1149"/>
      <c r="X40" s="405"/>
      <c r="Y40" s="652"/>
      <c r="Z40" s="405"/>
      <c r="AA40" s="652"/>
      <c r="AB40" s="405"/>
      <c r="AC40" s="652"/>
      <c r="AD40" s="405"/>
      <c r="AE40" s="652"/>
      <c r="AF40" s="405"/>
      <c r="AG40" s="652"/>
      <c r="AH40" s="405"/>
      <c r="AI40" s="652"/>
      <c r="AJ40" s="405"/>
      <c r="AK40" s="652"/>
      <c r="AL40" s="405"/>
      <c r="AM40" s="652"/>
      <c r="AN40" s="405"/>
      <c r="AO40" s="652"/>
      <c r="AP40" s="405"/>
      <c r="AQ40" s="652"/>
      <c r="AR40" s="405"/>
      <c r="AS40" s="652"/>
      <c r="AT40" s="405"/>
      <c r="AU40" s="1118"/>
      <c r="AV40" s="405"/>
      <c r="AW40" s="652"/>
      <c r="AX40" s="405"/>
      <c r="AY40" s="889"/>
      <c r="AZ40" s="405"/>
      <c r="BA40" s="652"/>
      <c r="BB40" s="405"/>
      <c r="BC40" s="652"/>
      <c r="BD40" s="405"/>
      <c r="BE40" s="652"/>
      <c r="BF40" s="405"/>
      <c r="BG40" s="652"/>
      <c r="BH40" s="405"/>
      <c r="BI40" s="652"/>
      <c r="BJ40" s="405"/>
      <c r="BK40" s="652"/>
      <c r="BL40" s="405"/>
      <c r="BM40" s="652"/>
      <c r="BN40" s="405"/>
      <c r="BO40" s="652"/>
      <c r="BP40" s="405"/>
      <c r="BQ40" s="652"/>
      <c r="BR40" s="405"/>
      <c r="BS40" s="1089"/>
      <c r="BT40" s="405"/>
      <c r="BU40" s="652"/>
      <c r="BV40" s="405"/>
      <c r="BW40" s="128"/>
      <c r="BX40" s="405"/>
      <c r="BY40" s="128"/>
      <c r="BZ40" s="405"/>
      <c r="CA40" s="128"/>
      <c r="CB40" s="405"/>
      <c r="CC40" s="128"/>
      <c r="CD40" s="405"/>
      <c r="CE40" s="128"/>
      <c r="CF40" s="405"/>
      <c r="CG40" s="128"/>
      <c r="CH40" s="405"/>
      <c r="CI40" s="128"/>
      <c r="CJ40" s="405"/>
      <c r="CK40" s="128"/>
      <c r="CL40" s="405"/>
      <c r="CM40" s="128"/>
      <c r="CN40" s="405"/>
      <c r="CO40" s="128"/>
      <c r="CP40" s="405"/>
      <c r="CQ40" s="128"/>
      <c r="CR40" s="405"/>
      <c r="CS40" s="128"/>
      <c r="CT40" s="127"/>
      <c r="CU40" s="128"/>
      <c r="CV40" s="127"/>
      <c r="CW40" s="128"/>
      <c r="CX40" s="127"/>
      <c r="CY40" s="128">
        <f>SUM(CY41:CY42)</f>
        <v>702769301.375</v>
      </c>
      <c r="CZ40" s="129"/>
      <c r="DA40" s="128">
        <f>SUM(DA41:DA42)</f>
        <v>128434208.5556239</v>
      </c>
      <c r="DB40" s="129"/>
      <c r="DC40" s="128">
        <f>SUM(DC41:DC42)</f>
        <v>104050607.46761163</v>
      </c>
      <c r="DD40" s="129"/>
      <c r="DE40" s="128">
        <f>SUM(DE41:DE42)</f>
        <v>85817016.895571902</v>
      </c>
      <c r="DF40" s="129"/>
      <c r="DG40" s="128">
        <f>SUM(DG41:DG42)</f>
        <v>84857530.346606329</v>
      </c>
      <c r="DH40" s="129"/>
      <c r="DI40" s="128">
        <f>SUM(DI41:DI42)</f>
        <v>87899539.339603662</v>
      </c>
      <c r="DJ40" s="129"/>
      <c r="DK40" s="128">
        <f>SUM(DK41:DK42)</f>
        <v>84023909.733243689</v>
      </c>
      <c r="DL40" s="129"/>
      <c r="DM40" s="128">
        <f>SUM(DM41:DM42)</f>
        <v>97256167.073376119</v>
      </c>
      <c r="DN40" s="129"/>
      <c r="DO40" s="128">
        <v>62323262.618914157</v>
      </c>
      <c r="DP40" s="129"/>
      <c r="DQ40" s="128">
        <v>52574154.257807404</v>
      </c>
      <c r="DR40" s="129"/>
      <c r="DS40" s="128">
        <v>53265302.376713783</v>
      </c>
      <c r="DT40" s="129"/>
      <c r="DU40" s="128">
        <v>53298273.710616887</v>
      </c>
      <c r="DV40" s="129"/>
      <c r="DW40" s="128">
        <v>69795375.951331288</v>
      </c>
      <c r="DX40" s="129"/>
      <c r="DY40" s="128">
        <v>69472306.435759991</v>
      </c>
      <c r="DZ40" s="129"/>
      <c r="EA40" s="128">
        <v>70074983.033715084</v>
      </c>
      <c r="EB40" s="129"/>
      <c r="EC40" s="128">
        <v>54485015.740594804</v>
      </c>
      <c r="ED40" s="129"/>
      <c r="EE40" s="128">
        <v>58657564.975934289</v>
      </c>
      <c r="EF40" s="129"/>
      <c r="EG40" s="128">
        <v>38909533.099999994</v>
      </c>
      <c r="EH40" s="129"/>
      <c r="EI40" s="128">
        <v>31960047.958247591</v>
      </c>
      <c r="EJ40" s="129"/>
      <c r="EK40" s="128">
        <v>55220666.869999997</v>
      </c>
      <c r="EL40" s="129"/>
      <c r="EM40" s="128">
        <v>57252508.690000013</v>
      </c>
      <c r="EN40" s="129"/>
      <c r="EO40" s="128">
        <v>58263768.990000002</v>
      </c>
      <c r="EP40" s="129"/>
      <c r="EQ40" s="128">
        <v>57884103.804733351</v>
      </c>
      <c r="ER40" s="129"/>
      <c r="ES40" s="128">
        <v>10223733.520581035</v>
      </c>
      <c r="ET40" s="129"/>
      <c r="EU40" s="128">
        <v>17047351.41</v>
      </c>
      <c r="EV40" s="129"/>
      <c r="EW40" s="128">
        <v>5800381.6999999993</v>
      </c>
      <c r="EX40" s="129"/>
      <c r="EY40" s="128">
        <v>4074561.4929100019</v>
      </c>
      <c r="EZ40" s="129"/>
      <c r="FA40" s="128">
        <v>6088815.7100000009</v>
      </c>
      <c r="FB40" s="129"/>
      <c r="FC40" s="128">
        <v>10113033.92</v>
      </c>
      <c r="FD40" s="129"/>
      <c r="FE40" s="128">
        <v>9286822.1292013098</v>
      </c>
      <c r="FF40" s="129"/>
      <c r="FG40" s="128">
        <v>9156024.7300000004</v>
      </c>
      <c r="FH40" s="129"/>
      <c r="FI40" s="128">
        <v>8810319.9999999981</v>
      </c>
      <c r="FJ40" s="129"/>
      <c r="FK40" s="128">
        <v>9656349.5199999996</v>
      </c>
      <c r="FL40" s="129"/>
      <c r="FM40" s="128">
        <v>9446793.2300000004</v>
      </c>
      <c r="FN40" s="129"/>
      <c r="FO40" s="128">
        <v>9435661.6000000015</v>
      </c>
      <c r="FP40" s="129"/>
      <c r="FQ40" s="128">
        <v>7614654.7100000009</v>
      </c>
      <c r="FR40" s="129"/>
      <c r="FS40" s="128">
        <v>7245093.1000000015</v>
      </c>
      <c r="FT40" s="129"/>
      <c r="FU40" s="128">
        <v>15516724.279999997</v>
      </c>
      <c r="FV40" s="129"/>
      <c r="FW40" s="128">
        <v>11198698.789999999</v>
      </c>
      <c r="FX40" s="129"/>
      <c r="FY40" s="128">
        <v>5294482.040000001</v>
      </c>
      <c r="FZ40" s="129"/>
      <c r="GA40" s="128">
        <v>3615100.1499999994</v>
      </c>
      <c r="GB40" s="129"/>
      <c r="GC40" s="128">
        <v>3200009.06</v>
      </c>
      <c r="GD40" s="129"/>
      <c r="GE40" s="128">
        <v>1896219.4399999995</v>
      </c>
      <c r="GF40" s="129"/>
      <c r="GG40" s="128">
        <v>1901204.7800000003</v>
      </c>
      <c r="GH40" s="129"/>
      <c r="GI40" s="128">
        <v>2545255.1300000004</v>
      </c>
      <c r="GJ40" s="129"/>
      <c r="GK40" s="128">
        <v>4220411.42</v>
      </c>
      <c r="GL40" s="129"/>
      <c r="GM40" s="128">
        <v>4467433.47</v>
      </c>
      <c r="GN40" s="129"/>
      <c r="GO40" s="128">
        <v>5859199.2000000002</v>
      </c>
      <c r="GP40" s="129"/>
      <c r="GQ40" s="128">
        <v>5378298.6500000004</v>
      </c>
      <c r="GR40" s="129"/>
      <c r="GS40" s="123"/>
      <c r="GT40" s="123"/>
      <c r="GU40" s="123"/>
      <c r="GV40" s="123"/>
      <c r="GW40" s="123"/>
      <c r="GX40" s="123"/>
      <c r="GY40" s="123"/>
      <c r="GZ40" s="123"/>
      <c r="HA40" s="123"/>
      <c r="HB40" s="123"/>
      <c r="HC40" s="123"/>
      <c r="HD40" s="123"/>
      <c r="HE40" s="123"/>
      <c r="HF40" s="130"/>
      <c r="HG40" s="131"/>
    </row>
    <row r="41" spans="1:215" ht="12.75" hidden="1" customHeight="1">
      <c r="A41" s="127" t="s">
        <v>241</v>
      </c>
      <c r="B41" s="127"/>
      <c r="C41" s="653"/>
      <c r="D41" s="405"/>
      <c r="E41" s="653"/>
      <c r="F41" s="405"/>
      <c r="G41" s="653"/>
      <c r="H41" s="405"/>
      <c r="I41" s="653"/>
      <c r="J41" s="405"/>
      <c r="K41" s="653"/>
      <c r="L41" s="405"/>
      <c r="M41" s="653"/>
      <c r="N41" s="405"/>
      <c r="O41" s="653"/>
      <c r="P41" s="405"/>
      <c r="Q41" s="653"/>
      <c r="R41" s="405"/>
      <c r="S41" s="653"/>
      <c r="T41" s="405"/>
      <c r="U41" s="653"/>
      <c r="V41" s="405"/>
      <c r="W41" s="1150"/>
      <c r="X41" s="405"/>
      <c r="Y41" s="653"/>
      <c r="Z41" s="405"/>
      <c r="AA41" s="653"/>
      <c r="AB41" s="405"/>
      <c r="AC41" s="653"/>
      <c r="AD41" s="405"/>
      <c r="AE41" s="653"/>
      <c r="AF41" s="405"/>
      <c r="AG41" s="653"/>
      <c r="AH41" s="405"/>
      <c r="AI41" s="653"/>
      <c r="AJ41" s="405"/>
      <c r="AK41" s="653"/>
      <c r="AL41" s="405"/>
      <c r="AM41" s="653"/>
      <c r="AN41" s="405"/>
      <c r="AO41" s="653"/>
      <c r="AP41" s="405"/>
      <c r="AQ41" s="653"/>
      <c r="AR41" s="405"/>
      <c r="AS41" s="653"/>
      <c r="AT41" s="405"/>
      <c r="AU41" s="1119"/>
      <c r="AV41" s="405"/>
      <c r="AW41" s="653"/>
      <c r="AX41" s="405"/>
      <c r="AY41" s="653"/>
      <c r="AZ41" s="405"/>
      <c r="BA41" s="653"/>
      <c r="BB41" s="405"/>
      <c r="BC41" s="653"/>
      <c r="BD41" s="405"/>
      <c r="BE41" s="653"/>
      <c r="BF41" s="405"/>
      <c r="BG41" s="653"/>
      <c r="BH41" s="405"/>
      <c r="BI41" s="653"/>
      <c r="BJ41" s="405"/>
      <c r="BK41" s="653"/>
      <c r="BL41" s="405"/>
      <c r="BM41" s="653"/>
      <c r="BN41" s="405"/>
      <c r="BO41" s="653"/>
      <c r="BP41" s="405"/>
      <c r="BQ41" s="653"/>
      <c r="BR41" s="405"/>
      <c r="BS41" s="1090"/>
      <c r="BT41" s="405"/>
      <c r="BU41" s="653"/>
      <c r="BV41" s="405"/>
      <c r="BW41" s="132"/>
      <c r="BX41" s="405"/>
      <c r="BY41" s="132"/>
      <c r="BZ41" s="405"/>
      <c r="CA41" s="132"/>
      <c r="CB41" s="405"/>
      <c r="CC41" s="132"/>
      <c r="CD41" s="405"/>
      <c r="CE41" s="132"/>
      <c r="CF41" s="405"/>
      <c r="CG41" s="132"/>
      <c r="CH41" s="405"/>
      <c r="CI41" s="132"/>
      <c r="CJ41" s="405"/>
      <c r="CK41" s="132"/>
      <c r="CL41" s="405"/>
      <c r="CM41" s="132"/>
      <c r="CN41" s="405"/>
      <c r="CO41" s="132"/>
      <c r="CP41" s="405"/>
      <c r="CQ41" s="132"/>
      <c r="CR41" s="405"/>
      <c r="CS41" s="132"/>
      <c r="CT41" s="127"/>
      <c r="CU41" s="132"/>
      <c r="CV41" s="127"/>
      <c r="CW41" s="132"/>
      <c r="CX41" s="127"/>
      <c r="CY41" s="132">
        <f>CY21</f>
        <v>8774948.8500000015</v>
      </c>
      <c r="CZ41" s="129"/>
      <c r="DA41" s="132">
        <f>DA21</f>
        <v>8716059.7200000007</v>
      </c>
      <c r="DB41" s="129"/>
      <c r="DC41" s="132">
        <f>DC21</f>
        <v>8028682.0899999999</v>
      </c>
      <c r="DD41" s="129"/>
      <c r="DE41" s="132">
        <f>DE21</f>
        <v>10028322.340000002</v>
      </c>
      <c r="DF41" s="129"/>
      <c r="DG41" s="132">
        <f>DG21</f>
        <v>12970283.76</v>
      </c>
      <c r="DH41" s="129"/>
      <c r="DI41" s="132">
        <f>DI21</f>
        <v>9992336.6899999995</v>
      </c>
      <c r="DJ41" s="129"/>
      <c r="DK41" s="132">
        <f>DK21</f>
        <v>7359064.3000000007</v>
      </c>
      <c r="DL41" s="129"/>
      <c r="DM41" s="132">
        <f>DM21</f>
        <v>6410327.3499999996</v>
      </c>
      <c r="DN41" s="129"/>
      <c r="DO41" s="132">
        <v>3786626.8</v>
      </c>
      <c r="DP41" s="129"/>
      <c r="DQ41" s="132">
        <v>2889748.07</v>
      </c>
      <c r="DR41" s="129"/>
      <c r="DS41" s="132">
        <v>4376458.8278275616</v>
      </c>
      <c r="DT41" s="129"/>
      <c r="DU41" s="132">
        <v>7402248.3405810297</v>
      </c>
      <c r="DV41" s="129"/>
      <c r="DW41" s="132">
        <v>8659608.6250263136</v>
      </c>
      <c r="DX41" s="129"/>
      <c r="DY41" s="132">
        <v>6621626.8900000006</v>
      </c>
      <c r="DZ41" s="129"/>
      <c r="EA41" s="132">
        <v>6170585.3499999996</v>
      </c>
      <c r="EB41" s="129"/>
      <c r="EC41" s="132">
        <v>4224449.0599999996</v>
      </c>
      <c r="ED41" s="129"/>
      <c r="EE41" s="132">
        <v>8793020.3100000005</v>
      </c>
      <c r="EF41" s="129"/>
      <c r="EG41" s="132">
        <v>-4348680.5771474084</v>
      </c>
      <c r="EH41" s="129"/>
      <c r="EI41" s="132">
        <v>-10107344.449999999</v>
      </c>
      <c r="EJ41" s="129"/>
      <c r="EK41" s="132">
        <v>-7551822.2300000014</v>
      </c>
      <c r="EL41" s="129"/>
      <c r="EM41" s="132">
        <v>-215808.79000000021</v>
      </c>
      <c r="EN41" s="129"/>
      <c r="EO41" s="132">
        <v>3501535.1700000009</v>
      </c>
      <c r="EP41" s="129"/>
      <c r="EQ41" s="132">
        <v>4724630.5199999996</v>
      </c>
      <c r="ER41" s="129"/>
      <c r="ES41" s="132">
        <v>2352513.23</v>
      </c>
      <c r="ET41" s="129"/>
      <c r="EU41" s="132">
        <v>623716.17999999982</v>
      </c>
      <c r="EV41" s="129"/>
      <c r="EW41" s="132">
        <v>1879523.2799999998</v>
      </c>
      <c r="EX41" s="129"/>
      <c r="EY41" s="132">
        <v>1919971.0500000003</v>
      </c>
      <c r="EZ41" s="129"/>
      <c r="FA41" s="132">
        <v>3887097.4200000004</v>
      </c>
      <c r="FB41" s="129"/>
      <c r="FC41" s="132">
        <v>1759172.72</v>
      </c>
      <c r="FD41" s="129"/>
      <c r="FE41" s="132">
        <v>1066617.22</v>
      </c>
      <c r="FF41" s="129"/>
      <c r="FG41" s="132">
        <v>1168889.3699999999</v>
      </c>
      <c r="FH41" s="129"/>
      <c r="FI41" s="132">
        <v>1077597.8600000001</v>
      </c>
      <c r="FJ41" s="129"/>
      <c r="FK41" s="132">
        <v>1205336.79</v>
      </c>
      <c r="FL41" s="129"/>
      <c r="FM41" s="132">
        <v>768601.3899999999</v>
      </c>
      <c r="FN41" s="129"/>
      <c r="FO41" s="132">
        <v>775038.76</v>
      </c>
      <c r="FP41" s="129"/>
      <c r="FQ41" s="132">
        <v>1057596.56</v>
      </c>
      <c r="FR41" s="129"/>
      <c r="FS41" s="132">
        <v>424618.05000000005</v>
      </c>
      <c r="FT41" s="129"/>
      <c r="FU41" s="132">
        <v>175149.64</v>
      </c>
      <c r="FV41" s="129"/>
      <c r="FW41" s="132">
        <v>-71103.500000000058</v>
      </c>
      <c r="FX41" s="129"/>
      <c r="FY41" s="132">
        <v>630883.41999999993</v>
      </c>
      <c r="FZ41" s="129"/>
      <c r="GA41" s="132">
        <v>629747.63000000012</v>
      </c>
      <c r="GB41" s="129"/>
      <c r="GC41" s="132">
        <v>805272.14</v>
      </c>
      <c r="GD41" s="129"/>
      <c r="GE41" s="132">
        <v>622559.5</v>
      </c>
      <c r="GF41" s="129"/>
      <c r="GG41" s="132">
        <v>744652.29</v>
      </c>
      <c r="GH41" s="129"/>
      <c r="GI41" s="132">
        <v>719443.39999999991</v>
      </c>
      <c r="GJ41" s="129"/>
      <c r="GK41" s="132">
        <v>367365.93</v>
      </c>
      <c r="GL41" s="129"/>
      <c r="GM41" s="132">
        <v>299414.55</v>
      </c>
      <c r="GN41" s="129"/>
      <c r="GO41" s="132">
        <v>253415.33000000002</v>
      </c>
      <c r="GP41" s="129"/>
      <c r="GQ41" s="132">
        <v>241124.36</v>
      </c>
      <c r="GR41" s="129"/>
      <c r="GS41" s="123"/>
      <c r="GT41" s="123"/>
      <c r="GU41" s="123"/>
      <c r="GV41" s="123"/>
      <c r="GW41" s="123"/>
      <c r="GX41" s="123"/>
      <c r="GY41" s="123"/>
      <c r="GZ41" s="123"/>
      <c r="HA41" s="123"/>
      <c r="HB41" s="123"/>
      <c r="HC41" s="123"/>
      <c r="HD41" s="123"/>
      <c r="HE41" s="123"/>
      <c r="HF41" s="130"/>
      <c r="HG41" s="131"/>
    </row>
    <row r="42" spans="1:215" ht="12.75" hidden="1" customHeight="1">
      <c r="A42" s="127" t="s">
        <v>230</v>
      </c>
      <c r="B42" s="127"/>
      <c r="C42" s="136"/>
      <c r="D42" s="405"/>
      <c r="E42" s="136"/>
      <c r="F42" s="405"/>
      <c r="G42" s="136"/>
      <c r="H42" s="405"/>
      <c r="I42" s="136"/>
      <c r="J42" s="405"/>
      <c r="K42" s="136"/>
      <c r="L42" s="405"/>
      <c r="M42" s="136"/>
      <c r="N42" s="405"/>
      <c r="O42" s="136"/>
      <c r="P42" s="405"/>
      <c r="Q42" s="136"/>
      <c r="R42" s="405"/>
      <c r="S42" s="136"/>
      <c r="T42" s="405"/>
      <c r="U42" s="136"/>
      <c r="V42" s="405"/>
      <c r="W42" s="1154"/>
      <c r="X42" s="405"/>
      <c r="Y42" s="136"/>
      <c r="Z42" s="405"/>
      <c r="AA42" s="136"/>
      <c r="AB42" s="405"/>
      <c r="AC42" s="136"/>
      <c r="AD42" s="405"/>
      <c r="AE42" s="136"/>
      <c r="AF42" s="405"/>
      <c r="AG42" s="136"/>
      <c r="AH42" s="405"/>
      <c r="AI42" s="136"/>
      <c r="AJ42" s="405"/>
      <c r="AK42" s="136"/>
      <c r="AL42" s="405"/>
      <c r="AM42" s="136"/>
      <c r="AN42" s="405"/>
      <c r="AO42" s="136"/>
      <c r="AP42" s="405"/>
      <c r="AQ42" s="136"/>
      <c r="AR42" s="405"/>
      <c r="AS42" s="136"/>
      <c r="AT42" s="405"/>
      <c r="AU42" s="1123"/>
      <c r="AV42" s="405"/>
      <c r="AW42" s="136"/>
      <c r="AX42" s="405"/>
      <c r="AY42" s="136"/>
      <c r="AZ42" s="405"/>
      <c r="BA42" s="136"/>
      <c r="BB42" s="405"/>
      <c r="BC42" s="136"/>
      <c r="BD42" s="405"/>
      <c r="BE42" s="136"/>
      <c r="BF42" s="405"/>
      <c r="BG42" s="136"/>
      <c r="BH42" s="405"/>
      <c r="BI42" s="136"/>
      <c r="BJ42" s="405"/>
      <c r="BK42" s="136"/>
      <c r="BL42" s="405"/>
      <c r="BM42" s="136"/>
      <c r="BN42" s="405"/>
      <c r="BO42" s="136"/>
      <c r="BP42" s="405"/>
      <c r="BQ42" s="136"/>
      <c r="BR42" s="405"/>
      <c r="BS42" s="1094"/>
      <c r="BT42" s="405"/>
      <c r="BU42" s="136"/>
      <c r="BV42" s="405"/>
      <c r="BW42" s="136"/>
      <c r="BX42" s="405"/>
      <c r="BY42" s="136"/>
      <c r="BZ42" s="405"/>
      <c r="CA42" s="136"/>
      <c r="CB42" s="405"/>
      <c r="CC42" s="136"/>
      <c r="CD42" s="405"/>
      <c r="CE42" s="136"/>
      <c r="CF42" s="405"/>
      <c r="CG42" s="136"/>
      <c r="CH42" s="405"/>
      <c r="CI42" s="136"/>
      <c r="CJ42" s="405"/>
      <c r="CK42" s="136"/>
      <c r="CL42" s="405"/>
      <c r="CM42" s="136"/>
      <c r="CN42" s="405"/>
      <c r="CO42" s="136"/>
      <c r="CP42" s="405"/>
      <c r="CQ42" s="136"/>
      <c r="CR42" s="405"/>
      <c r="CS42" s="136"/>
      <c r="CT42" s="127"/>
      <c r="CU42" s="136"/>
      <c r="CV42" s="127"/>
      <c r="CW42" s="136"/>
      <c r="CX42" s="127"/>
      <c r="CY42" s="136">
        <f>'Notes - Dec25'!AC129</f>
        <v>693994352.52499998</v>
      </c>
      <c r="CZ42" s="129"/>
      <c r="DA42" s="136">
        <f>'Notes - Dec25'!DA129</f>
        <v>119718148.83562391</v>
      </c>
      <c r="DB42" s="129"/>
      <c r="DC42" s="136">
        <f>'Notes - Dec25'!DC129</f>
        <v>96021925.377611622</v>
      </c>
      <c r="DD42" s="129"/>
      <c r="DE42" s="136">
        <f>'Notes - Dec25'!DE129</f>
        <v>75788694.555571899</v>
      </c>
      <c r="DF42" s="129"/>
      <c r="DG42" s="136">
        <f>'Notes - Dec25'!DG129</f>
        <v>71887246.586606324</v>
      </c>
      <c r="DH42" s="129"/>
      <c r="DI42" s="136">
        <f>'Notes - Dec25'!DI129</f>
        <v>77907202.649603665</v>
      </c>
      <c r="DJ42" s="129"/>
      <c r="DK42" s="136">
        <f>'Notes - Dec25'!DK129</f>
        <v>76664845.433243692</v>
      </c>
      <c r="DL42" s="129"/>
      <c r="DM42" s="136">
        <f>'Notes - Dec25'!DM129</f>
        <v>90845839.723376125</v>
      </c>
      <c r="DN42" s="129"/>
      <c r="DO42" s="136">
        <v>58536635.81891416</v>
      </c>
      <c r="DP42" s="129"/>
      <c r="DQ42" s="136">
        <v>49684406.187807404</v>
      </c>
      <c r="DR42" s="129"/>
      <c r="DS42" s="136">
        <v>48888843.548886225</v>
      </c>
      <c r="DT42" s="129"/>
      <c r="DU42" s="136">
        <v>45896025.370035857</v>
      </c>
      <c r="DV42" s="129"/>
      <c r="DW42" s="136">
        <v>61135767.326304972</v>
      </c>
      <c r="DX42" s="129"/>
      <c r="DY42" s="136">
        <v>62850679.545759998</v>
      </c>
      <c r="DZ42" s="129"/>
      <c r="EA42" s="136">
        <v>63904397.683715083</v>
      </c>
      <c r="EB42" s="129"/>
      <c r="EC42" s="136">
        <v>50260566.680594802</v>
      </c>
      <c r="ED42" s="129"/>
      <c r="EE42" s="135">
        <v>49864544.665934287</v>
      </c>
      <c r="EF42" s="129"/>
      <c r="EG42" s="135">
        <v>43258213.677147403</v>
      </c>
      <c r="EH42" s="129"/>
      <c r="EI42" s="135">
        <v>42067392.40824759</v>
      </c>
      <c r="EJ42" s="129"/>
      <c r="EK42" s="135">
        <v>62772489.100000001</v>
      </c>
      <c r="EL42" s="129"/>
      <c r="EM42" s="135">
        <v>57468317.480000012</v>
      </c>
      <c r="EN42" s="129"/>
      <c r="EO42" s="135">
        <v>54762233.82</v>
      </c>
      <c r="EP42" s="129"/>
      <c r="EQ42" s="135">
        <v>53159473.284733348</v>
      </c>
      <c r="ER42" s="129"/>
      <c r="ES42" s="135">
        <v>7871220.2905810354</v>
      </c>
      <c r="ET42" s="129"/>
      <c r="EU42" s="135">
        <v>16423635.23</v>
      </c>
      <c r="EV42" s="129"/>
      <c r="EW42" s="135">
        <v>3920858.42</v>
      </c>
      <c r="EX42" s="129"/>
      <c r="EY42" s="135">
        <v>2154590.4429100016</v>
      </c>
      <c r="EZ42" s="129"/>
      <c r="FA42" s="135">
        <v>2201718.290000001</v>
      </c>
      <c r="FB42" s="129"/>
      <c r="FC42" s="135">
        <v>8353861.2000000002</v>
      </c>
      <c r="FD42" s="129"/>
      <c r="FE42" s="135">
        <v>8220204.9092013091</v>
      </c>
      <c r="FF42" s="129"/>
      <c r="FG42" s="135">
        <v>7987135.3600000013</v>
      </c>
      <c r="FH42" s="129"/>
      <c r="FI42" s="135">
        <v>7732722.1399999987</v>
      </c>
      <c r="FJ42" s="129"/>
      <c r="FK42" s="135">
        <v>8451012.7300000004</v>
      </c>
      <c r="FL42" s="129"/>
      <c r="FM42" s="135">
        <v>8678191.8399999999</v>
      </c>
      <c r="FN42" s="129"/>
      <c r="FO42" s="135">
        <v>8660622.8400000017</v>
      </c>
      <c r="FP42" s="129"/>
      <c r="FQ42" s="135">
        <v>6557058.1500000004</v>
      </c>
      <c r="FR42" s="129"/>
      <c r="FS42" s="135">
        <v>6820475.0500000017</v>
      </c>
      <c r="FT42" s="129"/>
      <c r="FU42" s="135">
        <v>15341574.639999997</v>
      </c>
      <c r="FV42" s="129"/>
      <c r="FW42" s="135">
        <v>11269802.289999999</v>
      </c>
      <c r="FX42" s="129"/>
      <c r="FY42" s="135">
        <v>4663598.620000001</v>
      </c>
      <c r="FZ42" s="129"/>
      <c r="GA42" s="135">
        <v>2985352.5199999996</v>
      </c>
      <c r="GB42" s="129"/>
      <c r="GC42" s="135">
        <v>2394736.92</v>
      </c>
      <c r="GD42" s="129"/>
      <c r="GE42" s="135">
        <v>1273659.9399999995</v>
      </c>
      <c r="GF42" s="129"/>
      <c r="GG42" s="135">
        <v>1156552.4900000002</v>
      </c>
      <c r="GH42" s="129"/>
      <c r="GI42" s="135">
        <v>1825811.7300000004</v>
      </c>
      <c r="GJ42" s="129"/>
      <c r="GK42" s="135">
        <v>3853045.49</v>
      </c>
      <c r="GL42" s="129"/>
      <c r="GM42" s="135">
        <v>4168018.92</v>
      </c>
      <c r="GN42" s="129"/>
      <c r="GO42" s="135">
        <v>5605783.8700000001</v>
      </c>
      <c r="GP42" s="129"/>
      <c r="GQ42" s="135">
        <v>5137174.29</v>
      </c>
      <c r="GR42" s="129"/>
      <c r="GS42" s="123"/>
      <c r="GT42" s="123"/>
      <c r="GU42" s="123"/>
      <c r="GV42" s="123"/>
      <c r="GW42" s="123"/>
      <c r="GX42" s="123"/>
      <c r="GY42" s="123"/>
      <c r="GZ42" s="123"/>
      <c r="HA42" s="123"/>
      <c r="HB42" s="123"/>
      <c r="HC42" s="123"/>
      <c r="HD42" s="123"/>
      <c r="HE42" s="123"/>
      <c r="HF42" s="130"/>
      <c r="HG42" s="131"/>
    </row>
    <row r="43" spans="1:215" ht="12.75" hidden="1" customHeight="1">
      <c r="A43" s="121"/>
      <c r="B43" s="121"/>
      <c r="C43" s="122"/>
      <c r="D43" s="404"/>
      <c r="E43" s="122"/>
      <c r="F43" s="404"/>
      <c r="G43" s="122"/>
      <c r="H43" s="404"/>
      <c r="I43" s="122"/>
      <c r="J43" s="404"/>
      <c r="K43" s="122"/>
      <c r="L43" s="404"/>
      <c r="M43" s="122"/>
      <c r="N43" s="404"/>
      <c r="O43" s="122"/>
      <c r="P43" s="404"/>
      <c r="Q43" s="122"/>
      <c r="R43" s="404"/>
      <c r="S43" s="122"/>
      <c r="T43" s="404"/>
      <c r="U43" s="122"/>
      <c r="V43" s="404"/>
      <c r="W43" s="1147"/>
      <c r="X43" s="404"/>
      <c r="Y43" s="122"/>
      <c r="Z43" s="404"/>
      <c r="AA43" s="122"/>
      <c r="AB43" s="404"/>
      <c r="AC43" s="122"/>
      <c r="AD43" s="404"/>
      <c r="AE43" s="122"/>
      <c r="AF43" s="404"/>
      <c r="AG43" s="122"/>
      <c r="AH43" s="404"/>
      <c r="AI43" s="122"/>
      <c r="AJ43" s="404"/>
      <c r="AK43" s="122"/>
      <c r="AL43" s="404"/>
      <c r="AM43" s="122"/>
      <c r="AN43" s="404"/>
      <c r="AO43" s="122"/>
      <c r="AP43" s="404"/>
      <c r="AQ43" s="122"/>
      <c r="AR43" s="404"/>
      <c r="AS43" s="122"/>
      <c r="AT43" s="404"/>
      <c r="AU43" s="1116"/>
      <c r="AV43" s="404"/>
      <c r="AW43" s="122"/>
      <c r="AX43" s="404"/>
      <c r="AY43" s="122"/>
      <c r="AZ43" s="404"/>
      <c r="BA43" s="122"/>
      <c r="BB43" s="404"/>
      <c r="BC43" s="122"/>
      <c r="BD43" s="404"/>
      <c r="BE43" s="122"/>
      <c r="BF43" s="404"/>
      <c r="BG43" s="122"/>
      <c r="BH43" s="404"/>
      <c r="BI43" s="122"/>
      <c r="BJ43" s="404"/>
      <c r="BK43" s="122"/>
      <c r="BL43" s="404"/>
      <c r="BM43" s="122"/>
      <c r="BN43" s="404"/>
      <c r="BO43" s="122"/>
      <c r="BP43" s="404"/>
      <c r="BQ43" s="122"/>
      <c r="BR43" s="404"/>
      <c r="BS43" s="1088"/>
      <c r="BT43" s="404"/>
      <c r="BU43" s="122"/>
      <c r="BV43" s="404"/>
      <c r="BW43" s="122"/>
      <c r="BX43" s="404"/>
      <c r="BY43" s="122"/>
      <c r="BZ43" s="404"/>
      <c r="CA43" s="122"/>
      <c r="CB43" s="404"/>
      <c r="CC43" s="122"/>
      <c r="CD43" s="404"/>
      <c r="CE43" s="122"/>
      <c r="CF43" s="404"/>
      <c r="CG43" s="122"/>
      <c r="CH43" s="404"/>
      <c r="CI43" s="122"/>
      <c r="CJ43" s="404"/>
      <c r="CK43" s="122"/>
      <c r="CL43" s="404"/>
      <c r="CM43" s="122"/>
      <c r="CN43" s="404"/>
      <c r="CO43" s="122"/>
      <c r="CP43" s="404"/>
      <c r="CQ43" s="122"/>
      <c r="CR43" s="404"/>
      <c r="CS43" s="122"/>
      <c r="CT43" s="121"/>
      <c r="CU43" s="122"/>
      <c r="CV43" s="121"/>
      <c r="CW43" s="122"/>
      <c r="CX43" s="121"/>
      <c r="CY43" s="122"/>
      <c r="CZ43" s="123"/>
      <c r="DA43" s="122"/>
      <c r="DB43" s="123"/>
      <c r="DC43" s="122"/>
      <c r="DD43" s="123"/>
      <c r="DE43" s="122"/>
      <c r="DF43" s="123"/>
      <c r="DG43" s="122"/>
      <c r="DH43" s="123"/>
      <c r="DI43" s="122"/>
      <c r="DJ43" s="123"/>
      <c r="DK43" s="122"/>
      <c r="DL43" s="123"/>
      <c r="DM43" s="122"/>
      <c r="DN43" s="123"/>
      <c r="DO43" s="122"/>
      <c r="DP43" s="123"/>
      <c r="DQ43" s="122"/>
      <c r="DR43" s="123"/>
      <c r="DS43" s="123"/>
      <c r="DT43" s="123"/>
      <c r="DU43" s="123"/>
      <c r="DV43" s="123"/>
      <c r="DW43" s="123"/>
      <c r="DX43" s="123"/>
      <c r="DY43" s="123"/>
      <c r="DZ43" s="123"/>
      <c r="EA43" s="123"/>
      <c r="EB43" s="123"/>
      <c r="EC43" s="123"/>
      <c r="ED43" s="123"/>
      <c r="EE43" s="123"/>
      <c r="EF43" s="123"/>
      <c r="EG43" s="123"/>
      <c r="EH43" s="123"/>
      <c r="EI43" s="123"/>
      <c r="EJ43" s="123"/>
      <c r="EK43" s="123"/>
      <c r="EL43" s="123"/>
      <c r="EM43" s="123"/>
      <c r="EN43" s="123"/>
      <c r="EO43" s="123"/>
      <c r="EP43" s="123"/>
      <c r="EQ43" s="123"/>
      <c r="ER43" s="123"/>
      <c r="ES43" s="123"/>
      <c r="ET43" s="123"/>
      <c r="EU43" s="123"/>
      <c r="EV43" s="123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3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/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3"/>
      <c r="GV43" s="123"/>
      <c r="GW43" s="123"/>
      <c r="GX43" s="123"/>
      <c r="GY43" s="123"/>
      <c r="GZ43" s="123"/>
      <c r="HA43" s="123"/>
      <c r="HB43" s="123"/>
      <c r="HC43" s="123"/>
      <c r="HD43" s="123"/>
      <c r="HE43" s="123"/>
      <c r="HF43" s="124"/>
      <c r="HG43" s="125"/>
    </row>
    <row r="44" spans="1:215" ht="12.75" hidden="1" customHeight="1">
      <c r="A44" s="121"/>
      <c r="B44" s="121"/>
      <c r="C44" s="122"/>
      <c r="D44" s="404"/>
      <c r="E44" s="122"/>
      <c r="F44" s="404"/>
      <c r="G44" s="122"/>
      <c r="H44" s="404"/>
      <c r="I44" s="122"/>
      <c r="J44" s="404"/>
      <c r="K44" s="122"/>
      <c r="L44" s="404"/>
      <c r="M44" s="122"/>
      <c r="N44" s="404"/>
      <c r="O44" s="122"/>
      <c r="P44" s="404"/>
      <c r="Q44" s="122"/>
      <c r="R44" s="404"/>
      <c r="S44" s="122"/>
      <c r="T44" s="404"/>
      <c r="U44" s="122"/>
      <c r="V44" s="404"/>
      <c r="W44" s="1147"/>
      <c r="X44" s="404"/>
      <c r="Y44" s="122"/>
      <c r="Z44" s="404"/>
      <c r="AA44" s="122"/>
      <c r="AB44" s="404"/>
      <c r="AC44" s="122"/>
      <c r="AD44" s="404"/>
      <c r="AE44" s="122"/>
      <c r="AF44" s="404"/>
      <c r="AG44" s="122"/>
      <c r="AH44" s="404"/>
      <c r="AI44" s="122"/>
      <c r="AJ44" s="404"/>
      <c r="AK44" s="122"/>
      <c r="AL44" s="404"/>
      <c r="AM44" s="122"/>
      <c r="AN44" s="404"/>
      <c r="AO44" s="122"/>
      <c r="AP44" s="404"/>
      <c r="AQ44" s="122"/>
      <c r="AR44" s="404"/>
      <c r="AS44" s="122"/>
      <c r="AT44" s="404"/>
      <c r="AU44" s="1116"/>
      <c r="AV44" s="404"/>
      <c r="AW44" s="122"/>
      <c r="AX44" s="404"/>
      <c r="AY44" s="122"/>
      <c r="AZ44" s="404"/>
      <c r="BA44" s="122"/>
      <c r="BB44" s="404"/>
      <c r="BC44" s="122"/>
      <c r="BD44" s="404"/>
      <c r="BE44" s="122"/>
      <c r="BF44" s="404"/>
      <c r="BG44" s="122"/>
      <c r="BH44" s="404"/>
      <c r="BI44" s="122"/>
      <c r="BJ44" s="404"/>
      <c r="BK44" s="122"/>
      <c r="BL44" s="404"/>
      <c r="BM44" s="122"/>
      <c r="BN44" s="404"/>
      <c r="BO44" s="122"/>
      <c r="BP44" s="404"/>
      <c r="BQ44" s="122"/>
      <c r="BR44" s="404"/>
      <c r="BS44" s="1088"/>
      <c r="BT44" s="404"/>
      <c r="BU44" s="122"/>
      <c r="BV44" s="404"/>
      <c r="BW44" s="122"/>
      <c r="BX44" s="404"/>
      <c r="BY44" s="122"/>
      <c r="BZ44" s="404"/>
      <c r="CA44" s="122"/>
      <c r="CB44" s="404"/>
      <c r="CC44" s="122"/>
      <c r="CD44" s="404"/>
      <c r="CE44" s="122"/>
      <c r="CF44" s="404"/>
      <c r="CG44" s="122"/>
      <c r="CH44" s="404"/>
      <c r="CI44" s="122"/>
      <c r="CJ44" s="404"/>
      <c r="CK44" s="122"/>
      <c r="CL44" s="404"/>
      <c r="CM44" s="122"/>
      <c r="CN44" s="404"/>
      <c r="CO44" s="122"/>
      <c r="CP44" s="404"/>
      <c r="CQ44" s="122"/>
      <c r="CR44" s="404"/>
      <c r="CS44" s="122"/>
      <c r="CT44" s="121"/>
      <c r="CU44" s="122"/>
      <c r="CV44" s="121"/>
      <c r="CW44" s="122"/>
      <c r="CX44" s="121"/>
      <c r="CY44" s="122"/>
      <c r="CZ44" s="123"/>
      <c r="DA44" s="122"/>
      <c r="DB44" s="123"/>
      <c r="DC44" s="122"/>
      <c r="DD44" s="123"/>
      <c r="DE44" s="122"/>
      <c r="DF44" s="123"/>
      <c r="DG44" s="122"/>
      <c r="DH44" s="123"/>
      <c r="DI44" s="122"/>
      <c r="DJ44" s="123"/>
      <c r="DK44" s="122"/>
      <c r="DL44" s="123"/>
      <c r="DM44" s="122"/>
      <c r="DN44" s="123"/>
      <c r="DO44" s="122"/>
      <c r="DP44" s="123"/>
      <c r="DQ44" s="122"/>
      <c r="DR44" s="123"/>
      <c r="DS44" s="123"/>
      <c r="DT44" s="123"/>
      <c r="DU44" s="123"/>
      <c r="DV44" s="123"/>
      <c r="DW44" s="123"/>
      <c r="DX44" s="123"/>
      <c r="DY44" s="123"/>
      <c r="DZ44" s="123"/>
      <c r="EA44" s="123"/>
      <c r="EB44" s="123"/>
      <c r="EC44" s="123"/>
      <c r="ED44" s="123"/>
      <c r="EE44" s="121"/>
      <c r="EF44" s="123"/>
      <c r="EG44" s="123"/>
      <c r="EH44" s="123"/>
      <c r="EI44" s="123"/>
      <c r="EJ44" s="123"/>
      <c r="EK44" s="121"/>
      <c r="EL44" s="123"/>
      <c r="EM44" s="121"/>
      <c r="EN44" s="123"/>
      <c r="EO44" s="121"/>
      <c r="EP44" s="123"/>
      <c r="EQ44" s="121"/>
      <c r="ER44" s="123"/>
      <c r="ES44" s="121"/>
      <c r="ET44" s="123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  <c r="GQ44" s="121"/>
      <c r="GR44" s="121"/>
      <c r="GS44" s="121"/>
      <c r="GT44" s="121"/>
      <c r="GU44" s="121"/>
      <c r="GV44" s="121"/>
      <c r="GW44" s="121"/>
      <c r="GX44" s="121"/>
      <c r="GY44" s="121"/>
      <c r="GZ44" s="121"/>
      <c r="HA44" s="121"/>
      <c r="HB44" s="121"/>
      <c r="HC44" s="121"/>
      <c r="HD44" s="121"/>
      <c r="HE44" s="121"/>
      <c r="HF44" s="124"/>
      <c r="HG44" s="125"/>
    </row>
    <row r="45" spans="1:215" ht="12.75" customHeight="1">
      <c r="A45" s="72" t="s">
        <v>242</v>
      </c>
      <c r="B45" s="76"/>
      <c r="C45" s="137"/>
      <c r="D45" s="401"/>
      <c r="E45" s="137"/>
      <c r="F45" s="401"/>
      <c r="G45" s="137"/>
      <c r="H45" s="401"/>
      <c r="I45" s="137"/>
      <c r="J45" s="401"/>
      <c r="K45" s="137"/>
      <c r="L45" s="401"/>
      <c r="M45" s="137"/>
      <c r="N45" s="401"/>
      <c r="O45" s="137"/>
      <c r="P45" s="401"/>
      <c r="Q45" s="137"/>
      <c r="R45" s="401"/>
      <c r="S45" s="137"/>
      <c r="T45" s="401"/>
      <c r="U45" s="137"/>
      <c r="V45" s="401"/>
      <c r="W45" s="1155"/>
      <c r="X45" s="401"/>
      <c r="Y45" s="137"/>
      <c r="Z45" s="401"/>
      <c r="AA45" s="137"/>
      <c r="AB45" s="401"/>
      <c r="AC45" s="137"/>
      <c r="AD45" s="401"/>
      <c r="AE45" s="137"/>
      <c r="AF45" s="401"/>
      <c r="AG45" s="137"/>
      <c r="AH45" s="401"/>
      <c r="AI45" s="137"/>
      <c r="AJ45" s="401"/>
      <c r="AK45" s="137"/>
      <c r="AL45" s="401"/>
      <c r="AM45" s="137"/>
      <c r="AN45" s="401"/>
      <c r="AO45" s="137"/>
      <c r="AP45" s="401"/>
      <c r="AQ45" s="137"/>
      <c r="AR45" s="401"/>
      <c r="AS45" s="137"/>
      <c r="AT45" s="401"/>
      <c r="AU45" s="1124"/>
      <c r="AV45" s="401"/>
      <c r="AW45" s="137"/>
      <c r="AX45" s="401"/>
      <c r="AY45" s="137"/>
      <c r="AZ45" s="401"/>
      <c r="BA45" s="137"/>
      <c r="BB45" s="401"/>
      <c r="BC45" s="137"/>
      <c r="BD45" s="401"/>
      <c r="BE45" s="137"/>
      <c r="BF45" s="401"/>
      <c r="BG45" s="137"/>
      <c r="BH45" s="401"/>
      <c r="BI45" s="137"/>
      <c r="BJ45" s="401"/>
      <c r="BK45" s="137"/>
      <c r="BL45" s="401"/>
      <c r="BM45" s="137"/>
      <c r="BN45" s="401"/>
      <c r="BO45" s="137"/>
      <c r="BP45" s="401"/>
      <c r="BQ45" s="137"/>
      <c r="BR45" s="401"/>
      <c r="BS45" s="1095"/>
      <c r="BT45" s="401"/>
      <c r="BU45" s="137"/>
      <c r="BV45" s="401"/>
      <c r="BW45" s="137"/>
      <c r="BX45" s="401"/>
      <c r="BY45" s="137"/>
      <c r="BZ45" s="401"/>
      <c r="CA45" s="137"/>
      <c r="CB45" s="401"/>
      <c r="CC45" s="137"/>
      <c r="CD45" s="401"/>
      <c r="CE45" s="137"/>
      <c r="CF45" s="401"/>
      <c r="CG45" s="137"/>
      <c r="CH45" s="401"/>
      <c r="CI45" s="137"/>
      <c r="CJ45" s="401"/>
      <c r="CK45" s="137"/>
      <c r="CL45" s="401"/>
      <c r="CM45" s="137"/>
      <c r="CN45" s="401"/>
      <c r="CO45" s="137"/>
      <c r="CP45" s="401"/>
      <c r="CQ45" s="137"/>
      <c r="CR45" s="401"/>
      <c r="CS45" s="137"/>
      <c r="CT45" s="76"/>
      <c r="CU45" s="137"/>
      <c r="CV45" s="76"/>
      <c r="CW45" s="137"/>
      <c r="CX45" s="76"/>
      <c r="CY45" s="137"/>
      <c r="CZ45" s="76"/>
      <c r="DA45" s="137"/>
      <c r="DB45" s="76"/>
      <c r="DC45" s="137"/>
      <c r="DD45" s="76"/>
      <c r="DE45" s="137"/>
      <c r="DF45" s="76"/>
      <c r="DG45" s="137"/>
      <c r="DH45" s="76"/>
      <c r="DI45" s="137"/>
      <c r="DJ45" s="76"/>
      <c r="DK45" s="137"/>
      <c r="DL45" s="76"/>
      <c r="DM45" s="137"/>
      <c r="DN45" s="76"/>
      <c r="DO45" s="138"/>
      <c r="DP45" s="76"/>
      <c r="DQ45" s="138"/>
      <c r="DR45" s="76"/>
      <c r="DS45" s="138"/>
      <c r="DT45" s="76"/>
      <c r="DU45" s="138"/>
      <c r="DV45" s="76"/>
      <c r="DW45" s="138"/>
      <c r="DX45" s="76"/>
      <c r="DY45" s="138"/>
      <c r="DZ45" s="76"/>
      <c r="EA45" s="138"/>
      <c r="EB45" s="76"/>
      <c r="EC45" s="138"/>
      <c r="ED45" s="76"/>
      <c r="EE45" s="123"/>
      <c r="EF45" s="76"/>
      <c r="EG45" s="123"/>
      <c r="EH45" s="76"/>
      <c r="EI45" s="123"/>
      <c r="EJ45" s="76"/>
      <c r="EK45" s="123"/>
      <c r="EL45" s="76"/>
      <c r="EM45" s="123"/>
      <c r="EN45" s="76"/>
      <c r="EO45" s="123"/>
      <c r="EP45" s="76"/>
      <c r="EQ45" s="123"/>
      <c r="ER45" s="76"/>
      <c r="ES45" s="123"/>
      <c r="ET45" s="76"/>
      <c r="EU45" s="123"/>
      <c r="EV45" s="76"/>
      <c r="EW45" s="123"/>
      <c r="EX45" s="76"/>
      <c r="EY45" s="123"/>
      <c r="EZ45" s="76"/>
      <c r="FA45" s="123"/>
      <c r="FB45" s="76"/>
      <c r="FC45" s="123"/>
      <c r="FD45" s="76"/>
      <c r="FE45" s="123"/>
      <c r="FF45" s="76"/>
      <c r="FG45" s="123"/>
      <c r="FH45" s="76"/>
      <c r="FI45" s="123"/>
      <c r="FJ45" s="76"/>
      <c r="FK45" s="123"/>
      <c r="FL45" s="76"/>
      <c r="FM45" s="123"/>
      <c r="FN45" s="76"/>
      <c r="FO45" s="123"/>
      <c r="FP45" s="76"/>
      <c r="FQ45" s="123"/>
      <c r="FR45" s="76"/>
      <c r="FS45" s="123"/>
      <c r="FT45" s="76"/>
      <c r="FU45" s="123"/>
      <c r="FV45" s="76"/>
      <c r="FW45" s="123"/>
      <c r="FX45" s="76"/>
      <c r="FY45" s="123"/>
      <c r="FZ45" s="76"/>
      <c r="GA45" s="123"/>
      <c r="GB45" s="76"/>
      <c r="GC45" s="123"/>
      <c r="GD45" s="76"/>
      <c r="GE45" s="138"/>
      <c r="GF45" s="76"/>
      <c r="GG45" s="138"/>
      <c r="GH45" s="138"/>
      <c r="GI45" s="138"/>
      <c r="GJ45" s="138"/>
      <c r="GK45" s="138"/>
      <c r="GL45" s="138"/>
      <c r="GM45" s="138"/>
      <c r="GN45" s="138"/>
      <c r="GO45" s="138"/>
      <c r="GP45" s="138"/>
      <c r="GQ45" s="138"/>
      <c r="GR45" s="138"/>
      <c r="GS45" s="138"/>
      <c r="GT45" s="138"/>
      <c r="GU45" s="138"/>
      <c r="GV45" s="138"/>
      <c r="GW45" s="138"/>
      <c r="GX45" s="138"/>
      <c r="GY45" s="138"/>
      <c r="GZ45" s="138"/>
      <c r="HA45" s="138"/>
      <c r="HB45" s="138"/>
      <c r="HC45" s="138"/>
      <c r="HD45" s="138"/>
      <c r="HE45" s="138"/>
      <c r="HF45" s="139"/>
      <c r="HG45" s="76"/>
    </row>
    <row r="46" spans="1:215" ht="12.75" customHeight="1">
      <c r="A46" s="140" t="s">
        <v>243</v>
      </c>
      <c r="B46" s="76"/>
      <c r="C46" s="77"/>
      <c r="D46" s="401"/>
      <c r="E46" s="77"/>
      <c r="F46" s="401"/>
      <c r="G46" s="77"/>
      <c r="H46" s="401"/>
      <c r="I46" s="77"/>
      <c r="J46" s="401"/>
      <c r="K46" s="77"/>
      <c r="L46" s="401"/>
      <c r="M46" s="77"/>
      <c r="N46" s="401"/>
      <c r="O46" s="77"/>
      <c r="P46" s="401"/>
      <c r="Q46" s="77"/>
      <c r="R46" s="401"/>
      <c r="S46" s="77"/>
      <c r="T46" s="401"/>
      <c r="U46" s="77"/>
      <c r="V46" s="401"/>
      <c r="W46" s="1156"/>
      <c r="X46" s="401"/>
      <c r="Y46" s="77"/>
      <c r="Z46" s="401"/>
      <c r="AA46" s="77"/>
      <c r="AB46" s="401"/>
      <c r="AC46" s="77"/>
      <c r="AD46" s="401"/>
      <c r="AE46" s="77"/>
      <c r="AF46" s="401"/>
      <c r="AG46" s="77"/>
      <c r="AH46" s="401"/>
      <c r="AI46" s="77"/>
      <c r="AJ46" s="401"/>
      <c r="AK46" s="77"/>
      <c r="AL46" s="401"/>
      <c r="AM46" s="77"/>
      <c r="AN46" s="401"/>
      <c r="AO46" s="77"/>
      <c r="AP46" s="401"/>
      <c r="AQ46" s="77"/>
      <c r="AR46" s="401"/>
      <c r="AS46" s="77"/>
      <c r="AT46" s="401"/>
      <c r="AU46" s="1125"/>
      <c r="AV46" s="401"/>
      <c r="AW46" s="77"/>
      <c r="AX46" s="401"/>
      <c r="AY46" s="77"/>
      <c r="AZ46" s="401"/>
      <c r="BA46" s="77"/>
      <c r="BB46" s="401"/>
      <c r="BC46" s="77"/>
      <c r="BD46" s="401"/>
      <c r="BE46" s="77"/>
      <c r="BF46" s="401"/>
      <c r="BG46" s="77"/>
      <c r="BH46" s="401"/>
      <c r="BI46" s="77"/>
      <c r="BJ46" s="401"/>
      <c r="BK46" s="77"/>
      <c r="BL46" s="401"/>
      <c r="BM46" s="77"/>
      <c r="BN46" s="401"/>
      <c r="BO46" s="77"/>
      <c r="BP46" s="401"/>
      <c r="BQ46" s="77"/>
      <c r="BR46" s="401"/>
      <c r="BS46" s="1096"/>
      <c r="BT46" s="401"/>
      <c r="BU46" s="77"/>
      <c r="BV46" s="401"/>
      <c r="BW46" s="77"/>
      <c r="BX46" s="401"/>
      <c r="BY46" s="77"/>
      <c r="BZ46" s="401"/>
      <c r="CA46" s="77"/>
      <c r="CB46" s="401"/>
      <c r="CC46" s="77"/>
      <c r="CD46" s="401"/>
      <c r="CE46" s="77"/>
      <c r="CF46" s="401"/>
      <c r="CG46" s="77"/>
      <c r="CH46" s="401"/>
      <c r="CI46" s="77"/>
      <c r="CJ46" s="401"/>
      <c r="CK46" s="77"/>
      <c r="CL46" s="401"/>
      <c r="CM46" s="77"/>
      <c r="CN46" s="401"/>
      <c r="CO46" s="77"/>
      <c r="CP46" s="401"/>
      <c r="CQ46" s="77"/>
      <c r="CR46" s="401"/>
      <c r="CS46" s="77"/>
      <c r="CT46" s="76"/>
      <c r="CU46" s="77"/>
      <c r="CV46" s="76"/>
      <c r="CW46" s="77"/>
      <c r="CX46" s="76"/>
      <c r="CY46" s="77"/>
      <c r="CZ46" s="76"/>
      <c r="DA46" s="77"/>
      <c r="DB46" s="76"/>
      <c r="DC46" s="77"/>
      <c r="DD46" s="76"/>
      <c r="DE46" s="77"/>
      <c r="DF46" s="76"/>
      <c r="DG46" s="77"/>
      <c r="DH46" s="76"/>
      <c r="DI46" s="77"/>
      <c r="DJ46" s="76"/>
      <c r="DK46" s="77"/>
      <c r="DL46" s="76"/>
      <c r="DM46" s="77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  <c r="EI46" s="76"/>
      <c r="EJ46" s="76"/>
      <c r="EK46" s="76"/>
      <c r="EL46" s="76"/>
      <c r="EM46" s="76"/>
      <c r="EN46" s="76"/>
      <c r="EO46" s="76"/>
      <c r="EP46" s="76"/>
      <c r="EQ46" s="76"/>
      <c r="ER46" s="76"/>
      <c r="ES46" s="76"/>
      <c r="ET46" s="76"/>
      <c r="EU46" s="76"/>
      <c r="EV46" s="76"/>
      <c r="EW46" s="76"/>
      <c r="EX46" s="76"/>
      <c r="EY46" s="76"/>
      <c r="EZ46" s="76"/>
      <c r="FA46" s="76"/>
      <c r="FB46" s="76"/>
      <c r="FC46" s="76"/>
      <c r="FD46" s="76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  <c r="FU46" s="76"/>
      <c r="FV46" s="76"/>
      <c r="FW46" s="76"/>
      <c r="FX46" s="76"/>
      <c r="FY46" s="76"/>
      <c r="FZ46" s="76"/>
      <c r="GA46" s="76"/>
      <c r="GB46" s="76"/>
      <c r="GC46" s="76"/>
      <c r="GD46" s="76"/>
      <c r="GE46" s="76"/>
      <c r="GF46" s="76"/>
      <c r="GG46" s="76"/>
      <c r="GH46" s="76"/>
      <c r="GI46" s="76"/>
      <c r="GJ46" s="76"/>
      <c r="GK46" s="76"/>
      <c r="GL46" s="76"/>
      <c r="GM46" s="76"/>
      <c r="GN46" s="76"/>
      <c r="GO46" s="76"/>
      <c r="GP46" s="76"/>
      <c r="GQ46" s="76"/>
      <c r="GR46" s="76"/>
      <c r="GS46" s="76"/>
      <c r="GT46" s="76"/>
      <c r="GU46" s="76"/>
      <c r="GV46" s="76"/>
      <c r="GW46" s="76"/>
      <c r="GX46" s="76"/>
      <c r="GY46" s="76"/>
      <c r="GZ46" s="76"/>
      <c r="HA46" s="76"/>
      <c r="HB46" s="76"/>
      <c r="HC46" s="76"/>
      <c r="HD46" s="76"/>
      <c r="HE46" s="76"/>
      <c r="HF46" s="76"/>
      <c r="HG46" s="76"/>
    </row>
    <row r="47" spans="1:215" ht="12.75" customHeight="1">
      <c r="A47" s="76" t="s">
        <v>244</v>
      </c>
      <c r="B47" s="76"/>
      <c r="C47" s="141">
        <f>C14-E14+'P&amp;L -Dec25'!DC158+'P&amp;L -Dec25'!DC103</f>
        <v>151829.28999999998</v>
      </c>
      <c r="D47" s="401"/>
      <c r="E47" s="141">
        <f>E14-G14+'P&amp;L -Dec25'!DE158+'P&amp;L -Dec25'!DE103</f>
        <v>166777.79000000164</v>
      </c>
      <c r="F47" s="401"/>
      <c r="G47" s="141">
        <f>G14-I14+'P&amp;L -Dec25'!DG158+'P&amp;L -Dec25'!DG103</f>
        <v>639024.87999999675</v>
      </c>
      <c r="H47" s="401"/>
      <c r="I47" s="141">
        <v>386005.5900000023</v>
      </c>
      <c r="J47" s="401"/>
      <c r="K47" s="141">
        <v>690245.69</v>
      </c>
      <c r="L47" s="401"/>
      <c r="M47" s="141">
        <v>459615.73999999993</v>
      </c>
      <c r="N47" s="401"/>
      <c r="O47" s="141">
        <v>560831.11999999825</v>
      </c>
      <c r="P47" s="401"/>
      <c r="Q47" s="141">
        <v>536935.17000000039</v>
      </c>
      <c r="R47" s="401"/>
      <c r="S47" s="141">
        <v>4114930.3100000015</v>
      </c>
      <c r="T47" s="401"/>
      <c r="U47" s="141">
        <v>419797.34999999928</v>
      </c>
      <c r="V47" s="401"/>
      <c r="W47" s="1157">
        <v>427691.06999999902</v>
      </c>
      <c r="X47" s="401"/>
      <c r="Y47" s="141">
        <v>463719.09000000119</v>
      </c>
      <c r="Z47" s="401"/>
      <c r="AA47" s="141">
        <v>866203.88000000152</v>
      </c>
      <c r="AB47" s="401"/>
      <c r="AC47" s="141">
        <v>530050.40999999875</v>
      </c>
      <c r="AD47" s="401"/>
      <c r="AE47" s="141">
        <v>834805.16000000015</v>
      </c>
      <c r="AF47" s="401"/>
      <c r="AG47" s="141">
        <v>507818.63999999885</v>
      </c>
      <c r="AH47" s="401"/>
      <c r="AI47" s="141">
        <v>307316.62999999936</v>
      </c>
      <c r="AJ47" s="401"/>
      <c r="AK47" s="141">
        <v>604837.11000000068</v>
      </c>
      <c r="AL47" s="401"/>
      <c r="AM47" s="141">
        <v>825696.27999999956</v>
      </c>
      <c r="AN47" s="401"/>
      <c r="AO47" s="141">
        <v>601635.28000000073</v>
      </c>
      <c r="AP47" s="401"/>
      <c r="AQ47" s="141">
        <v>526675.9799999987</v>
      </c>
      <c r="AR47" s="401"/>
      <c r="AS47" s="141">
        <v>502173.92000000016</v>
      </c>
      <c r="AT47" s="401"/>
      <c r="AU47" s="1126">
        <v>487795.95000000123</v>
      </c>
      <c r="AV47" s="401"/>
      <c r="AW47" s="141">
        <v>297246.5299999991</v>
      </c>
      <c r="AX47" s="401"/>
      <c r="AY47" s="892">
        <v>281101.76</v>
      </c>
      <c r="AZ47" s="401"/>
      <c r="BA47" s="141">
        <v>502328.18000000005</v>
      </c>
      <c r="BB47" s="401"/>
      <c r="BC47" s="141">
        <v>278426.76000000036</v>
      </c>
      <c r="BD47" s="401"/>
      <c r="BE47" s="141">
        <v>597562.71999999962</v>
      </c>
      <c r="BF47" s="401"/>
      <c r="BG47" s="141">
        <v>500013.44999999955</v>
      </c>
      <c r="BH47" s="401"/>
      <c r="BI47" s="141">
        <v>1081289.4800000007</v>
      </c>
      <c r="BJ47" s="401"/>
      <c r="BK47" s="141">
        <v>643164.05999999959</v>
      </c>
      <c r="BL47" s="401"/>
      <c r="BM47" s="141">
        <v>168808.76000000039</v>
      </c>
      <c r="BN47" s="401"/>
      <c r="BO47" s="141">
        <v>220639.67999999982</v>
      </c>
      <c r="BP47" s="401"/>
      <c r="BQ47" s="141">
        <f>(BQ14-BS14)+'P&amp;L -Dec25'!CE158+'P&amp;L -Dec25'!CE165</f>
        <v>-1942891.0600000003</v>
      </c>
      <c r="BR47" s="401"/>
      <c r="BS47" s="1097">
        <v>87941.640000000392</v>
      </c>
      <c r="BT47" s="401"/>
      <c r="BU47" s="141">
        <v>103104.20999999979</v>
      </c>
      <c r="BV47" s="401"/>
      <c r="BW47" s="141">
        <v>45674.140000000225</v>
      </c>
      <c r="BX47" s="401"/>
      <c r="BY47" s="141">
        <v>164072.07999999981</v>
      </c>
      <c r="BZ47" s="401"/>
      <c r="CA47" s="141">
        <v>380051.48999999987</v>
      </c>
      <c r="CB47" s="141"/>
      <c r="CC47" s="141">
        <v>181398.92</v>
      </c>
      <c r="CD47" s="401"/>
      <c r="CE47" s="431">
        <v>30799.000000000138</v>
      </c>
      <c r="CF47" s="401"/>
      <c r="CG47" s="431">
        <v>79222.419999999751</v>
      </c>
      <c r="CH47" s="401"/>
      <c r="CI47" s="431">
        <v>104171.28000000004</v>
      </c>
      <c r="CJ47" s="401"/>
      <c r="CK47" s="431">
        <v>36948.900000000649</v>
      </c>
      <c r="CL47" s="401"/>
      <c r="CM47" s="431">
        <v>88287.889999999548</v>
      </c>
      <c r="CN47" s="401"/>
      <c r="CO47" s="431">
        <f>(CO14-CQ14)+'P&amp;L -Dec25'!BV158</f>
        <v>94255.970000000452</v>
      </c>
      <c r="CP47" s="401"/>
      <c r="CQ47" s="431">
        <f>(CQ14-CS14)+'P&amp;L -Dec25'!BT158</f>
        <v>-41985.480000000825</v>
      </c>
      <c r="CR47" s="401"/>
      <c r="CS47" s="141">
        <f>+CS14-CU14+'P&amp;L -Dec25'!BS159</f>
        <v>782083.95000000007</v>
      </c>
      <c r="CT47" s="76"/>
      <c r="CU47" s="141">
        <f>+CU14-CW14+'P&amp;L -Dec25'!BR158</f>
        <v>413945.00000000023</v>
      </c>
      <c r="CV47" s="76"/>
      <c r="CW47" s="141">
        <f>+CW14-CY14+'P&amp;L -Dec25'!BQ158</f>
        <v>736546.23</v>
      </c>
      <c r="CX47" s="76"/>
      <c r="CY47" s="141">
        <f>+CY14-DA14+'P&amp;L -Dec25'!BP158</f>
        <v>48651.749999999854</v>
      </c>
      <c r="CZ47" s="76"/>
      <c r="DA47" s="141">
        <f>+DA14-DC14+'P&amp;L -Dec25'!BO158</f>
        <v>192908.58000000013</v>
      </c>
      <c r="DB47" s="76"/>
      <c r="DC47" s="141">
        <f>+DC14-DE14+'P&amp;L -Dec25'!BN158</f>
        <v>143817.6700000001</v>
      </c>
      <c r="DD47" s="76"/>
      <c r="DE47" s="141">
        <f>+DE14-DG14+'P&amp;L -Dec25'!BM158</f>
        <v>185620.12999999998</v>
      </c>
      <c r="DF47" s="76"/>
      <c r="DG47" s="141">
        <f>+DG14-DI14+'P&amp;L -Dec25'!BL158</f>
        <v>125353.59999999998</v>
      </c>
      <c r="DH47" s="76"/>
      <c r="DI47" s="141">
        <f>+DI14-DK14+'P&amp;L -Dec25'!BK158</f>
        <v>191538.14999999994</v>
      </c>
      <c r="DJ47" s="76"/>
      <c r="DK47" s="141">
        <f>+DK14-DM14+'P&amp;L -Dec25'!BJ158</f>
        <v>195.00999999998021</v>
      </c>
      <c r="DL47" s="76"/>
      <c r="DM47" s="141">
        <f>+DM14-DO14+'P&amp;L -Dec25'!BI158</f>
        <v>66994.999999999956</v>
      </c>
      <c r="DN47" s="76"/>
      <c r="DO47" s="141">
        <v>17918.000000000087</v>
      </c>
      <c r="DP47" s="76"/>
      <c r="DQ47" s="141">
        <v>22942.000000000073</v>
      </c>
      <c r="DR47" s="76"/>
      <c r="DS47" s="141">
        <v>-1.0186340659856796E-10</v>
      </c>
      <c r="DT47" s="76"/>
      <c r="DU47" s="141">
        <v>-19.999999999912689</v>
      </c>
      <c r="DV47" s="76"/>
      <c r="DW47" s="141">
        <v>32140.949999999808</v>
      </c>
      <c r="DX47" s="76"/>
      <c r="DY47" s="142">
        <v>-206.21999999981199</v>
      </c>
      <c r="DZ47" s="76"/>
      <c r="EA47" s="142">
        <v>7054.3999999998487</v>
      </c>
      <c r="EB47" s="76"/>
      <c r="EC47" s="142">
        <v>1844.9900000001217</v>
      </c>
      <c r="ED47" s="76"/>
      <c r="EE47" s="142">
        <v>0</v>
      </c>
      <c r="EF47" s="76"/>
      <c r="EG47" s="142">
        <v>0</v>
      </c>
      <c r="EH47" s="76"/>
      <c r="EI47" s="141">
        <v>7799.9999999998035</v>
      </c>
      <c r="EJ47" s="76"/>
      <c r="EK47" s="141">
        <v>3.5652192309498787E-10</v>
      </c>
      <c r="EL47" s="76"/>
      <c r="EM47" s="141">
        <v>68505.999999999942</v>
      </c>
      <c r="EN47" s="76"/>
      <c r="EO47" s="141">
        <v>122141.26999999989</v>
      </c>
      <c r="EP47" s="76"/>
      <c r="EQ47" s="141">
        <v>0</v>
      </c>
      <c r="ER47" s="76"/>
      <c r="ES47" s="141">
        <v>156998.76</v>
      </c>
      <c r="ET47" s="76"/>
      <c r="EU47" s="141">
        <v>113225.18</v>
      </c>
      <c r="EV47" s="76"/>
      <c r="EW47" s="141">
        <v>67552.84</v>
      </c>
      <c r="EX47" s="76"/>
      <c r="EY47" s="141">
        <v>269681.68</v>
      </c>
      <c r="EZ47" s="76"/>
      <c r="FA47" s="141">
        <v>265621.28000000003</v>
      </c>
      <c r="FB47" s="76"/>
      <c r="FC47" s="141">
        <v>82057</v>
      </c>
      <c r="FD47" s="76"/>
      <c r="FE47" s="141">
        <v>714777.17</v>
      </c>
      <c r="FF47" s="76"/>
      <c r="FG47" s="141">
        <v>26477</v>
      </c>
      <c r="FH47" s="76"/>
      <c r="FI47" s="141">
        <v>19243.05</v>
      </c>
      <c r="FJ47" s="76"/>
      <c r="FK47" s="141">
        <v>0</v>
      </c>
      <c r="FL47" s="76"/>
      <c r="FM47" s="141">
        <v>0</v>
      </c>
      <c r="FN47" s="76"/>
      <c r="FO47" s="141">
        <v>0</v>
      </c>
      <c r="FP47" s="76"/>
      <c r="FQ47" s="141">
        <v>0</v>
      </c>
      <c r="FR47" s="76"/>
      <c r="FS47" s="141">
        <v>24409.91</v>
      </c>
      <c r="FT47" s="76"/>
      <c r="FU47" s="141">
        <v>0</v>
      </c>
      <c r="FV47" s="76"/>
      <c r="FW47" s="141">
        <v>8999</v>
      </c>
      <c r="FX47" s="76"/>
      <c r="FY47" s="141">
        <v>3676</v>
      </c>
      <c r="FZ47" s="76"/>
      <c r="GA47" s="141">
        <v>0</v>
      </c>
      <c r="GB47" s="76"/>
      <c r="GC47" s="141">
        <v>7699</v>
      </c>
      <c r="GD47" s="76"/>
      <c r="GE47" s="110">
        <v>16397</v>
      </c>
      <c r="GF47" s="111"/>
      <c r="GG47" s="111">
        <v>26986</v>
      </c>
      <c r="GH47" s="76"/>
      <c r="GI47" s="143">
        <v>0</v>
      </c>
      <c r="GJ47" s="76"/>
      <c r="GK47" s="70">
        <v>2900</v>
      </c>
      <c r="GL47" s="76"/>
      <c r="GM47" s="70">
        <v>41269.620000000003</v>
      </c>
      <c r="GN47" s="76"/>
      <c r="GO47" s="76"/>
      <c r="GP47" s="76"/>
      <c r="GQ47" s="76"/>
      <c r="GR47" s="76"/>
      <c r="GS47" s="70">
        <v>31620</v>
      </c>
      <c r="GT47" s="76"/>
      <c r="GU47" s="70"/>
      <c r="GV47" s="70"/>
      <c r="GW47" s="70"/>
      <c r="GX47" s="70"/>
      <c r="GY47" s="70"/>
      <c r="GZ47" s="70"/>
      <c r="HA47" s="70">
        <v>10494</v>
      </c>
      <c r="HB47" s="70"/>
      <c r="HC47" s="70"/>
      <c r="HD47" s="70"/>
      <c r="HE47" s="70">
        <v>24997</v>
      </c>
      <c r="HF47" s="76"/>
      <c r="HG47" s="76"/>
    </row>
    <row r="48" spans="1:215" ht="12.75" customHeight="1">
      <c r="A48" s="76" t="s">
        <v>145</v>
      </c>
      <c r="B48" s="76"/>
      <c r="C48" s="144">
        <f>C15-E15+'P&amp;L -Dec25'!DR159+'P&amp;L -Dec25'!DR169</f>
        <v>6028436.2099999869</v>
      </c>
      <c r="D48" s="401"/>
      <c r="E48" s="144">
        <v>5911806.3300000001</v>
      </c>
      <c r="F48" s="401"/>
      <c r="G48" s="144">
        <v>6258035.2699999996</v>
      </c>
      <c r="H48" s="401"/>
      <c r="I48" s="144">
        <v>6364158.23000002</v>
      </c>
      <c r="J48" s="401"/>
      <c r="K48" s="144">
        <v>6592567.3799999822</v>
      </c>
      <c r="L48" s="401"/>
      <c r="M48" s="144">
        <v>7311767.8999999911</v>
      </c>
      <c r="N48" s="401"/>
      <c r="O48" s="144">
        <v>6910199.6400000025</v>
      </c>
      <c r="P48" s="401"/>
      <c r="Q48" s="144">
        <v>7161343.1900000004</v>
      </c>
      <c r="R48" s="401"/>
      <c r="S48" s="144">
        <v>7695207.7599999998</v>
      </c>
      <c r="T48" s="401"/>
      <c r="U48" s="144">
        <v>7980766.4800000004</v>
      </c>
      <c r="V48" s="401"/>
      <c r="W48" s="1158">
        <v>6444859.9100000132</v>
      </c>
      <c r="X48" s="401"/>
      <c r="Y48" s="144">
        <v>7326142.2399999974</v>
      </c>
      <c r="Z48" s="401"/>
      <c r="AA48" s="144">
        <v>6457976.8899999987</v>
      </c>
      <c r="AB48" s="401"/>
      <c r="AC48" s="144">
        <v>7780352.1399999876</v>
      </c>
      <c r="AD48" s="401"/>
      <c r="AE48" s="144">
        <v>11397348.660000023</v>
      </c>
      <c r="AF48" s="401"/>
      <c r="AG48" s="144">
        <v>11907062.929999996</v>
      </c>
      <c r="AH48" s="401"/>
      <c r="AI48" s="144">
        <v>7349432.1599999983</v>
      </c>
      <c r="AJ48" s="401"/>
      <c r="AK48" s="144">
        <v>7634613.7799999695</v>
      </c>
      <c r="AL48" s="401"/>
      <c r="AM48" s="144">
        <v>8013013.6600000216</v>
      </c>
      <c r="AN48" s="401"/>
      <c r="AO48" s="144">
        <v>9140181.4900000021</v>
      </c>
      <c r="AP48" s="401"/>
      <c r="AQ48" s="144">
        <v>7595657.6399999997</v>
      </c>
      <c r="AR48" s="401"/>
      <c r="AS48" s="144">
        <v>6490228.3800000064</v>
      </c>
      <c r="AT48" s="401"/>
      <c r="AU48" s="1127">
        <v>6361570.1899999911</v>
      </c>
      <c r="AV48" s="401"/>
      <c r="AW48" s="144">
        <v>6376558.7899999991</v>
      </c>
      <c r="AX48" s="401"/>
      <c r="AY48" s="144">
        <v>5452212.4100000076</v>
      </c>
      <c r="AZ48" s="401"/>
      <c r="BA48" s="144">
        <v>7006380.9199999915</v>
      </c>
      <c r="BB48" s="401"/>
      <c r="BC48" s="144">
        <v>6616844.6200000057</v>
      </c>
      <c r="BD48" s="401"/>
      <c r="BE48" s="144">
        <v>5996013.330000001</v>
      </c>
      <c r="BF48" s="401"/>
      <c r="BG48" s="144">
        <v>5202458.2300000042</v>
      </c>
      <c r="BH48" s="401"/>
      <c r="BI48" s="144">
        <v>4290197.1399999987</v>
      </c>
      <c r="BJ48" s="401"/>
      <c r="BK48" s="144">
        <v>4768960.2199999793</v>
      </c>
      <c r="BL48" s="401"/>
      <c r="BM48" s="144">
        <v>5048035.610000018</v>
      </c>
      <c r="BN48" s="401"/>
      <c r="BO48" s="144">
        <v>4475564.6499999901</v>
      </c>
      <c r="BP48" s="401"/>
      <c r="BQ48" s="144">
        <f>BQ15-BS15+'P&amp;L -Dec25'!CE159</f>
        <v>-69747695.239999995</v>
      </c>
      <c r="BR48" s="401"/>
      <c r="BS48" s="1098">
        <v>5683581.7599999998</v>
      </c>
      <c r="BT48" s="401"/>
      <c r="BU48" s="144">
        <v>5327976.5099999988</v>
      </c>
      <c r="BV48" s="401"/>
      <c r="BW48" s="144">
        <v>3878751.2499999995</v>
      </c>
      <c r="BX48" s="401"/>
      <c r="BY48" s="144">
        <v>4857700.7400000105</v>
      </c>
      <c r="BZ48" s="401"/>
      <c r="CA48" s="144">
        <v>4973455.5999999931</v>
      </c>
      <c r="CB48" s="401"/>
      <c r="CC48" s="144">
        <v>4994741.4100000029</v>
      </c>
      <c r="CD48" s="401"/>
      <c r="CE48" s="144">
        <v>4729171.4999999963</v>
      </c>
      <c r="CF48" s="401"/>
      <c r="CG48" s="144">
        <v>4429901.7500000009</v>
      </c>
      <c r="CH48" s="401"/>
      <c r="CI48" s="144">
        <v>3703153.04</v>
      </c>
      <c r="CJ48" s="401"/>
      <c r="CK48" s="144">
        <v>8213190.4600000009</v>
      </c>
      <c r="CL48" s="401"/>
      <c r="CM48" s="144">
        <v>3178077.3400000008</v>
      </c>
      <c r="CN48" s="401"/>
      <c r="CO48" s="144">
        <f>CO15-CQ15++'P&amp;L -Dec25'!BV159</f>
        <v>2690448.3699999969</v>
      </c>
      <c r="CP48" s="401"/>
      <c r="CQ48" s="144">
        <f>CQ15-CS15++'P&amp;L -Dec25'!BT159</f>
        <v>3129579.0300000077</v>
      </c>
      <c r="CR48" s="401"/>
      <c r="CS48" s="144">
        <f>CS15-CU15+'P&amp;L -Dec25'!BS159</f>
        <v>1189564.3299999977</v>
      </c>
      <c r="CT48" s="76"/>
      <c r="CU48" s="144">
        <f>+CU15-CW15+'P&amp;L -Dec25'!BR159</f>
        <v>3099884.6999999965</v>
      </c>
      <c r="CV48" s="76"/>
      <c r="CW48" s="144">
        <f>+CW15-CY15+'P&amp;L -Dec25'!BQ159</f>
        <v>2777561.120000001</v>
      </c>
      <c r="CX48" s="76"/>
      <c r="CY48" s="144">
        <f>+CY15-DA15+'P&amp;L -Dec25'!BP159</f>
        <v>2193239.2499999986</v>
      </c>
      <c r="CZ48" s="76"/>
      <c r="DA48" s="144">
        <f>+DA15-DC15+'P&amp;L -Dec25'!BO159</f>
        <v>2884131.3499999996</v>
      </c>
      <c r="DB48" s="76"/>
      <c r="DC48" s="144">
        <f>+DC15-DE15+'P&amp;L -Dec25'!BN159</f>
        <v>1538418.140000002</v>
      </c>
      <c r="DD48" s="76"/>
      <c r="DE48" s="144">
        <f>+DE15-DG15+'P&amp;L -Dec25'!BM159</f>
        <v>1806297.8799999969</v>
      </c>
      <c r="DF48" s="76"/>
      <c r="DG48" s="144">
        <f>+DG15-DI15+'P&amp;L -Dec25'!BL159</f>
        <v>1232933.2700000009</v>
      </c>
      <c r="DH48" s="76"/>
      <c r="DI48" s="144">
        <f>+DI15-DK15+'P&amp;L -Dec25'!BK159</f>
        <v>1252923.3400000026</v>
      </c>
      <c r="DJ48" s="76"/>
      <c r="DK48" s="144">
        <f>+DK15-DM15+'P&amp;L -Dec25'!BJ159</f>
        <v>1362964.4899999981</v>
      </c>
      <c r="DL48" s="76"/>
      <c r="DM48" s="144">
        <f>+DM15-DO15+'P&amp;L -Dec25'!BI159</f>
        <v>1230766.8100000019</v>
      </c>
      <c r="DN48" s="76"/>
      <c r="DO48" s="144">
        <v>1543019.3299999973</v>
      </c>
      <c r="DP48" s="76"/>
      <c r="DQ48" s="144">
        <v>3341627.7500000014</v>
      </c>
      <c r="DR48" s="76"/>
      <c r="DS48" s="144">
        <v>958599.76999999955</v>
      </c>
      <c r="DT48" s="76"/>
      <c r="DU48" s="144">
        <v>912674.96999999951</v>
      </c>
      <c r="DV48" s="76"/>
      <c r="DW48" s="144">
        <v>787017.43000000017</v>
      </c>
      <c r="DX48" s="76"/>
      <c r="DY48" s="145">
        <v>869995.23000000115</v>
      </c>
      <c r="DZ48" s="76"/>
      <c r="EA48" s="145">
        <v>880346.64999999979</v>
      </c>
      <c r="EB48" s="76"/>
      <c r="EC48" s="145">
        <v>742220.86999999988</v>
      </c>
      <c r="ED48" s="76"/>
      <c r="EE48" s="145">
        <v>937081.09999999986</v>
      </c>
      <c r="EF48" s="76"/>
      <c r="EG48" s="145">
        <v>823969.68999999983</v>
      </c>
      <c r="EH48" s="76"/>
      <c r="EI48" s="145">
        <v>778249.99999999907</v>
      </c>
      <c r="EJ48" s="76"/>
      <c r="EK48" s="145">
        <v>794734.07000000088</v>
      </c>
      <c r="EL48" s="76"/>
      <c r="EM48" s="144">
        <v>496657.63480318908</v>
      </c>
      <c r="EN48" s="76"/>
      <c r="EO48" s="144">
        <v>474971.80999999982</v>
      </c>
      <c r="EP48" s="76"/>
      <c r="EQ48" s="144">
        <v>467075.45999999903</v>
      </c>
      <c r="ER48" s="76"/>
      <c r="ES48" s="144">
        <v>422681.33999999985</v>
      </c>
      <c r="ET48" s="76"/>
      <c r="EU48" s="144">
        <v>415325.01</v>
      </c>
      <c r="EV48" s="76"/>
      <c r="EW48" s="144">
        <v>403699.32</v>
      </c>
      <c r="EX48" s="76"/>
      <c r="EY48" s="144">
        <v>447382</v>
      </c>
      <c r="EZ48" s="76"/>
      <c r="FA48" s="144">
        <v>408065.8</v>
      </c>
      <c r="FB48" s="76"/>
      <c r="FC48" s="144">
        <v>288321.56</v>
      </c>
      <c r="FD48" s="76"/>
      <c r="FE48" s="144">
        <v>241451.32</v>
      </c>
      <c r="FF48" s="76"/>
      <c r="FG48" s="144">
        <v>239886.46</v>
      </c>
      <c r="FH48" s="76"/>
      <c r="FI48" s="144">
        <v>245120.86</v>
      </c>
      <c r="FJ48" s="76"/>
      <c r="FK48" s="144">
        <v>202393.98</v>
      </c>
      <c r="FL48" s="76"/>
      <c r="FM48" s="144">
        <v>199824.97</v>
      </c>
      <c r="FN48" s="76"/>
      <c r="FO48" s="144">
        <v>274102.61</v>
      </c>
      <c r="FP48" s="76"/>
      <c r="FQ48" s="144">
        <v>229069.96</v>
      </c>
      <c r="FR48" s="76"/>
      <c r="FS48" s="144">
        <v>274602.45</v>
      </c>
      <c r="FT48" s="76"/>
      <c r="FU48" s="144">
        <v>217123.58</v>
      </c>
      <c r="FV48" s="76"/>
      <c r="FW48" s="144">
        <v>256328.25</v>
      </c>
      <c r="FX48" s="76"/>
      <c r="FY48" s="144">
        <v>278361.49</v>
      </c>
      <c r="FZ48" s="76"/>
      <c r="GA48" s="144">
        <v>252744</v>
      </c>
      <c r="GB48" s="76"/>
      <c r="GC48" s="144">
        <v>295971.84000000003</v>
      </c>
      <c r="GD48" s="76"/>
      <c r="GE48" s="146">
        <v>185043</v>
      </c>
      <c r="GF48" s="111"/>
      <c r="GG48" s="145">
        <v>192558</v>
      </c>
      <c r="GH48" s="76"/>
      <c r="GI48" s="70">
        <v>181495</v>
      </c>
      <c r="GJ48" s="76"/>
      <c r="GK48" s="70">
        <v>223236</v>
      </c>
      <c r="GL48" s="76"/>
      <c r="GM48" s="70">
        <v>217742.6</v>
      </c>
      <c r="GN48" s="76"/>
      <c r="GO48" s="70">
        <v>201521.62</v>
      </c>
      <c r="GP48" s="76"/>
      <c r="GQ48" s="70">
        <v>242775.75</v>
      </c>
      <c r="GR48" s="76"/>
      <c r="GS48" s="70">
        <v>206829.95</v>
      </c>
      <c r="GT48" s="76"/>
      <c r="GU48" s="70">
        <v>166551.16999999998</v>
      </c>
      <c r="GV48" s="70"/>
      <c r="GW48" s="70">
        <v>127476.66</v>
      </c>
      <c r="GX48" s="70"/>
      <c r="GY48" s="70">
        <v>149189.58000000002</v>
      </c>
      <c r="GZ48" s="70"/>
      <c r="HA48" s="70">
        <v>129285.36</v>
      </c>
      <c r="HB48" s="70"/>
      <c r="HC48" s="70">
        <v>141771.95000000001</v>
      </c>
      <c r="HD48" s="70"/>
      <c r="HE48" s="70">
        <v>117208.91</v>
      </c>
      <c r="HF48" s="76"/>
      <c r="HG48" s="76"/>
    </row>
    <row r="49" spans="1:213" ht="12.75" customHeight="1">
      <c r="A49" s="72" t="s">
        <v>245</v>
      </c>
      <c r="B49" s="72"/>
      <c r="C49" s="147">
        <f>SUM(C47:C48)</f>
        <v>6180265.499999987</v>
      </c>
      <c r="D49" s="403"/>
      <c r="E49" s="147">
        <f>SUM(E47:E48)</f>
        <v>6078584.120000002</v>
      </c>
      <c r="F49" s="403"/>
      <c r="G49" s="147">
        <f>SUM(G47:G48)</f>
        <v>6897060.1499999966</v>
      </c>
      <c r="H49" s="403"/>
      <c r="I49" s="147">
        <v>6750163.8200000226</v>
      </c>
      <c r="J49" s="403"/>
      <c r="K49" s="147">
        <v>7282813.0699999817</v>
      </c>
      <c r="L49" s="403"/>
      <c r="M49" s="147">
        <v>7771383.6399999913</v>
      </c>
      <c r="N49" s="403"/>
      <c r="O49" s="147">
        <v>7471030.7600000007</v>
      </c>
      <c r="P49" s="403"/>
      <c r="Q49" s="147">
        <v>6611860.4900000095</v>
      </c>
      <c r="R49" s="403"/>
      <c r="S49" s="147">
        <v>10723719.939999975</v>
      </c>
      <c r="T49" s="403"/>
      <c r="U49" s="147">
        <v>7314145.4600000149</v>
      </c>
      <c r="V49" s="403"/>
      <c r="W49" s="1159">
        <v>6872550.9800000126</v>
      </c>
      <c r="X49" s="403"/>
      <c r="Y49" s="147">
        <v>7789861.3299999982</v>
      </c>
      <c r="Z49" s="403"/>
      <c r="AA49" s="147">
        <v>7324180.7700000005</v>
      </c>
      <c r="AB49" s="403"/>
      <c r="AC49" s="147">
        <v>8310402.5499999858</v>
      </c>
      <c r="AD49" s="403"/>
      <c r="AE49" s="147">
        <v>12232153.820000023</v>
      </c>
      <c r="AF49" s="403"/>
      <c r="AG49" s="147">
        <v>12414881.569999995</v>
      </c>
      <c r="AH49" s="403"/>
      <c r="AI49" s="147">
        <v>7656748.7899999972</v>
      </c>
      <c r="AJ49" s="403"/>
      <c r="AK49" s="147">
        <v>8239450.8899999699</v>
      </c>
      <c r="AL49" s="403"/>
      <c r="AM49" s="147">
        <v>8838709.9400000218</v>
      </c>
      <c r="AN49" s="403"/>
      <c r="AO49" s="147">
        <v>9741816.7700000033</v>
      </c>
      <c r="AP49" s="403"/>
      <c r="AQ49" s="147">
        <v>8122333.6199999982</v>
      </c>
      <c r="AR49" s="403"/>
      <c r="AS49" s="147">
        <v>6992402.3000000063</v>
      </c>
      <c r="AT49" s="403"/>
      <c r="AU49" s="1128">
        <v>6849366.1399999922</v>
      </c>
      <c r="AV49" s="403"/>
      <c r="AW49" s="147">
        <v>6673805.3199999984</v>
      </c>
      <c r="AX49" s="403"/>
      <c r="AY49" s="147">
        <v>5733314.1700000074</v>
      </c>
      <c r="AZ49" s="403"/>
      <c r="BA49" s="147">
        <v>7508709.0999999912</v>
      </c>
      <c r="BB49" s="403"/>
      <c r="BC49" s="147">
        <v>6895271.3800000064</v>
      </c>
      <c r="BD49" s="403"/>
      <c r="BE49" s="147">
        <v>6593576.0500000007</v>
      </c>
      <c r="BF49" s="403"/>
      <c r="BG49" s="147">
        <v>5702471.6800000034</v>
      </c>
      <c r="BH49" s="403"/>
      <c r="BI49" s="147">
        <v>5371486.6199999992</v>
      </c>
      <c r="BJ49" s="403"/>
      <c r="BK49" s="147">
        <v>5412124.2799999788</v>
      </c>
      <c r="BL49" s="403"/>
      <c r="BM49" s="147">
        <v>5216844.3700000187</v>
      </c>
      <c r="BN49" s="403"/>
      <c r="BO49" s="147">
        <v>4696204.3299999898</v>
      </c>
      <c r="BP49" s="403"/>
      <c r="BQ49" s="147">
        <f>SUM(BQ47:BQ48)</f>
        <v>-71690586.299999997</v>
      </c>
      <c r="BR49" s="403"/>
      <c r="BS49" s="1099">
        <v>5771523.4000000004</v>
      </c>
      <c r="BT49" s="403"/>
      <c r="BU49" s="147">
        <v>5431080.7199999988</v>
      </c>
      <c r="BV49" s="403"/>
      <c r="BW49" s="147">
        <v>3924425.3899999997</v>
      </c>
      <c r="BX49" s="403"/>
      <c r="BY49" s="147">
        <v>5021772.8200000105</v>
      </c>
      <c r="BZ49" s="403"/>
      <c r="CA49" s="147">
        <v>5353507.0899999933</v>
      </c>
      <c r="CB49" s="403"/>
      <c r="CC49" s="147">
        <v>5176140.3300000029</v>
      </c>
      <c r="CD49" s="403"/>
      <c r="CE49" s="147">
        <v>4759970.4999999963</v>
      </c>
      <c r="CF49" s="403"/>
      <c r="CG49" s="147">
        <v>4509124.1700000009</v>
      </c>
      <c r="CH49" s="403"/>
      <c r="CI49" s="147">
        <v>3807324.3200000003</v>
      </c>
      <c r="CJ49" s="403"/>
      <c r="CK49" s="147">
        <v>8250139.3600000013</v>
      </c>
      <c r="CL49" s="403"/>
      <c r="CM49" s="147">
        <v>3266365.2300000004</v>
      </c>
      <c r="CN49" s="403"/>
      <c r="CO49" s="147">
        <f>SUM(CO47:CO48)</f>
        <v>2784704.3399999975</v>
      </c>
      <c r="CP49" s="403"/>
      <c r="CQ49" s="147">
        <f>SUM(CQ47:CQ48)</f>
        <v>3087593.5500000068</v>
      </c>
      <c r="CR49" s="403"/>
      <c r="CS49" s="147">
        <f>SUM(CS47:CS48)</f>
        <v>1971648.2799999979</v>
      </c>
      <c r="CT49" s="72"/>
      <c r="CU49" s="147">
        <f>SUM(CU47:CU48)</f>
        <v>3513829.6999999965</v>
      </c>
      <c r="CV49" s="72"/>
      <c r="CW49" s="147">
        <f>SUM(CW47:CW48)</f>
        <v>3514107.350000001</v>
      </c>
      <c r="CX49" s="72"/>
      <c r="CY49" s="147">
        <f>SUM(CY47:CY48)</f>
        <v>2241890.9999999986</v>
      </c>
      <c r="CZ49" s="72"/>
      <c r="DA49" s="147">
        <f>SUM(DA47:DA48)</f>
        <v>3077039.9299999997</v>
      </c>
      <c r="DB49" s="72"/>
      <c r="DC49" s="147">
        <f>SUM(DC47:DC48)</f>
        <v>1682235.8100000022</v>
      </c>
      <c r="DD49" s="72"/>
      <c r="DE49" s="147">
        <f>SUM(DE47:DE48)</f>
        <v>1991918.0099999967</v>
      </c>
      <c r="DF49" s="72"/>
      <c r="DG49" s="147">
        <f>SUM(DG47:DG48)</f>
        <v>1358286.870000001</v>
      </c>
      <c r="DH49" s="72"/>
      <c r="DI49" s="147">
        <f>SUM(DI47:DI48)</f>
        <v>1444461.4900000026</v>
      </c>
      <c r="DJ49" s="72"/>
      <c r="DK49" s="147">
        <f>SUM(DK47:DK48)</f>
        <v>1363159.4999999981</v>
      </c>
      <c r="DL49" s="72"/>
      <c r="DM49" s="147">
        <f>SUM(DM47:DM48)</f>
        <v>1297761.8100000019</v>
      </c>
      <c r="DN49" s="72"/>
      <c r="DO49" s="148">
        <v>1560937.3299999973</v>
      </c>
      <c r="DP49" s="72"/>
      <c r="DQ49" s="148">
        <v>3364569.7500000014</v>
      </c>
      <c r="DR49" s="72"/>
      <c r="DS49" s="148">
        <v>958599.76999999944</v>
      </c>
      <c r="DT49" s="72"/>
      <c r="DU49" s="148">
        <v>912654.96999999962</v>
      </c>
      <c r="DV49" s="72"/>
      <c r="DW49" s="148">
        <v>819158.38</v>
      </c>
      <c r="DX49" s="72"/>
      <c r="DY49" s="148">
        <v>869789.01000000129</v>
      </c>
      <c r="DZ49" s="72"/>
      <c r="EA49" s="148">
        <v>887401.04999999958</v>
      </c>
      <c r="EB49" s="72"/>
      <c r="EC49" s="148">
        <v>744065.86</v>
      </c>
      <c r="ED49" s="72"/>
      <c r="EE49" s="148">
        <v>937081.09999999986</v>
      </c>
      <c r="EF49" s="72"/>
      <c r="EG49" s="148">
        <v>823969.68999999983</v>
      </c>
      <c r="EH49" s="72"/>
      <c r="EI49" s="147">
        <v>786049.99999999884</v>
      </c>
      <c r="EJ49" s="72"/>
      <c r="EK49" s="147">
        <v>794734.07000000123</v>
      </c>
      <c r="EL49" s="72"/>
      <c r="EM49" s="147">
        <v>565163.63480318896</v>
      </c>
      <c r="EN49" s="72"/>
      <c r="EO49" s="147">
        <v>597113.07999999973</v>
      </c>
      <c r="EP49" s="72"/>
      <c r="EQ49" s="147">
        <v>467075.45999999903</v>
      </c>
      <c r="ER49" s="72"/>
      <c r="ES49" s="147">
        <v>579680.09999999986</v>
      </c>
      <c r="ET49" s="72"/>
      <c r="EU49" s="147">
        <v>528550.18999999994</v>
      </c>
      <c r="EV49" s="72"/>
      <c r="EW49" s="147">
        <v>471252.16000000003</v>
      </c>
      <c r="EX49" s="72"/>
      <c r="EY49" s="147">
        <v>717063.67999999993</v>
      </c>
      <c r="EZ49" s="72"/>
      <c r="FA49" s="147">
        <v>673687.08000000007</v>
      </c>
      <c r="FB49" s="72"/>
      <c r="FC49" s="147">
        <v>370378.56</v>
      </c>
      <c r="FD49" s="72"/>
      <c r="FE49" s="147">
        <v>956228.49</v>
      </c>
      <c r="FF49" s="72"/>
      <c r="FG49" s="147">
        <v>266363.45999999996</v>
      </c>
      <c r="FH49" s="72"/>
      <c r="FI49" s="147">
        <v>264363.90999999997</v>
      </c>
      <c r="FJ49" s="72"/>
      <c r="FK49" s="147">
        <v>202393.98</v>
      </c>
      <c r="FL49" s="72"/>
      <c r="FM49" s="147">
        <v>199824.97</v>
      </c>
      <c r="FN49" s="72"/>
      <c r="FO49" s="147">
        <v>274102.61</v>
      </c>
      <c r="FP49" s="72"/>
      <c r="FQ49" s="147">
        <v>229069.96</v>
      </c>
      <c r="FR49" s="72"/>
      <c r="FS49" s="147">
        <v>299012.36</v>
      </c>
      <c r="FT49" s="72"/>
      <c r="FU49" s="147">
        <v>217123.58</v>
      </c>
      <c r="FV49" s="72"/>
      <c r="FW49" s="147">
        <v>265327.25</v>
      </c>
      <c r="FX49" s="72"/>
      <c r="FY49" s="147">
        <v>282037.49</v>
      </c>
      <c r="FZ49" s="72"/>
      <c r="GA49" s="147">
        <v>252744</v>
      </c>
      <c r="GB49" s="72"/>
      <c r="GC49" s="147">
        <v>303670.84000000003</v>
      </c>
      <c r="GD49" s="72"/>
      <c r="GE49" s="147">
        <v>201440</v>
      </c>
      <c r="GF49" s="148"/>
      <c r="GG49" s="148">
        <v>219544</v>
      </c>
      <c r="GH49" s="72"/>
      <c r="GI49" s="149">
        <v>181495</v>
      </c>
      <c r="GJ49" s="72"/>
      <c r="GK49" s="149">
        <v>226136</v>
      </c>
      <c r="GL49" s="72"/>
      <c r="GM49" s="149">
        <v>259012.22</v>
      </c>
      <c r="GN49" s="72"/>
      <c r="GO49" s="149">
        <v>201521.62</v>
      </c>
      <c r="GP49" s="72"/>
      <c r="GQ49" s="149">
        <v>242775.75</v>
      </c>
      <c r="GR49" s="72"/>
      <c r="GS49" s="149">
        <v>238449.95</v>
      </c>
      <c r="GT49" s="72"/>
      <c r="GU49" s="149">
        <v>166551.16999999998</v>
      </c>
      <c r="GV49" s="73"/>
      <c r="GW49" s="149">
        <v>127476.66</v>
      </c>
      <c r="GX49" s="73"/>
      <c r="GY49" s="149">
        <v>149189.58000000002</v>
      </c>
      <c r="GZ49" s="73"/>
      <c r="HA49" s="149">
        <v>139779.35999999999</v>
      </c>
      <c r="HB49" s="73"/>
      <c r="HC49" s="149">
        <v>141771.95000000001</v>
      </c>
      <c r="HD49" s="73"/>
      <c r="HE49" s="149">
        <v>142205.91</v>
      </c>
    </row>
    <row r="50" spans="1:213" ht="12.75" customHeight="1">
      <c r="A50" s="76"/>
      <c r="B50" s="76"/>
      <c r="C50" s="110"/>
      <c r="D50" s="401"/>
      <c r="E50" s="110"/>
      <c r="F50" s="401"/>
      <c r="G50" s="110"/>
      <c r="H50" s="401"/>
      <c r="I50" s="110"/>
      <c r="J50" s="401"/>
      <c r="K50" s="110"/>
      <c r="L50" s="401"/>
      <c r="M50" s="110"/>
      <c r="N50" s="401"/>
      <c r="O50" s="110"/>
      <c r="P50" s="401"/>
      <c r="Q50" s="110"/>
      <c r="R50" s="401"/>
      <c r="S50" s="110"/>
      <c r="T50" s="401"/>
      <c r="U50" s="110"/>
      <c r="V50" s="401"/>
      <c r="W50" s="1142"/>
      <c r="X50" s="401"/>
      <c r="Y50" s="110"/>
      <c r="Z50" s="401"/>
      <c r="AA50" s="110"/>
      <c r="AB50" s="401"/>
      <c r="AC50" s="110"/>
      <c r="AD50" s="401"/>
      <c r="AE50" s="110"/>
      <c r="AF50" s="401"/>
      <c r="AG50" s="110"/>
      <c r="AH50" s="401"/>
      <c r="AI50" s="110"/>
      <c r="AJ50" s="401"/>
      <c r="AK50" s="110"/>
      <c r="AL50" s="401"/>
      <c r="AM50" s="110"/>
      <c r="AN50" s="401"/>
      <c r="AO50" s="110"/>
      <c r="AP50" s="401"/>
      <c r="AQ50" s="110"/>
      <c r="AR50" s="401"/>
      <c r="AS50" s="110"/>
      <c r="AT50" s="401"/>
      <c r="AU50" s="1111"/>
      <c r="AV50" s="401"/>
      <c r="AW50" s="110"/>
      <c r="AX50" s="401"/>
      <c r="AY50" s="110"/>
      <c r="AZ50" s="401"/>
      <c r="BA50" s="110"/>
      <c r="BB50" s="401"/>
      <c r="BC50" s="110"/>
      <c r="BD50" s="401"/>
      <c r="BE50" s="110"/>
      <c r="BF50" s="401"/>
      <c r="BG50" s="110"/>
      <c r="BH50" s="401"/>
      <c r="BI50" s="110"/>
      <c r="BJ50" s="401"/>
      <c r="BK50" s="77"/>
      <c r="BL50" s="401"/>
      <c r="BM50" s="77"/>
      <c r="BN50" s="401"/>
      <c r="BO50" s="77"/>
      <c r="BP50" s="401"/>
      <c r="BQ50" s="77"/>
      <c r="BR50" s="401"/>
      <c r="BS50" s="1096"/>
      <c r="BT50" s="401"/>
      <c r="BU50" s="77"/>
      <c r="BV50" s="401"/>
      <c r="BW50" s="77"/>
      <c r="BX50" s="401"/>
      <c r="BY50" s="77"/>
      <c r="BZ50" s="401"/>
      <c r="CA50" s="77"/>
      <c r="CB50" s="401"/>
      <c r="CC50" s="77"/>
      <c r="CD50" s="401"/>
      <c r="CE50" s="77"/>
      <c r="CF50" s="401"/>
      <c r="CG50" s="77"/>
      <c r="CH50" s="401"/>
      <c r="CI50" s="77"/>
      <c r="CJ50" s="401"/>
      <c r="CK50" s="77"/>
      <c r="CL50" s="401"/>
      <c r="CM50" s="77"/>
      <c r="CN50" s="401"/>
      <c r="CO50" s="77"/>
      <c r="CP50" s="401"/>
      <c r="CQ50" s="77"/>
      <c r="CR50" s="401"/>
      <c r="CS50" s="77"/>
      <c r="CT50" s="76"/>
      <c r="CU50" s="77"/>
      <c r="CV50" s="76"/>
      <c r="CW50" s="77"/>
      <c r="CX50" s="76"/>
      <c r="CY50" s="77"/>
      <c r="CZ50" s="76"/>
      <c r="DA50" s="77"/>
      <c r="DB50" s="76"/>
      <c r="DC50" s="77"/>
      <c r="DD50" s="76"/>
      <c r="DE50" s="77"/>
      <c r="DF50" s="76"/>
      <c r="DG50" s="77"/>
      <c r="DH50" s="76"/>
      <c r="DI50" s="77"/>
      <c r="DJ50" s="76"/>
      <c r="DK50" s="77"/>
      <c r="DL50" s="76"/>
      <c r="DM50" s="77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  <c r="FU50" s="76"/>
      <c r="FV50" s="76"/>
      <c r="FW50" s="76"/>
      <c r="FX50" s="76"/>
      <c r="FY50" s="76"/>
      <c r="FZ50" s="76"/>
      <c r="GA50" s="76"/>
      <c r="GB50" s="76"/>
      <c r="GC50" s="76"/>
      <c r="GD50" s="76"/>
      <c r="GE50" s="76"/>
      <c r="GF50" s="76"/>
      <c r="GG50" s="76"/>
      <c r="GH50" s="76"/>
      <c r="GI50" s="76"/>
      <c r="GJ50" s="76"/>
      <c r="GK50" s="76"/>
      <c r="GL50" s="76"/>
      <c r="GM50" s="76"/>
      <c r="GN50" s="76"/>
      <c r="GO50" s="76"/>
      <c r="GP50" s="76"/>
      <c r="GQ50" s="76"/>
      <c r="GR50" s="76"/>
      <c r="GS50" s="76"/>
      <c r="GT50" s="76"/>
      <c r="GU50" s="76"/>
      <c r="GV50" s="76"/>
      <c r="GW50" s="76"/>
      <c r="GX50" s="76"/>
      <c r="GY50" s="76"/>
      <c r="GZ50" s="76"/>
      <c r="HA50" s="76"/>
      <c r="HB50" s="76"/>
      <c r="HC50" s="76"/>
      <c r="HD50" s="76"/>
      <c r="HE50" s="76"/>
    </row>
    <row r="51" spans="1:213" ht="12.75" customHeight="1">
      <c r="A51" s="140" t="s">
        <v>246</v>
      </c>
      <c r="B51" s="76"/>
      <c r="C51" s="150"/>
      <c r="D51" s="401"/>
      <c r="E51" s="150"/>
      <c r="F51" s="401"/>
      <c r="G51" s="150"/>
      <c r="H51" s="401"/>
      <c r="I51" s="150"/>
      <c r="J51" s="401"/>
      <c r="K51" s="150"/>
      <c r="L51" s="401"/>
      <c r="M51" s="150"/>
      <c r="N51" s="401"/>
      <c r="O51" s="150"/>
      <c r="P51" s="401"/>
      <c r="Q51" s="150"/>
      <c r="R51" s="401"/>
      <c r="S51" s="150"/>
      <c r="T51" s="401"/>
      <c r="U51" s="150"/>
      <c r="V51" s="401"/>
      <c r="W51" s="1160"/>
      <c r="X51" s="401"/>
      <c r="Y51" s="150"/>
      <c r="Z51" s="401"/>
      <c r="AA51" s="150"/>
      <c r="AB51" s="401"/>
      <c r="AC51" s="150"/>
      <c r="AD51" s="401"/>
      <c r="AE51" s="150"/>
      <c r="AF51" s="401"/>
      <c r="AG51" s="150"/>
      <c r="AH51" s="401"/>
      <c r="AI51" s="150"/>
      <c r="AJ51" s="401"/>
      <c r="AK51" s="150"/>
      <c r="AL51" s="401"/>
      <c r="AM51" s="150"/>
      <c r="AN51" s="401"/>
      <c r="AO51" s="150"/>
      <c r="AP51" s="401"/>
      <c r="AQ51" s="150"/>
      <c r="AR51" s="401"/>
      <c r="AS51" s="150"/>
      <c r="AT51" s="401"/>
      <c r="AV51" s="401"/>
      <c r="AX51" s="401"/>
      <c r="AZ51" s="401"/>
      <c r="BB51" s="401"/>
      <c r="BD51" s="401"/>
      <c r="BF51" s="401"/>
      <c r="BH51" s="401"/>
      <c r="BJ51" s="401"/>
      <c r="BL51" s="401"/>
      <c r="BN51" s="401"/>
      <c r="BP51" s="401"/>
      <c r="BR51" s="401"/>
      <c r="BT51" s="401"/>
      <c r="BV51" s="401"/>
      <c r="BX51" s="401"/>
      <c r="BY51" s="77"/>
      <c r="BZ51" s="401"/>
      <c r="CA51" s="77"/>
      <c r="CB51" s="401"/>
      <c r="CC51" s="77"/>
      <c r="CD51" s="401"/>
      <c r="CE51" s="77"/>
      <c r="CF51" s="401"/>
      <c r="CG51" s="77"/>
      <c r="CH51" s="401"/>
      <c r="CI51" s="77"/>
      <c r="CJ51" s="401"/>
      <c r="CK51" s="77"/>
      <c r="CL51" s="401"/>
      <c r="CM51" s="77"/>
      <c r="CN51" s="401"/>
      <c r="CO51" s="77"/>
      <c r="CP51" s="401"/>
      <c r="CQ51" s="77"/>
      <c r="CR51" s="401"/>
      <c r="CS51" s="77"/>
      <c r="CT51" s="76"/>
      <c r="CU51" s="77"/>
      <c r="CV51" s="76"/>
      <c r="CW51" s="77"/>
      <c r="CX51" s="76"/>
      <c r="CY51" s="77"/>
      <c r="CZ51" s="76"/>
      <c r="DA51" s="77"/>
      <c r="DB51" s="76"/>
      <c r="DC51" s="77"/>
      <c r="DD51" s="76"/>
      <c r="DE51" s="77"/>
      <c r="DF51" s="76"/>
      <c r="DG51" s="77"/>
      <c r="DH51" s="76"/>
      <c r="DI51" s="77"/>
      <c r="DJ51" s="76"/>
      <c r="DK51" s="77"/>
      <c r="DL51" s="76"/>
      <c r="DM51" s="77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  <c r="EI51" s="76"/>
      <c r="EJ51" s="76"/>
      <c r="EK51" s="76"/>
      <c r="EL51" s="76"/>
      <c r="EM51" s="76"/>
      <c r="EN51" s="76"/>
      <c r="EO51" s="76"/>
      <c r="EP51" s="76"/>
      <c r="EQ51" s="76"/>
      <c r="ER51" s="76"/>
      <c r="ES51" s="76"/>
      <c r="ET51" s="76"/>
      <c r="EU51" s="76"/>
      <c r="EV51" s="76"/>
      <c r="EW51" s="76"/>
      <c r="EX51" s="76"/>
      <c r="EY51" s="76"/>
      <c r="EZ51" s="76"/>
      <c r="FA51" s="76"/>
      <c r="FB51" s="76"/>
      <c r="FC51" s="76"/>
      <c r="FD51" s="76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  <c r="FU51" s="76"/>
      <c r="FV51" s="76"/>
      <c r="FW51" s="76"/>
      <c r="FX51" s="76"/>
      <c r="FY51" s="76"/>
      <c r="FZ51" s="76"/>
      <c r="GA51" s="76"/>
      <c r="GB51" s="76"/>
      <c r="GC51" s="76"/>
      <c r="GD51" s="76"/>
      <c r="GE51" s="76"/>
      <c r="GF51" s="76"/>
      <c r="GG51" s="76"/>
      <c r="GH51" s="76"/>
      <c r="GI51" s="76"/>
      <c r="GJ51" s="76"/>
      <c r="GK51" s="76"/>
      <c r="GL51" s="76"/>
      <c r="GM51" s="76"/>
      <c r="GN51" s="76"/>
      <c r="GO51" s="76"/>
      <c r="GP51" s="76"/>
      <c r="GQ51" s="76"/>
      <c r="GR51" s="76"/>
      <c r="GS51" s="76"/>
      <c r="GT51" s="76"/>
      <c r="GU51" s="76"/>
      <c r="GV51" s="76"/>
      <c r="GW51" s="76"/>
      <c r="GX51" s="76"/>
      <c r="GY51" s="76"/>
      <c r="GZ51" s="76"/>
      <c r="HA51" s="76"/>
      <c r="HB51" s="76"/>
      <c r="HC51" s="76"/>
      <c r="HD51" s="76"/>
      <c r="HE51" s="76"/>
    </row>
    <row r="52" spans="1:213" ht="12.75" customHeight="1">
      <c r="A52" s="76" t="s">
        <v>247</v>
      </c>
      <c r="B52" s="76"/>
      <c r="C52" s="150">
        <f>C19/C25</f>
        <v>2.7859569750594431</v>
      </c>
      <c r="D52" s="401"/>
      <c r="E52" s="150">
        <f>E19/E25</f>
        <v>2.675475996307803</v>
      </c>
      <c r="F52" s="401"/>
      <c r="G52" s="150">
        <f>G19/G25</f>
        <v>2.5395071181563016</v>
      </c>
      <c r="H52" s="401"/>
      <c r="I52" s="150">
        <v>2.6130573546837512</v>
      </c>
      <c r="J52" s="401"/>
      <c r="K52" s="150">
        <v>2.8606705409581523</v>
      </c>
      <c r="L52" s="401"/>
      <c r="M52" s="150">
        <v>2.5565969335175436</v>
      </c>
      <c r="N52" s="401"/>
      <c r="O52" s="150">
        <v>2.6345024875174787</v>
      </c>
      <c r="P52" s="401"/>
      <c r="Q52" s="150">
        <v>2.6563315599857815</v>
      </c>
      <c r="R52" s="401"/>
      <c r="S52" s="150">
        <v>2.7306381404082267</v>
      </c>
      <c r="T52" s="401"/>
      <c r="U52" s="150">
        <v>1.9441228249150173</v>
      </c>
      <c r="V52" s="401"/>
      <c r="W52" s="1160">
        <v>2.527394381695387</v>
      </c>
      <c r="X52" s="401"/>
      <c r="Y52" s="150">
        <v>2.5090028970249398</v>
      </c>
      <c r="Z52" s="401"/>
      <c r="AA52" s="150">
        <v>2.5281426230593427</v>
      </c>
      <c r="AB52" s="401"/>
      <c r="AC52" s="150">
        <v>2.6138016579458809</v>
      </c>
      <c r="AD52" s="401"/>
      <c r="AE52" s="150">
        <v>2.6314712606413506</v>
      </c>
      <c r="AF52" s="401"/>
      <c r="AG52" s="150">
        <v>2.4310273929947108</v>
      </c>
      <c r="AH52" s="401"/>
      <c r="AI52" s="150">
        <v>2.5040954018634127</v>
      </c>
      <c r="AJ52" s="401"/>
      <c r="AK52" s="150">
        <v>2.2681236105275402</v>
      </c>
      <c r="AL52" s="401"/>
      <c r="AM52" s="150">
        <v>2.2836488326132338</v>
      </c>
      <c r="AN52" s="401"/>
      <c r="AO52" s="150">
        <v>2.1964168942857176</v>
      </c>
      <c r="AP52" s="401"/>
      <c r="AQ52" s="150">
        <v>1.9868539816942439</v>
      </c>
      <c r="AR52" s="401"/>
      <c r="AS52" s="150">
        <v>1.8954431547930468</v>
      </c>
      <c r="AT52" s="401"/>
      <c r="AU52" s="1130">
        <v>1.7341122535653812</v>
      </c>
      <c r="AV52" s="401"/>
      <c r="AW52" s="150">
        <v>1.6989973475195546</v>
      </c>
      <c r="AX52" s="401"/>
      <c r="AY52" s="150">
        <v>1.7372694043247554</v>
      </c>
      <c r="AZ52" s="401"/>
      <c r="BA52" s="150">
        <v>1.4811997454130943</v>
      </c>
      <c r="BB52" s="401"/>
      <c r="BC52" s="150">
        <v>1.4442727281820926</v>
      </c>
      <c r="BD52" s="401"/>
      <c r="BE52" s="150">
        <v>1.2793991619882601</v>
      </c>
      <c r="BF52" s="401"/>
      <c r="BG52" s="150">
        <v>1.0379623096760282</v>
      </c>
      <c r="BH52" s="401"/>
      <c r="BI52" s="150">
        <v>1.0021244544690895</v>
      </c>
      <c r="BJ52" s="401"/>
      <c r="BK52" s="150">
        <v>0.96766802288495035</v>
      </c>
      <c r="BL52" s="401"/>
      <c r="BM52" s="150">
        <v>0.98387819706704971</v>
      </c>
      <c r="BN52" s="401"/>
      <c r="BO52" s="150">
        <v>0.94397679705553572</v>
      </c>
      <c r="BP52" s="401"/>
      <c r="BQ52" s="150">
        <f>+BQ19/BQ25</f>
        <v>0.27148382092349416</v>
      </c>
      <c r="BR52" s="401"/>
      <c r="BS52" s="1100">
        <v>0.8241857206076062</v>
      </c>
      <c r="BT52" s="401"/>
      <c r="BU52" s="150">
        <v>0.883366009678627</v>
      </c>
      <c r="BV52" s="628"/>
      <c r="BW52" s="150">
        <v>3.1606897333237733</v>
      </c>
      <c r="BX52" s="401"/>
      <c r="BY52" s="150">
        <v>3.1257056905771119</v>
      </c>
      <c r="BZ52" s="401"/>
      <c r="CA52" s="150">
        <v>2.5457517875272808</v>
      </c>
      <c r="CB52" s="401"/>
      <c r="CC52" s="150">
        <v>2.5497521342086964</v>
      </c>
      <c r="CD52" s="401"/>
      <c r="CE52" s="150">
        <v>2.7040541329191727</v>
      </c>
      <c r="CF52" s="401"/>
      <c r="CG52" s="150">
        <v>2.7890768633831287</v>
      </c>
      <c r="CH52" s="401"/>
      <c r="CI52" s="150">
        <v>2.3002029273444093</v>
      </c>
      <c r="CJ52" s="401"/>
      <c r="CK52" s="150">
        <v>2.3371784867274066</v>
      </c>
      <c r="CL52" s="401"/>
      <c r="CM52" s="150">
        <v>2.2913506418499092</v>
      </c>
      <c r="CN52" s="401"/>
      <c r="CO52" s="150">
        <f>+CO19/CO25</f>
        <v>2.4381492425416069</v>
      </c>
      <c r="CP52" s="401"/>
      <c r="CQ52" s="150">
        <f>+CQ19/CQ25</f>
        <v>4.9033780184278317</v>
      </c>
      <c r="CR52" s="401"/>
      <c r="CS52" s="150">
        <f>+CS19/CS25</f>
        <v>2.7504952684281134</v>
      </c>
      <c r="CT52" s="76"/>
      <c r="CU52" s="151">
        <f>+CU19/CU25</f>
        <v>3.6455528572845952</v>
      </c>
      <c r="CV52" s="76"/>
      <c r="CW52" s="151">
        <f>+CW19/CW25</f>
        <v>3.8150173823258813</v>
      </c>
      <c r="CX52" s="76"/>
      <c r="CY52" s="151">
        <f>+CY19/CY25</f>
        <v>3.7268514608749315</v>
      </c>
      <c r="CZ52" s="76"/>
      <c r="DA52" s="151">
        <f>+DA19/DA25</f>
        <v>2.9301693224247054</v>
      </c>
      <c r="DB52" s="76"/>
      <c r="DC52" s="151">
        <f>+DC19/DC25</f>
        <v>2.9390360668076889</v>
      </c>
      <c r="DD52" s="76"/>
      <c r="DE52" s="151">
        <f>+DE19/DE25</f>
        <v>2.6316037620530923</v>
      </c>
      <c r="DF52" s="76"/>
      <c r="DG52" s="151">
        <f>+DG19/DG25</f>
        <v>2.3511855212117112</v>
      </c>
      <c r="DH52" s="76"/>
      <c r="DI52" s="150">
        <f>+DI19/DI25</f>
        <v>2.0074974785479296</v>
      </c>
      <c r="DJ52" s="76"/>
      <c r="DK52" s="150">
        <f>+DK19/DK25</f>
        <v>2.065926212713574</v>
      </c>
      <c r="DL52" s="76"/>
      <c r="DM52" s="150">
        <f>+DM19/DM25</f>
        <v>1.9105539074115736</v>
      </c>
      <c r="DN52" s="76"/>
      <c r="DO52" s="151">
        <v>1.9090385572197379</v>
      </c>
      <c r="DP52" s="76"/>
      <c r="DQ52" s="151">
        <v>1.6016663382067091</v>
      </c>
      <c r="DR52" s="76"/>
      <c r="DS52" s="151">
        <v>1.6143566536583382</v>
      </c>
      <c r="DT52" s="76"/>
      <c r="DU52" s="151">
        <v>1.7860436188949269</v>
      </c>
      <c r="DV52" s="76"/>
      <c r="DW52" s="151">
        <v>2.0274046495611744</v>
      </c>
      <c r="DX52" s="76"/>
      <c r="DY52" s="151">
        <v>2.1741160050812449</v>
      </c>
      <c r="DZ52" s="76"/>
      <c r="EA52" s="151">
        <v>1.6997706169667166</v>
      </c>
      <c r="EB52" s="76"/>
      <c r="EC52" s="151">
        <v>1.6989915432794886</v>
      </c>
      <c r="ED52" s="76"/>
      <c r="EE52" s="151">
        <v>1.7092525315206737</v>
      </c>
      <c r="EF52" s="76"/>
      <c r="EG52" s="151">
        <v>1.6661750596624976</v>
      </c>
      <c r="EH52" s="76"/>
      <c r="EI52" s="150">
        <v>1.6093552605549974</v>
      </c>
      <c r="EJ52" s="76"/>
      <c r="EK52" s="150">
        <v>1.6072751765450604</v>
      </c>
      <c r="EL52" s="76"/>
      <c r="EM52" s="150">
        <v>1.6052297741080619</v>
      </c>
      <c r="EN52" s="76"/>
      <c r="EO52" s="150">
        <v>1.5798604539364471</v>
      </c>
      <c r="EP52" s="76"/>
      <c r="EQ52" s="151">
        <v>1.5747065393523396</v>
      </c>
      <c r="ER52" s="76"/>
      <c r="ES52" s="151">
        <v>1.2567002742590838</v>
      </c>
      <c r="ET52" s="151"/>
      <c r="EU52" s="151">
        <v>0.83547563673429448</v>
      </c>
      <c r="EV52" s="151"/>
      <c r="EW52" s="151">
        <v>0.63503317467838161</v>
      </c>
      <c r="EX52" s="151"/>
      <c r="EY52" s="151">
        <v>0.61180847536092264</v>
      </c>
      <c r="EZ52" s="151"/>
      <c r="FA52" s="151">
        <v>0.64285610852192454</v>
      </c>
      <c r="FB52" s="151"/>
      <c r="FC52" s="151">
        <v>0.67247885928056983</v>
      </c>
      <c r="FD52" s="151"/>
      <c r="FE52" s="151">
        <v>3.1724381153363099</v>
      </c>
      <c r="FF52" s="151"/>
      <c r="FG52" s="151">
        <v>3.2320074254179358</v>
      </c>
      <c r="FH52" s="151"/>
      <c r="FI52" s="151">
        <v>3.2882211008723679</v>
      </c>
      <c r="FJ52" s="76"/>
      <c r="FK52" s="151">
        <v>2.8970260024212964</v>
      </c>
      <c r="FL52" s="76"/>
      <c r="FM52" s="151">
        <v>2.823641884039485</v>
      </c>
      <c r="FN52" s="76"/>
      <c r="FO52" s="151">
        <v>3.2564520726208799</v>
      </c>
      <c r="FP52" s="151"/>
      <c r="FQ52" s="151">
        <v>2.4065360208541029</v>
      </c>
      <c r="FR52" s="151"/>
      <c r="FS52" s="151">
        <v>2.4894321946736309</v>
      </c>
      <c r="FT52" s="151"/>
      <c r="FU52" s="151">
        <v>1.4085935344432179</v>
      </c>
      <c r="FV52" s="151"/>
      <c r="FW52" s="151">
        <v>1.1858616988175501</v>
      </c>
      <c r="FX52" s="151"/>
      <c r="FY52" s="151">
        <v>1.0404162732147868</v>
      </c>
      <c r="FZ52" s="151"/>
      <c r="GA52" s="151">
        <v>0.8186933320474743</v>
      </c>
      <c r="GB52" s="151"/>
      <c r="GC52" s="151">
        <v>0.79833888081251059</v>
      </c>
      <c r="GD52" s="151"/>
      <c r="GE52" s="151">
        <v>0.7261781042959633</v>
      </c>
      <c r="GF52" s="76"/>
      <c r="GG52" s="151">
        <v>0.7123521985414728</v>
      </c>
      <c r="GH52" s="151"/>
      <c r="GI52" s="151">
        <v>0.71640539718465612</v>
      </c>
      <c r="GJ52" s="76"/>
      <c r="GK52" s="151">
        <v>0.48586486761555836</v>
      </c>
      <c r="GL52" s="76"/>
      <c r="GM52" s="151">
        <v>0.5153203640510452</v>
      </c>
      <c r="GN52" s="76"/>
      <c r="GO52" s="151">
        <v>0.64889159769133575</v>
      </c>
      <c r="GP52" s="76"/>
      <c r="GQ52" s="151">
        <v>0.63131371043322826</v>
      </c>
      <c r="GR52" s="76"/>
      <c r="GS52" s="151">
        <v>0.45839978135933307</v>
      </c>
      <c r="GT52" s="76"/>
      <c r="GU52" s="151">
        <v>0.48237542729880978</v>
      </c>
      <c r="GV52" s="76"/>
      <c r="GW52" s="151">
        <v>0.45070689394002267</v>
      </c>
      <c r="GX52" s="76"/>
      <c r="GY52" s="151">
        <v>0.4404828176470818</v>
      </c>
      <c r="GZ52" s="76"/>
      <c r="HA52" s="151">
        <v>0.32075567871872035</v>
      </c>
      <c r="HB52" s="76"/>
      <c r="HC52" s="151">
        <v>0.29096300436904482</v>
      </c>
      <c r="HD52" s="76"/>
      <c r="HE52" s="151">
        <v>0.27995108188766099</v>
      </c>
    </row>
    <row r="53" spans="1:213" ht="12.75" customHeight="1">
      <c r="A53" s="76" t="s">
        <v>248</v>
      </c>
      <c r="B53" s="76"/>
      <c r="C53" s="152">
        <f>'Covenants - Dec25'!G37</f>
        <v>7.8022146220051047E-2</v>
      </c>
      <c r="D53" s="401"/>
      <c r="E53" s="152">
        <f>'Covenants - Dec25'!I37</f>
        <v>7.8549028560663953E-2</v>
      </c>
      <c r="F53" s="401"/>
      <c r="G53" s="152">
        <f>'Covenants - Dec25'!K37</f>
        <v>8.1525058128261663E-2</v>
      </c>
      <c r="H53" s="401"/>
      <c r="I53" s="152">
        <f>'Covenants - Dec25'!M37</f>
        <v>8.0367316673647132E-2</v>
      </c>
      <c r="J53" s="401"/>
      <c r="K53" s="152">
        <v>8.1399502668193097E-2</v>
      </c>
      <c r="L53" s="401"/>
      <c r="M53" s="152">
        <v>8.7621165544182658E-2</v>
      </c>
      <c r="N53" s="401"/>
      <c r="O53" s="152">
        <v>8.6420848317556628E-2</v>
      </c>
      <c r="P53" s="401"/>
      <c r="Q53" s="152">
        <v>8.6744789908357128E-2</v>
      </c>
      <c r="R53" s="401"/>
      <c r="S53" s="152">
        <v>8.3458711232284363E-2</v>
      </c>
      <c r="T53" s="401"/>
      <c r="U53" s="152">
        <v>0.11733450963953705</v>
      </c>
      <c r="V53" s="401"/>
      <c r="W53" s="1161">
        <v>9.963802411571572E-2</v>
      </c>
      <c r="X53" s="401"/>
      <c r="Y53" s="152">
        <v>9.9532571158377978E-2</v>
      </c>
      <c r="Z53" s="401"/>
      <c r="AA53" s="152">
        <v>9.0130190334152843E-2</v>
      </c>
      <c r="AB53" s="401"/>
      <c r="AC53" s="152">
        <v>7.9981745360500761E-2</v>
      </c>
      <c r="AD53" s="401"/>
      <c r="AE53" s="152">
        <v>6.9510590574661066E-2</v>
      </c>
      <c r="AF53" s="401"/>
      <c r="AG53" s="152">
        <v>6.9128130864562085E-2</v>
      </c>
      <c r="AH53" s="401"/>
      <c r="AI53" s="152">
        <v>6.1912426433293005E-2</v>
      </c>
      <c r="AJ53" s="401"/>
      <c r="AK53" s="152">
        <v>6.2052280063018363E-2</v>
      </c>
      <c r="AL53" s="401"/>
      <c r="AM53" s="152">
        <v>5.6762138596642038E-2</v>
      </c>
      <c r="AN53" s="401"/>
      <c r="AO53" s="152">
        <v>4.9948064609206165E-2</v>
      </c>
      <c r="AP53" s="401"/>
      <c r="AQ53" s="152">
        <v>4.4984030760757215E-2</v>
      </c>
      <c r="AR53" s="401"/>
      <c r="AS53" s="152">
        <v>4.4699999999999997E-2</v>
      </c>
      <c r="AT53" s="401"/>
      <c r="AU53" s="1131">
        <v>3.9468074471637658E-2</v>
      </c>
      <c r="AV53" s="401"/>
      <c r="AW53" s="152">
        <v>4.3099999999999999E-2</v>
      </c>
      <c r="AX53" s="401"/>
      <c r="AY53" s="152">
        <v>4.2817933777520495E-2</v>
      </c>
      <c r="AZ53" s="401"/>
      <c r="BA53" s="152">
        <v>4.0673189900325472E-2</v>
      </c>
      <c r="BB53" s="401"/>
      <c r="BC53" s="152">
        <v>4.1760987350912444E-2</v>
      </c>
      <c r="BD53" s="401"/>
      <c r="BE53" s="152">
        <v>4.0916738047098028E-2</v>
      </c>
      <c r="BF53" s="401"/>
      <c r="BG53" s="152">
        <v>4.5922194980326958E-2</v>
      </c>
      <c r="BH53" s="401"/>
      <c r="BI53" s="152">
        <v>4.2586858579380764E-2</v>
      </c>
      <c r="BJ53" s="401"/>
      <c r="BK53" s="152">
        <v>4.259159215701544E-2</v>
      </c>
      <c r="BL53" s="401"/>
      <c r="BM53" s="152">
        <v>4.3884234771097139E-2</v>
      </c>
      <c r="BN53" s="401"/>
      <c r="BO53" s="152">
        <v>4.4043654446957868E-2</v>
      </c>
      <c r="BP53" s="401"/>
      <c r="BQ53" s="152">
        <f>'Covenants - Dec25'!DU37</f>
        <v>6.4430638949864644E-2</v>
      </c>
      <c r="BR53" s="401"/>
      <c r="BS53" s="1101">
        <v>4.2731748755486902E-2</v>
      </c>
      <c r="BT53" s="401"/>
      <c r="BU53" s="152">
        <v>4.8691469257359475E-2</v>
      </c>
      <c r="BV53" s="401"/>
      <c r="BW53" s="152">
        <v>5.0030707449489585E-2</v>
      </c>
      <c r="BX53" s="401"/>
      <c r="BY53" s="152">
        <v>5.0300101704806179E-2</v>
      </c>
      <c r="BZ53" s="401"/>
      <c r="CA53" s="152">
        <v>5.1385789721745775E-2</v>
      </c>
      <c r="CB53" s="401"/>
      <c r="CC53" s="152">
        <v>5.370097315320646E-2</v>
      </c>
      <c r="CD53" s="401"/>
      <c r="CE53" s="152">
        <v>5.5211193816986207E-2</v>
      </c>
      <c r="CF53" s="401"/>
      <c r="CG53" s="152">
        <v>5.6308591245727166E-2</v>
      </c>
      <c r="CH53" s="401"/>
      <c r="CI53" s="152">
        <v>5.4408356135680375E-2</v>
      </c>
      <c r="CJ53" s="401"/>
      <c r="CK53" s="152">
        <v>5.7833172688984996E-2</v>
      </c>
      <c r="CL53" s="401"/>
      <c r="CM53" s="152">
        <v>5.7349046711997954E-2</v>
      </c>
      <c r="CN53" s="401"/>
      <c r="CO53" s="152">
        <v>5.5457231998439105E-2</v>
      </c>
      <c r="CP53" s="401"/>
      <c r="CQ53" s="152">
        <v>5.2988509803753185E-2</v>
      </c>
      <c r="CR53" s="401"/>
      <c r="CS53" s="152">
        <v>4.2175162276212201E-2</v>
      </c>
      <c r="CT53" s="76"/>
      <c r="CU53" s="153">
        <v>4.7732601933395263E-2</v>
      </c>
      <c r="CV53" s="76"/>
      <c r="CW53" s="152">
        <v>4.0234047692590952E-2</v>
      </c>
      <c r="CX53" s="76"/>
      <c r="CY53" s="152">
        <v>4.2517368436956873E-2</v>
      </c>
      <c r="CZ53" s="76"/>
      <c r="DA53" s="152">
        <v>4.242034761773298E-2</v>
      </c>
      <c r="DB53" s="76"/>
      <c r="DC53" s="153">
        <v>4.2138620360146553E-2</v>
      </c>
      <c r="DD53" s="76"/>
      <c r="DE53" s="153">
        <v>4.1880562323135896E-2</v>
      </c>
      <c r="DF53" s="76"/>
      <c r="DG53" s="152">
        <v>4.119259196850189E-2</v>
      </c>
      <c r="DH53" s="76"/>
      <c r="DI53" s="153">
        <v>4.3445332869814751E-2</v>
      </c>
      <c r="DJ53" s="76"/>
      <c r="DK53" s="153">
        <v>4.4302808701504971E-2</v>
      </c>
      <c r="DL53" s="76"/>
      <c r="DM53" s="153">
        <v>4.2759141046125736E-2</v>
      </c>
      <c r="DN53" s="76"/>
      <c r="DO53" s="153">
        <v>4.3080060411484739E-2</v>
      </c>
      <c r="DP53" s="76"/>
      <c r="DQ53" s="153">
        <v>6.4430638949864644E-2</v>
      </c>
      <c r="DR53" s="76"/>
      <c r="DS53" s="153">
        <v>7.6464833003247357E-2</v>
      </c>
      <c r="DT53" s="76"/>
      <c r="DU53" s="153">
        <v>7.9176221622723336E-2</v>
      </c>
      <c r="DV53" s="76"/>
      <c r="DW53" s="153">
        <v>9.4763182452715422E-2</v>
      </c>
      <c r="DX53" s="76"/>
      <c r="DY53" s="153">
        <v>0.11881345276254864</v>
      </c>
      <c r="DZ53" s="76"/>
      <c r="EA53" s="153">
        <v>0.12785606300911695</v>
      </c>
      <c r="EB53" s="76"/>
      <c r="EC53" s="153">
        <v>0.12315854497411782</v>
      </c>
      <c r="ED53" s="76"/>
      <c r="EE53" s="153">
        <v>0.11697257474629927</v>
      </c>
      <c r="EF53" s="76"/>
      <c r="EG53" s="153">
        <v>0.12117044532284638</v>
      </c>
      <c r="EH53" s="76"/>
      <c r="EI53" s="152">
        <v>8.8028567809555133E-2</v>
      </c>
      <c r="EJ53" s="76"/>
      <c r="EK53" s="152">
        <v>4.1128685207881426E-2</v>
      </c>
      <c r="EL53" s="76"/>
      <c r="EM53" s="153">
        <v>2.3599999999999999E-2</v>
      </c>
      <c r="EN53" s="76"/>
      <c r="EO53" s="153">
        <v>3.0700000000000002E-2</v>
      </c>
      <c r="EP53" s="76"/>
      <c r="EQ53" s="152">
        <v>3.04E-2</v>
      </c>
      <c r="ER53" s="76"/>
      <c r="ES53" s="152">
        <v>2.87E-2</v>
      </c>
      <c r="ET53" s="153"/>
      <c r="EU53" s="152">
        <v>3.2000000000000001E-2</v>
      </c>
      <c r="EV53" s="153"/>
      <c r="EW53" s="152">
        <v>2.81E-2</v>
      </c>
      <c r="EX53" s="153"/>
      <c r="EY53" s="152">
        <v>0.03</v>
      </c>
      <c r="EZ53" s="153"/>
      <c r="FA53" s="153">
        <v>3.4599999999999999E-2</v>
      </c>
      <c r="FB53" s="153"/>
      <c r="FC53" s="153">
        <v>3.6002715770524309E-2</v>
      </c>
      <c r="FD53" s="153"/>
      <c r="FE53" s="153">
        <v>2.7171955295385995E-2</v>
      </c>
      <c r="FF53" s="153"/>
      <c r="FG53" s="153">
        <v>3.3418553338288512E-2</v>
      </c>
      <c r="FH53" s="153"/>
      <c r="FI53" s="153">
        <v>3.8743958233434468E-2</v>
      </c>
      <c r="FJ53" s="76"/>
      <c r="FK53" s="153">
        <v>3.6699011822632507E-2</v>
      </c>
      <c r="FL53" s="76"/>
      <c r="FM53" s="153">
        <v>4.5900000000000003E-2</v>
      </c>
      <c r="FN53" s="76"/>
      <c r="FO53" s="153">
        <v>4.8399999999999999E-2</v>
      </c>
      <c r="FP53" s="153"/>
      <c r="FQ53" s="153">
        <v>5.28E-2</v>
      </c>
      <c r="FR53" s="153"/>
      <c r="FS53" s="153">
        <v>4.9000000000000002E-2</v>
      </c>
      <c r="FT53" s="153"/>
      <c r="FU53" s="153">
        <v>5.3100000000000001E-2</v>
      </c>
      <c r="FV53" s="153"/>
      <c r="FW53" s="153">
        <v>5.8299999999999998E-2</v>
      </c>
      <c r="FX53" s="153"/>
      <c r="FY53" s="153">
        <v>6.3399999999999998E-2</v>
      </c>
      <c r="FZ53" s="153"/>
      <c r="GA53" s="153">
        <v>6.1800000000000001E-2</v>
      </c>
      <c r="GB53" s="153"/>
      <c r="GC53" s="153">
        <v>6.8699999999999997E-2</v>
      </c>
      <c r="GD53" s="153"/>
      <c r="GE53" s="153">
        <v>6.1100000000000002E-2</v>
      </c>
      <c r="GF53" s="76"/>
      <c r="GG53" s="153">
        <v>7.8700000000000006E-2</v>
      </c>
      <c r="GH53" s="153"/>
      <c r="GI53" s="153">
        <v>7.8056113568078997E-2</v>
      </c>
      <c r="GJ53" s="76"/>
      <c r="GK53" s="153">
        <v>7.8E-2</v>
      </c>
      <c r="GL53" s="76"/>
      <c r="GM53" s="153">
        <v>7.9399999999999998E-2</v>
      </c>
      <c r="GN53" s="76"/>
      <c r="GO53" s="153">
        <v>7.8553495416699343E-2</v>
      </c>
      <c r="GP53" s="76"/>
      <c r="GQ53" s="153">
        <v>7.2505686261434263E-2</v>
      </c>
      <c r="GR53" s="76"/>
      <c r="GS53" s="153">
        <v>7.244120226630639E-2</v>
      </c>
      <c r="GT53" s="76"/>
      <c r="GU53" s="153">
        <v>7.7703880272776485E-2</v>
      </c>
      <c r="GV53" s="153"/>
      <c r="GW53" s="153">
        <v>8.3400000000000002E-2</v>
      </c>
      <c r="GX53" s="153"/>
      <c r="GY53" s="153">
        <v>7.9194302032564681E-2</v>
      </c>
      <c r="GZ53" s="153"/>
      <c r="HA53" s="153">
        <v>0.11551610003880164</v>
      </c>
      <c r="HB53" s="153"/>
      <c r="HC53" s="153">
        <v>0.1354660597412792</v>
      </c>
      <c r="HD53" s="153"/>
      <c r="HE53" s="153">
        <v>0.11506686619410343</v>
      </c>
    </row>
    <row r="54" spans="1:213" ht="12.75" customHeight="1">
      <c r="A54" s="76" t="s">
        <v>249</v>
      </c>
      <c r="B54" s="76"/>
      <c r="C54" s="152">
        <f>-'Notes - Dec25'!C7/'Notes - Dec25'!C6</f>
        <v>0.15688074233761642</v>
      </c>
      <c r="D54" s="401"/>
      <c r="E54" s="152">
        <f>-'Notes - Dec25'!E7/'Notes - Dec25'!E6</f>
        <v>0.15409715068584687</v>
      </c>
      <c r="F54" s="401"/>
      <c r="G54" s="152">
        <f>-('Notes - Dec25'!G7+'Notes - Dec25'!G12)/SUM('Notes - Dec25'!G6,'Notes - Dec25'!G11)</f>
        <v>0.15803954515421489</v>
      </c>
      <c r="H54" s="401"/>
      <c r="I54" s="152">
        <v>0.1517373169768009</v>
      </c>
      <c r="J54" s="401"/>
      <c r="K54" s="152">
        <v>0.1520681661916255</v>
      </c>
      <c r="L54" s="401"/>
      <c r="M54" s="152">
        <v>9.2631909537308335E-2</v>
      </c>
      <c r="N54" s="401"/>
      <c r="O54" s="152">
        <v>9.4652752685986219E-2</v>
      </c>
      <c r="P54" s="401"/>
      <c r="Q54" s="152">
        <v>9.3190666312101572E-2</v>
      </c>
      <c r="R54" s="401"/>
      <c r="S54" s="152">
        <v>8.87437400168056E-2</v>
      </c>
      <c r="T54" s="401"/>
      <c r="U54" s="152">
        <v>0.11775275152447397</v>
      </c>
      <c r="V54" s="401"/>
      <c r="W54" s="1161">
        <v>0.10746290151495437</v>
      </c>
      <c r="X54" s="401"/>
      <c r="Y54" s="152">
        <v>0.10382338621628358</v>
      </c>
      <c r="Z54" s="401"/>
      <c r="AA54" s="152">
        <v>9.3600779939726403E-2</v>
      </c>
      <c r="AB54" s="401"/>
      <c r="AC54" s="152">
        <v>8.1248931675706057E-2</v>
      </c>
      <c r="AD54" s="401"/>
      <c r="AE54" s="152">
        <v>7.560337740842997E-2</v>
      </c>
      <c r="AF54" s="401"/>
      <c r="AG54" s="152">
        <v>7.1051717389035207E-2</v>
      </c>
      <c r="AH54" s="401"/>
      <c r="AI54" s="152">
        <v>6.7698319579381008E-2</v>
      </c>
      <c r="AJ54" s="401"/>
      <c r="AK54" s="152">
        <v>6.4265208596277643E-2</v>
      </c>
      <c r="AL54" s="401"/>
      <c r="AM54" s="152">
        <v>6.1784108291373603E-2</v>
      </c>
      <c r="AN54" s="401"/>
      <c r="AO54" s="152">
        <v>5.739157101885492E-2</v>
      </c>
      <c r="AP54" s="401"/>
      <c r="AQ54" s="152">
        <v>5.1954450770154856E-2</v>
      </c>
      <c r="AR54" s="401"/>
      <c r="AS54" s="152">
        <v>4.9583673312380686E-2</v>
      </c>
      <c r="AT54" s="401"/>
      <c r="AU54" s="1131">
        <v>4.3616256500007597E-2</v>
      </c>
      <c r="AV54" s="401"/>
      <c r="AW54" s="152">
        <v>4.6847151838040987E-2</v>
      </c>
      <c r="AX54" s="401"/>
      <c r="AY54" s="152">
        <v>4.5530019865461548E-2</v>
      </c>
      <c r="AZ54" s="401"/>
      <c r="BA54" s="152">
        <v>4.4037147764573702E-2</v>
      </c>
      <c r="BB54" s="401"/>
      <c r="BC54" s="152">
        <v>4.6171004160693606E-2</v>
      </c>
      <c r="BD54" s="401"/>
      <c r="BE54" s="152">
        <v>4.7789759830060397E-2</v>
      </c>
      <c r="BF54" s="401"/>
      <c r="BG54" s="152">
        <v>4.8259066214440573E-2</v>
      </c>
      <c r="BH54" s="401"/>
      <c r="BI54" s="152">
        <v>5.008536481253726E-2</v>
      </c>
      <c r="BJ54" s="401"/>
      <c r="BK54" s="152">
        <v>4.8821589047267369E-2</v>
      </c>
      <c r="BL54" s="401"/>
      <c r="BM54" s="152">
        <v>4.8650155549679178E-2</v>
      </c>
      <c r="BN54" s="401"/>
      <c r="BO54" s="152">
        <v>4.858436361497967E-2</v>
      </c>
      <c r="BP54" s="401"/>
      <c r="BQ54" s="152">
        <f>-SUM('Notes - Dec25'!DQ7+'Notes - Dec25'!DQ12)/SUM('Notes - Dec25'!DQ6,'Notes - Dec25'!DQ11)</f>
        <v>6.6024238578677424E-2</v>
      </c>
      <c r="BR54" s="401"/>
      <c r="BS54" s="1101">
        <v>4.5085043179167984E-2</v>
      </c>
      <c r="BT54" s="401"/>
      <c r="BU54" s="152">
        <v>4.2470323627044226E-2</v>
      </c>
      <c r="BV54" s="401"/>
      <c r="BW54" s="152">
        <v>4.5742533184918319E-2</v>
      </c>
      <c r="BX54" s="401"/>
      <c r="BY54" s="152">
        <v>4.3875346922574221E-2</v>
      </c>
      <c r="BZ54" s="401"/>
      <c r="CA54" s="152">
        <v>4.8305039769417212E-2</v>
      </c>
      <c r="CB54" s="401"/>
      <c r="CC54" s="152">
        <v>4.8102682443024868E-2</v>
      </c>
      <c r="CD54" s="401"/>
      <c r="CE54" s="152">
        <v>5.0270758759632737E-2</v>
      </c>
      <c r="CF54" s="401"/>
      <c r="CG54" s="152">
        <v>4.9913466650912904E-2</v>
      </c>
      <c r="CH54" s="401"/>
      <c r="CI54" s="152">
        <v>4.9136940272712523E-2</v>
      </c>
      <c r="CJ54" s="401"/>
      <c r="CK54" s="152">
        <v>5.147741313418977E-2</v>
      </c>
      <c r="CL54" s="401"/>
      <c r="CM54" s="152">
        <v>5.3976157956660574E-2</v>
      </c>
      <c r="CN54" s="401"/>
      <c r="CO54" s="152">
        <f>-'Notes - Dec25'!CO7/'Notes - Dec25'!CO6</f>
        <v>5.2329989585099594E-2</v>
      </c>
      <c r="CP54" s="401"/>
      <c r="CQ54" s="152">
        <f>-'Notes - Dec25'!CQ7/'Notes - Dec25'!CQ6</f>
        <v>4.8146310237237228E-2</v>
      </c>
      <c r="CR54" s="401"/>
      <c r="CS54" s="152">
        <f>-'Notes - Dec25'!CS7/'Notes - Dec25'!CS6</f>
        <v>4.2897580966771362E-2</v>
      </c>
      <c r="CT54" s="76"/>
      <c r="CU54" s="153">
        <f>-'Notes - Dec25'!CU7/'Notes - Dec25'!CU6</f>
        <v>4.5084123601502969E-2</v>
      </c>
      <c r="CV54" s="76"/>
      <c r="CW54" s="153">
        <f>-'Notes - Dec25'!CW7/'Notes - Dec25'!CW6</f>
        <v>4.1415601786857215E-2</v>
      </c>
      <c r="CX54" s="76"/>
      <c r="CY54" s="153">
        <f>-'Notes - Dec25'!CY7/'Notes - Dec25'!CY6</f>
        <v>4.0252889736302269E-2</v>
      </c>
      <c r="CZ54" s="76"/>
      <c r="DA54" s="153">
        <f>-'Notes - Dec25'!DA7/'Notes - Dec25'!DA6</f>
        <v>3.8331778775051069E-2</v>
      </c>
      <c r="DB54" s="76"/>
      <c r="DC54" s="153">
        <f>-'Notes - Dec25'!DC7/'Notes - Dec25'!DC6</f>
        <v>3.8904546724394591E-2</v>
      </c>
      <c r="DD54" s="76"/>
      <c r="DE54" s="153">
        <f>-'Notes - Dec25'!DE7/'Notes - Dec25'!DE6</f>
        <v>3.8568526782811273E-2</v>
      </c>
      <c r="DF54" s="76"/>
      <c r="DG54" s="153">
        <f>-'Notes - Dec25'!DG7/'Notes - Dec25'!DG6</f>
        <v>3.9385784870576798E-2</v>
      </c>
      <c r="DH54" s="76"/>
      <c r="DI54" s="152">
        <f>-'Notes - Dec25'!DI7/'Notes - Dec25'!DI6</f>
        <v>4.0453158091674921E-2</v>
      </c>
      <c r="DJ54" s="76"/>
      <c r="DK54" s="152">
        <f>-'Notes - Dec25'!DK7/'Notes - Dec25'!DK6</f>
        <v>4.2853777866018003E-2</v>
      </c>
      <c r="DL54" s="76"/>
      <c r="DM54" s="152">
        <f>-'Notes - Dec25'!DM7/'Notes - Dec25'!DM6</f>
        <v>4.2106299354281611E-2</v>
      </c>
      <c r="DN54" s="76"/>
      <c r="DO54" s="153">
        <v>4.2559287353167358E-2</v>
      </c>
      <c r="DP54" s="76"/>
      <c r="DQ54" s="153">
        <v>6.1131569143029828E-2</v>
      </c>
      <c r="DR54" s="76"/>
      <c r="DS54" s="153">
        <v>7.0353178895253485E-2</v>
      </c>
      <c r="DT54" s="76"/>
      <c r="DU54" s="153">
        <v>7.2135122132122934E-2</v>
      </c>
      <c r="DV54" s="76"/>
      <c r="DW54" s="153">
        <v>7.9968934257153984E-2</v>
      </c>
      <c r="DX54" s="76"/>
      <c r="DY54" s="153">
        <v>9.4126017601952397E-2</v>
      </c>
      <c r="DZ54" s="76"/>
      <c r="EA54" s="153">
        <v>9.9854501846783322E-2</v>
      </c>
      <c r="EB54" s="76"/>
      <c r="EC54" s="153">
        <v>0.10243639093110075</v>
      </c>
      <c r="ED54" s="76"/>
      <c r="EE54" s="153">
        <v>9.4533558019652741E-2</v>
      </c>
      <c r="EF54" s="76"/>
      <c r="EG54" s="153">
        <v>8.4277108103165244E-2</v>
      </c>
      <c r="EH54" s="76"/>
      <c r="EI54" s="153">
        <v>6.7695934317253639E-2</v>
      </c>
      <c r="EJ54" s="76"/>
      <c r="EK54" s="153">
        <v>4.0063879652914212E-2</v>
      </c>
      <c r="EL54" s="76"/>
      <c r="EM54" s="153">
        <v>2.0050953045481951E-2</v>
      </c>
      <c r="EN54" s="76"/>
      <c r="EO54" s="153">
        <v>2.5384559259517742E-2</v>
      </c>
      <c r="EP54" s="76"/>
      <c r="EQ54" s="153">
        <v>2.3574461605591606E-2</v>
      </c>
      <c r="ER54" s="76"/>
      <c r="ES54" s="153">
        <v>2.1314091644681295E-2</v>
      </c>
      <c r="ET54" s="153"/>
      <c r="EU54" s="153">
        <v>2.0899999999999998E-2</v>
      </c>
      <c r="EV54" s="153"/>
      <c r="EW54" s="153">
        <v>2.284684466212154E-2</v>
      </c>
      <c r="EX54" s="153"/>
      <c r="EY54" s="153">
        <v>2.4138930064410074E-2</v>
      </c>
      <c r="EZ54" s="153"/>
      <c r="FA54" s="153">
        <v>2.4542278702227173E-2</v>
      </c>
      <c r="FB54" s="153"/>
      <c r="FC54" s="153">
        <v>2.4999117946923805E-2</v>
      </c>
      <c r="FD54" s="153"/>
      <c r="FE54" s="153">
        <v>2.3752473148181689E-2</v>
      </c>
      <c r="FF54" s="153"/>
      <c r="FG54" s="153">
        <v>2.5781234421699092E-2</v>
      </c>
      <c r="FH54" s="153"/>
      <c r="FI54" s="153">
        <v>2.8634404189016451E-2</v>
      </c>
      <c r="FJ54" s="76"/>
      <c r="FK54" s="153">
        <v>2.8303781906435805E-2</v>
      </c>
      <c r="FL54" s="153"/>
      <c r="FM54" s="153">
        <v>3.057806054033595E-2</v>
      </c>
      <c r="FN54" s="76"/>
      <c r="FO54" s="153">
        <v>3.5337040090155397E-2</v>
      </c>
      <c r="FP54" s="153"/>
      <c r="FQ54" s="153">
        <v>3.2646452030029562E-2</v>
      </c>
      <c r="FR54" s="153"/>
      <c r="FS54" s="153">
        <v>3.4651783212867722E-2</v>
      </c>
      <c r="FT54" s="153"/>
      <c r="FU54" s="153">
        <v>4.2183808088366956E-2</v>
      </c>
      <c r="FV54" s="153"/>
      <c r="FW54" s="153">
        <v>4.3010280066174161E-2</v>
      </c>
      <c r="FX54" s="153"/>
      <c r="FY54" s="153">
        <v>4.8811474148261202E-2</v>
      </c>
      <c r="FZ54" s="153"/>
      <c r="GA54" s="153">
        <v>5.3741770405238226E-2</v>
      </c>
      <c r="GB54" s="153"/>
      <c r="GC54" s="153">
        <v>6.0201523294187688E-2</v>
      </c>
      <c r="GD54" s="153"/>
      <c r="GE54" s="153">
        <v>6.3471117964049376E-2</v>
      </c>
      <c r="GF54" s="76"/>
      <c r="GG54" s="153">
        <v>8.3837106837795203E-2</v>
      </c>
      <c r="GH54" s="153"/>
      <c r="GI54" s="153"/>
      <c r="GJ54" s="76"/>
      <c r="GK54" s="153"/>
      <c r="GL54" s="76"/>
      <c r="GM54" s="153"/>
      <c r="GN54" s="76"/>
      <c r="GO54" s="153"/>
      <c r="GP54" s="76"/>
      <c r="GQ54" s="153"/>
      <c r="GR54" s="76"/>
      <c r="GS54" s="153"/>
      <c r="GT54" s="76"/>
      <c r="GU54" s="153"/>
      <c r="GV54" s="153"/>
      <c r="GW54" s="153"/>
      <c r="GX54" s="153"/>
      <c r="GY54" s="153"/>
      <c r="GZ54" s="153"/>
      <c r="HA54" s="153"/>
      <c r="HB54" s="153"/>
      <c r="HC54" s="153"/>
      <c r="HD54" s="153"/>
      <c r="HE54" s="153"/>
    </row>
    <row r="55" spans="1:213" ht="12.75" customHeight="1">
      <c r="A55" s="77" t="s">
        <v>250</v>
      </c>
      <c r="B55" s="76"/>
      <c r="C55" s="152">
        <f>'Advance Analysis - Dec25'!G131</f>
        <v>0.43747623727687102</v>
      </c>
      <c r="D55" s="152"/>
      <c r="E55" s="152">
        <f>'Advance Analysis - Dec25'!G130</f>
        <v>0.36978785660298846</v>
      </c>
      <c r="F55" s="152"/>
      <c r="G55" s="152">
        <v>0.42</v>
      </c>
      <c r="H55" s="152"/>
      <c r="I55" s="152">
        <v>0.39987977259607527</v>
      </c>
      <c r="J55" s="152"/>
      <c r="K55" s="152">
        <v>0.39987977259607527</v>
      </c>
      <c r="L55" s="152"/>
      <c r="M55" s="152">
        <v>0.40643181358334635</v>
      </c>
      <c r="N55" s="152"/>
      <c r="O55" s="152">
        <v>0.40778907795950026</v>
      </c>
      <c r="P55" s="152"/>
      <c r="Q55" s="152">
        <v>0.42793458437281756</v>
      </c>
      <c r="R55" s="152"/>
      <c r="S55" s="152">
        <v>0.4233164706564666</v>
      </c>
      <c r="T55" s="152"/>
      <c r="U55" s="152">
        <v>0.4230332427390433</v>
      </c>
      <c r="V55" s="152"/>
      <c r="W55" s="1161">
        <v>0.36414145808382875</v>
      </c>
      <c r="X55" s="152"/>
      <c r="Y55" s="152">
        <v>0.39042973336404119</v>
      </c>
      <c r="Z55" s="152"/>
      <c r="AA55" s="152">
        <v>0.4313117841798868</v>
      </c>
      <c r="AB55" s="152"/>
      <c r="AC55" s="152">
        <v>0.4120286161793999</v>
      </c>
      <c r="AD55" s="152"/>
      <c r="AE55" s="152">
        <v>0.39280238569293258</v>
      </c>
      <c r="AF55" s="152"/>
      <c r="AG55" s="152">
        <v>0.41764810320698947</v>
      </c>
      <c r="AH55" s="152"/>
      <c r="AI55" s="152">
        <v>0.43200484714662457</v>
      </c>
      <c r="AJ55" s="152"/>
      <c r="AK55" s="152">
        <v>0.43200484714662457</v>
      </c>
      <c r="AL55" s="152"/>
      <c r="AM55" s="152">
        <v>0.40393907481388103</v>
      </c>
      <c r="AN55" s="152"/>
      <c r="AO55" s="152">
        <v>0.40967863552474471</v>
      </c>
      <c r="AP55" s="152"/>
      <c r="AQ55" s="152">
        <v>0.42615700675228418</v>
      </c>
      <c r="AR55" s="152"/>
      <c r="AS55" s="152">
        <v>0.40400000000000003</v>
      </c>
      <c r="AT55" s="152"/>
      <c r="AU55" s="1131">
        <v>0.40275049507086569</v>
      </c>
      <c r="AV55" s="152"/>
      <c r="AW55" s="152">
        <v>0.42326477116509431</v>
      </c>
      <c r="AX55" s="152"/>
      <c r="AY55" s="152">
        <v>0.43144176138278711</v>
      </c>
      <c r="AZ55" s="152"/>
      <c r="BA55" s="152">
        <v>0.41030190655447385</v>
      </c>
      <c r="BB55" s="152"/>
      <c r="BC55" s="152">
        <v>0.43115735062273552</v>
      </c>
      <c r="BD55" s="152"/>
      <c r="BE55" s="152">
        <v>0.41273179435575713</v>
      </c>
      <c r="BF55" s="152"/>
      <c r="BG55" s="152">
        <v>0.41814942293193624</v>
      </c>
      <c r="BH55" s="152"/>
      <c r="BI55" s="152">
        <v>0.44391976022771062</v>
      </c>
      <c r="BJ55" s="152"/>
      <c r="BK55" s="152">
        <v>0.42643483112168135</v>
      </c>
      <c r="BL55" s="152"/>
      <c r="BM55" s="152">
        <v>0.44007040259573349</v>
      </c>
      <c r="BN55" s="152"/>
      <c r="BO55" s="152">
        <v>0.41180464025571606</v>
      </c>
      <c r="BP55" s="152"/>
      <c r="BQ55" s="152">
        <f>'Advance Analysis - Dec25'!G98</f>
        <v>0.43466175193980489</v>
      </c>
      <c r="BR55" s="152"/>
      <c r="BS55" s="1101">
        <v>0.42671753630850906</v>
      </c>
      <c r="BT55" s="152"/>
      <c r="BU55" s="152">
        <v>0.44904561906343576</v>
      </c>
      <c r="BV55" s="152"/>
      <c r="BW55" s="152">
        <v>0.46701041420071987</v>
      </c>
      <c r="BX55" s="152"/>
      <c r="BY55" s="152">
        <v>0.40235063567927837</v>
      </c>
      <c r="BZ55" s="401"/>
      <c r="CA55" s="154">
        <v>0.45281569959825729</v>
      </c>
      <c r="CB55" s="401"/>
      <c r="CC55" s="154">
        <v>0.39385859701508724</v>
      </c>
      <c r="CD55" s="401"/>
      <c r="CE55" s="154">
        <v>0.43144594834550209</v>
      </c>
      <c r="CF55" s="401"/>
      <c r="CG55" s="154">
        <v>0.44844845251922438</v>
      </c>
      <c r="CH55" s="401"/>
      <c r="CI55" s="154">
        <v>0.42851316069975842</v>
      </c>
      <c r="CJ55" s="401"/>
      <c r="CK55" s="154">
        <v>0.43925963674016766</v>
      </c>
      <c r="CL55" s="401"/>
      <c r="CM55" s="154">
        <v>0.44106037249016095</v>
      </c>
      <c r="CN55" s="401"/>
      <c r="CO55" s="154">
        <f>'Advance Analysis - Dec25'!G86</f>
        <v>0.5010949303411224</v>
      </c>
      <c r="CP55" s="401"/>
      <c r="CQ55" s="154">
        <f>'Advance Analysis - Dec25'!G85</f>
        <v>0.4352519506239042</v>
      </c>
      <c r="CR55" s="401"/>
      <c r="CS55" s="154">
        <f>'Advance Analysis - Dec25'!G84</f>
        <v>0.50577974253748004</v>
      </c>
      <c r="CT55" s="76"/>
      <c r="CU55" s="155">
        <f>'Advance Analysis - Dec25'!G83</f>
        <v>0.47104947948994969</v>
      </c>
      <c r="CV55" s="76"/>
      <c r="CW55" s="154">
        <f>'Advance Analysis - Dec25'!G82</f>
        <v>0.43697954006415179</v>
      </c>
      <c r="CX55" s="76"/>
      <c r="CY55" s="154" t="e">
        <f>#REF!</f>
        <v>#REF!</v>
      </c>
      <c r="CZ55" s="76"/>
      <c r="DA55" s="155" t="e">
        <f>#REF!</f>
        <v>#REF!</v>
      </c>
      <c r="DB55" s="76"/>
      <c r="DC55" s="155" t="e">
        <f>#REF!</f>
        <v>#REF!</v>
      </c>
      <c r="DD55" s="76"/>
      <c r="DE55" s="155" t="e">
        <f>#REF!</f>
        <v>#REF!</v>
      </c>
      <c r="DF55" s="76"/>
      <c r="DG55" s="154" t="e">
        <f>#REF!</f>
        <v>#REF!</v>
      </c>
      <c r="DH55" s="76"/>
      <c r="DI55" s="155" t="e">
        <f>+#REF!</f>
        <v>#REF!</v>
      </c>
      <c r="DJ55" s="76"/>
      <c r="DK55" s="155" t="e">
        <f>+#REF!</f>
        <v>#REF!</v>
      </c>
      <c r="DL55" s="76"/>
      <c r="DM55" s="155" t="e">
        <f>+#REF!</f>
        <v>#REF!</v>
      </c>
      <c r="DN55" s="76"/>
      <c r="DO55" s="155">
        <v>0.46682004568099983</v>
      </c>
      <c r="DP55" s="76"/>
      <c r="DQ55" s="155">
        <v>0.48297928946892821</v>
      </c>
      <c r="DR55" s="76"/>
      <c r="DS55" s="154">
        <v>0.50804694242637538</v>
      </c>
      <c r="DT55" s="76"/>
      <c r="DU55" s="154">
        <v>0.44954031070245803</v>
      </c>
      <c r="DV55" s="76"/>
      <c r="DW55" s="154">
        <v>0.51039369807881207</v>
      </c>
      <c r="DX55" s="76"/>
      <c r="DY55" s="154">
        <v>0.49128671795243062</v>
      </c>
      <c r="DZ55" s="76"/>
      <c r="EA55" s="155">
        <v>0.49871688037820439</v>
      </c>
      <c r="EB55" s="76"/>
      <c r="EC55" s="154">
        <v>0.52011380461340473</v>
      </c>
      <c r="ED55" s="76"/>
      <c r="EE55" s="155">
        <v>0.45429704352394029</v>
      </c>
      <c r="EF55" s="76"/>
      <c r="EG55" s="155">
        <v>0.40894574369874437</v>
      </c>
      <c r="EH55" s="76"/>
      <c r="EI55" s="154">
        <v>0.51748716000406225</v>
      </c>
      <c r="EJ55" s="76"/>
      <c r="EK55" s="154">
        <v>0.53360167293724703</v>
      </c>
      <c r="EL55" s="76"/>
      <c r="EM55" s="154">
        <v>0.45499174998869596</v>
      </c>
      <c r="EN55" s="76"/>
      <c r="EO55" s="154">
        <v>0.55000000000000004</v>
      </c>
      <c r="EP55" s="76"/>
      <c r="EQ55" s="155">
        <v>0.54160063978828832</v>
      </c>
      <c r="ER55" s="76"/>
      <c r="ES55" s="155">
        <v>0.46671946291008531</v>
      </c>
      <c r="ET55" s="155"/>
      <c r="EU55" s="155">
        <v>0.51</v>
      </c>
      <c r="EV55" s="155"/>
      <c r="EW55" s="155">
        <v>0.4855770775242223</v>
      </c>
      <c r="EX55" s="155"/>
      <c r="EY55" s="155">
        <v>0.55306567587084876</v>
      </c>
      <c r="EZ55" s="155"/>
      <c r="FA55" s="155">
        <v>0.57273248653189079</v>
      </c>
      <c r="FB55" s="155"/>
      <c r="FC55" s="155">
        <v>0.54705224660524721</v>
      </c>
      <c r="FD55" s="155"/>
      <c r="FE55" s="155">
        <v>0.5574940584326169</v>
      </c>
      <c r="FF55" s="155"/>
      <c r="FG55" s="155">
        <v>0.62386256096015802</v>
      </c>
      <c r="FH55" s="155"/>
      <c r="FI55" s="155">
        <v>0.64401709655889205</v>
      </c>
      <c r="FJ55" s="76"/>
      <c r="FK55" s="155">
        <v>0.55317000138854588</v>
      </c>
      <c r="FL55" s="155"/>
      <c r="FM55" s="155">
        <v>0.56073070687742166</v>
      </c>
      <c r="FN55" s="76"/>
      <c r="FO55" s="155">
        <v>0.6144140557693063</v>
      </c>
      <c r="FP55" s="155"/>
      <c r="FQ55" s="155">
        <v>0.56134329674222982</v>
      </c>
      <c r="FR55" s="155"/>
      <c r="FS55" s="155">
        <v>0.58745688114170047</v>
      </c>
      <c r="FT55" s="155"/>
      <c r="FU55" s="155">
        <v>0.59014873897167563</v>
      </c>
      <c r="FV55" s="155"/>
      <c r="FW55" s="155">
        <v>0.65130144573627069</v>
      </c>
      <c r="FX55" s="155"/>
      <c r="FY55" s="155">
        <v>0.61530447844676917</v>
      </c>
      <c r="FZ55" s="155"/>
      <c r="GA55" s="155">
        <v>0.68510944609912572</v>
      </c>
      <c r="GB55" s="155"/>
      <c r="GC55" s="155">
        <v>0.61726438963784824</v>
      </c>
      <c r="GD55" s="155"/>
      <c r="GE55" s="155">
        <v>0.64985991095206463</v>
      </c>
      <c r="GF55" s="76"/>
      <c r="GG55" s="155">
        <v>0.78388018370910451</v>
      </c>
      <c r="GH55" s="155"/>
      <c r="GI55" s="155">
        <v>0.6321730603289194</v>
      </c>
      <c r="GJ55" s="76"/>
      <c r="GK55" s="155">
        <v>0.702925469651139</v>
      </c>
      <c r="GL55" s="76"/>
      <c r="GM55" s="155">
        <v>0.75299833297483942</v>
      </c>
      <c r="GN55" s="76"/>
      <c r="GO55" s="155">
        <v>0.65145830183515097</v>
      </c>
      <c r="GP55" s="76"/>
      <c r="GQ55" s="155">
        <v>0.68162000750360052</v>
      </c>
      <c r="GR55" s="76"/>
      <c r="GS55" s="155">
        <v>0.7921475439955965</v>
      </c>
      <c r="GT55" s="76"/>
      <c r="GU55" s="155">
        <v>0.75855203299903762</v>
      </c>
      <c r="GV55" s="76"/>
      <c r="GW55" s="155">
        <v>0.70212816233131192</v>
      </c>
      <c r="GX55" s="76"/>
      <c r="GY55" s="155">
        <v>0.67713883989086532</v>
      </c>
      <c r="GZ55" s="76"/>
      <c r="HA55" s="155">
        <v>0.61773189522454064</v>
      </c>
      <c r="HB55" s="76"/>
      <c r="HC55" s="155">
        <v>0.66593676695046533</v>
      </c>
      <c r="HD55" s="76"/>
      <c r="HE55" s="155">
        <v>0.74052882448523383</v>
      </c>
    </row>
    <row r="59" spans="1:213" ht="15" customHeight="1">
      <c r="C59" s="1191"/>
      <c r="E59" s="1191"/>
      <c r="G59" s="1191"/>
      <c r="I59" s="1184"/>
      <c r="K59" s="1184"/>
      <c r="Y59" s="167"/>
    </row>
  </sheetData>
  <pageMargins left="0.7" right="0.7" top="0.75" bottom="0.75" header="0" footer="0"/>
  <pageSetup paperSize="9" scale="90" orientation="landscape" r:id="rId1"/>
  <ignoredErrors>
    <ignoredError sqref="B9:B25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HA149"/>
  <sheetViews>
    <sheetView showGridLines="0" zoomScale="90" zoomScaleNormal="90" workbookViewId="0">
      <pane xSplit="2" ySplit="2" topLeftCell="C3" activePane="bottomRight" state="frozen"/>
      <selection activeCell="G22" sqref="G22"/>
      <selection pane="topRight" activeCell="G22" sqref="G22"/>
      <selection pane="bottomLeft" activeCell="G22" sqref="G22"/>
      <selection pane="bottomRight" activeCell="C127" sqref="C127"/>
    </sheetView>
  </sheetViews>
  <sheetFormatPr defaultColWidth="14.44140625" defaultRowHeight="15" customHeight="1" outlineLevelRow="1"/>
  <cols>
    <col min="1" max="1" width="12.5546875" bestFit="1" customWidth="1"/>
    <col min="2" max="2" width="38.109375" customWidth="1"/>
    <col min="3" max="3" width="22" customWidth="1"/>
    <col min="4" max="4" width="14" bestFit="1" customWidth="1"/>
    <col min="5" max="5" width="22" customWidth="1"/>
    <col min="6" max="6" width="14" bestFit="1" customWidth="1"/>
    <col min="7" max="7" width="22" customWidth="1"/>
    <col min="8" max="8" width="14" bestFit="1" customWidth="1"/>
    <col min="9" max="9" width="22" customWidth="1"/>
    <col min="10" max="10" width="14" bestFit="1" customWidth="1"/>
    <col min="11" max="11" width="22" customWidth="1"/>
    <col min="12" max="12" width="14" bestFit="1" customWidth="1"/>
    <col min="13" max="13" width="22" customWidth="1"/>
    <col min="14" max="14" width="14" bestFit="1" customWidth="1"/>
    <col min="15" max="15" width="22" customWidth="1"/>
    <col min="16" max="16" width="14" bestFit="1" customWidth="1"/>
    <col min="17" max="17" width="22" customWidth="1"/>
    <col min="18" max="18" width="14" bestFit="1" customWidth="1"/>
    <col min="19" max="19" width="22" customWidth="1"/>
    <col min="20" max="20" width="14" bestFit="1" customWidth="1"/>
    <col min="21" max="21" width="22" customWidth="1"/>
    <col min="22" max="22" width="14" bestFit="1" customWidth="1"/>
    <col min="23" max="23" width="22" style="546" customWidth="1"/>
    <col min="24" max="24" width="14" bestFit="1" customWidth="1"/>
    <col min="25" max="25" width="22" customWidth="1"/>
    <col min="26" max="26" width="14" bestFit="1" customWidth="1"/>
    <col min="27" max="27" width="22" customWidth="1"/>
    <col min="28" max="28" width="14" bestFit="1" customWidth="1"/>
    <col min="29" max="29" width="22" customWidth="1"/>
    <col min="30" max="30" width="14" bestFit="1" customWidth="1"/>
    <col min="31" max="31" width="22" customWidth="1"/>
    <col min="32" max="32" width="14" bestFit="1" customWidth="1"/>
    <col min="33" max="33" width="22" customWidth="1"/>
    <col min="34" max="34" width="14" bestFit="1" customWidth="1"/>
    <col min="35" max="35" width="22" customWidth="1"/>
    <col min="36" max="36" width="14" bestFit="1" customWidth="1"/>
    <col min="37" max="37" width="22" customWidth="1"/>
    <col min="38" max="38" width="14" bestFit="1" customWidth="1"/>
    <col min="39" max="39" width="22" customWidth="1"/>
    <col min="40" max="40" width="14" bestFit="1" customWidth="1"/>
    <col min="41" max="41" width="22" customWidth="1"/>
    <col min="42" max="42" width="14" bestFit="1" customWidth="1"/>
    <col min="43" max="43" width="22" customWidth="1"/>
    <col min="44" max="44" width="14" bestFit="1" customWidth="1"/>
    <col min="45" max="45" width="22" customWidth="1"/>
    <col min="46" max="46" width="14" bestFit="1" customWidth="1"/>
    <col min="47" max="47" width="22" style="546" customWidth="1"/>
    <col min="48" max="48" width="6.88671875" customWidth="1"/>
    <col min="49" max="49" width="22" customWidth="1"/>
    <col min="50" max="50" width="6.88671875" customWidth="1"/>
    <col min="51" max="51" width="22" customWidth="1"/>
    <col min="52" max="52" width="6.88671875" customWidth="1"/>
    <col min="53" max="53" width="22" customWidth="1"/>
    <col min="54" max="54" width="6.88671875" customWidth="1"/>
    <col min="55" max="55" width="22" customWidth="1"/>
    <col min="56" max="56" width="6.88671875" customWidth="1"/>
    <col min="57" max="57" width="22" customWidth="1"/>
    <col min="58" max="58" width="6.88671875" customWidth="1"/>
    <col min="59" max="59" width="22" customWidth="1"/>
    <col min="60" max="60" width="6.88671875" customWidth="1"/>
    <col min="61" max="61" width="22" customWidth="1"/>
    <col min="62" max="62" width="6.88671875" customWidth="1"/>
    <col min="63" max="63" width="22" customWidth="1"/>
    <col min="64" max="64" width="6.88671875" customWidth="1"/>
    <col min="65" max="65" width="22" customWidth="1"/>
    <col min="66" max="66" width="6.88671875" customWidth="1"/>
    <col min="67" max="67" width="22" customWidth="1"/>
    <col min="68" max="68" width="6.88671875" customWidth="1"/>
    <col min="69" max="69" width="22" customWidth="1"/>
    <col min="70" max="70" width="6.88671875" customWidth="1"/>
    <col min="71" max="71" width="22" style="546" customWidth="1"/>
    <col min="72" max="72" width="6.109375" customWidth="1"/>
    <col min="73" max="73" width="22" customWidth="1"/>
    <col min="74" max="74" width="6.109375" customWidth="1"/>
    <col min="75" max="75" width="22" customWidth="1"/>
    <col min="76" max="76" width="6.109375" customWidth="1"/>
    <col min="77" max="77" width="22" customWidth="1"/>
    <col min="78" max="78" width="6.109375" customWidth="1"/>
    <col min="79" max="79" width="22" customWidth="1"/>
    <col min="80" max="80" width="6.109375" customWidth="1"/>
    <col min="81" max="81" width="26.109375" customWidth="1"/>
    <col min="82" max="82" width="6.109375" customWidth="1"/>
    <col min="83" max="83" width="21.109375" customWidth="1"/>
    <col min="84" max="84" width="6.109375" customWidth="1"/>
    <col min="85" max="85" width="25.88671875" customWidth="1"/>
    <col min="86" max="86" width="6.109375" customWidth="1"/>
    <col min="87" max="87" width="25.88671875" customWidth="1"/>
    <col min="88" max="88" width="12.44140625" bestFit="1" customWidth="1"/>
    <col min="89" max="89" width="20.88671875" customWidth="1"/>
    <col min="90" max="90" width="12.109375" customWidth="1"/>
    <col min="91" max="91" width="20.88671875" customWidth="1"/>
    <col min="92" max="92" width="13.44140625" customWidth="1"/>
    <col min="93" max="93" width="20.88671875" customWidth="1"/>
    <col min="94" max="94" width="13.44140625" customWidth="1"/>
    <col min="95" max="95" width="19.109375" customWidth="1"/>
    <col min="96" max="96" width="11.109375" customWidth="1"/>
    <col min="97" max="97" width="19.109375" customWidth="1"/>
    <col min="98" max="98" width="9.88671875" customWidth="1"/>
    <col min="99" max="99" width="17.5546875" customWidth="1"/>
    <col min="100" max="100" width="5.5546875" customWidth="1"/>
    <col min="101" max="101" width="15.44140625" customWidth="1"/>
    <col min="102" max="102" width="5.5546875" customWidth="1"/>
    <col min="103" max="103" width="15.44140625" customWidth="1"/>
    <col min="104" max="104" width="4.5546875" customWidth="1"/>
    <col min="105" max="105" width="15.44140625" customWidth="1"/>
    <col min="106" max="106" width="4.5546875" customWidth="1"/>
    <col min="107" max="107" width="16.5546875" customWidth="1"/>
    <col min="108" max="108" width="4.5546875" customWidth="1"/>
    <col min="109" max="109" width="16.44140625" customWidth="1"/>
    <col min="110" max="110" width="4.5546875" customWidth="1"/>
    <col min="111" max="111" width="16.44140625" customWidth="1"/>
    <col min="112" max="112" width="4.5546875" customWidth="1"/>
    <col min="113" max="113" width="16.5546875" customWidth="1"/>
    <col min="114" max="114" width="4.5546875" customWidth="1"/>
    <col min="115" max="115" width="16.5546875" customWidth="1"/>
    <col min="116" max="116" width="4.5546875" customWidth="1"/>
    <col min="117" max="117" width="16.5546875" customWidth="1"/>
    <col min="118" max="118" width="4.5546875" customWidth="1"/>
    <col min="119" max="119" width="15.5546875" customWidth="1"/>
    <col min="120" max="120" width="4.5546875" customWidth="1"/>
    <col min="121" max="121" width="16.44140625" customWidth="1"/>
    <col min="122" max="122" width="4.5546875" customWidth="1"/>
    <col min="123" max="123" width="16.44140625" customWidth="1"/>
    <col min="124" max="124" width="4.5546875" customWidth="1"/>
    <col min="125" max="125" width="15.5546875" customWidth="1"/>
    <col min="126" max="126" width="4.5546875" customWidth="1"/>
    <col min="127" max="127" width="16.44140625" customWidth="1"/>
    <col min="128" max="128" width="4.5546875" customWidth="1"/>
    <col min="129" max="129" width="15.5546875" customWidth="1"/>
    <col min="130" max="130" width="4.5546875" customWidth="1"/>
    <col min="131" max="131" width="16.44140625" customWidth="1"/>
    <col min="132" max="132" width="4.5546875" customWidth="1"/>
    <col min="133" max="133" width="16" customWidth="1"/>
    <col min="134" max="134" width="4.5546875" customWidth="1"/>
    <col min="135" max="135" width="16.44140625" customWidth="1"/>
    <col min="136" max="136" width="4.5546875" customWidth="1"/>
    <col min="137" max="137" width="16" customWidth="1"/>
    <col min="138" max="138" width="4.5546875" customWidth="1"/>
    <col min="139" max="139" width="16.44140625" customWidth="1"/>
    <col min="140" max="140" width="4.5546875" customWidth="1"/>
    <col min="141" max="141" width="16.44140625" customWidth="1"/>
    <col min="142" max="142" width="4.5546875" customWidth="1"/>
    <col min="143" max="143" width="16.44140625" customWidth="1"/>
    <col min="144" max="144" width="4.5546875" customWidth="1"/>
    <col min="145" max="145" width="16.44140625" customWidth="1"/>
    <col min="146" max="146" width="4.5546875" customWidth="1"/>
    <col min="147" max="147" width="16.44140625" customWidth="1"/>
    <col min="148" max="148" width="4.5546875" customWidth="1"/>
    <col min="149" max="149" width="16.44140625" customWidth="1"/>
    <col min="150" max="150" width="4.5546875" customWidth="1"/>
    <col min="151" max="151" width="16" customWidth="1"/>
    <col min="152" max="152" width="4.5546875" customWidth="1"/>
    <col min="153" max="153" width="16.44140625" customWidth="1"/>
    <col min="154" max="154" width="4.5546875" customWidth="1"/>
    <col min="155" max="155" width="15.5546875" customWidth="1"/>
    <col min="156" max="156" width="4.5546875" customWidth="1"/>
    <col min="157" max="157" width="15.5546875" customWidth="1"/>
    <col min="158" max="158" width="4.5546875" customWidth="1"/>
    <col min="159" max="159" width="15.5546875" customWidth="1"/>
    <col min="160" max="160" width="4.5546875" customWidth="1"/>
    <col min="161" max="161" width="15.5546875" customWidth="1"/>
    <col min="162" max="162" width="4.5546875" customWidth="1"/>
    <col min="163" max="163" width="15.5546875" customWidth="1"/>
    <col min="164" max="164" width="4.5546875" customWidth="1"/>
    <col min="165" max="165" width="15.5546875" customWidth="1"/>
    <col min="166" max="166" width="4.5546875" customWidth="1"/>
    <col min="167" max="167" width="15.5546875" customWidth="1"/>
    <col min="168" max="168" width="4.5546875" customWidth="1"/>
    <col min="169" max="169" width="15.5546875" customWidth="1"/>
    <col min="170" max="170" width="4.5546875" customWidth="1"/>
    <col min="171" max="171" width="15.5546875" customWidth="1"/>
    <col min="172" max="172" width="4.5546875" customWidth="1"/>
    <col min="173" max="173" width="15.5546875" customWidth="1"/>
    <col min="174" max="174" width="4.5546875" customWidth="1"/>
    <col min="175" max="175" width="15.5546875" customWidth="1"/>
    <col min="176" max="176" width="4.5546875" customWidth="1"/>
    <col min="177" max="177" width="15.5546875" customWidth="1"/>
    <col min="178" max="178" width="4.5546875" customWidth="1"/>
    <col min="179" max="179" width="15.5546875" customWidth="1"/>
    <col min="180" max="180" width="4.5546875" customWidth="1"/>
    <col min="181" max="181" width="15.5546875" customWidth="1"/>
    <col min="182" max="182" width="4.5546875" customWidth="1"/>
    <col min="183" max="183" width="15.5546875" customWidth="1"/>
    <col min="184" max="184" width="4.5546875" customWidth="1"/>
    <col min="185" max="185" width="15.5546875" customWidth="1"/>
    <col min="186" max="186" width="4.5546875" customWidth="1"/>
    <col min="187" max="187" width="15.5546875" customWidth="1"/>
    <col min="188" max="188" width="4.5546875" customWidth="1"/>
    <col min="189" max="189" width="15.5546875" customWidth="1"/>
    <col min="190" max="190" width="5.44140625" customWidth="1"/>
    <col min="191" max="191" width="15.5546875" customWidth="1"/>
    <col min="192" max="192" width="5" customWidth="1"/>
    <col min="193" max="193" width="15.5546875" customWidth="1"/>
    <col min="194" max="194" width="5" customWidth="1"/>
    <col min="196" max="196" width="4.44140625" customWidth="1"/>
    <col min="197" max="197" width="15.5546875" customWidth="1"/>
    <col min="198" max="198" width="5.44140625" customWidth="1"/>
    <col min="199" max="199" width="15.5546875" customWidth="1"/>
    <col min="200" max="200" width="4.5546875" customWidth="1"/>
    <col min="201" max="201" width="25.5546875" customWidth="1"/>
    <col min="202" max="202" width="17.5546875" customWidth="1"/>
    <col min="203" max="207" width="9.44140625" customWidth="1"/>
    <col min="208" max="208" width="19.5546875" hidden="1" customWidth="1"/>
    <col min="209" max="209" width="10.5546875" hidden="1" customWidth="1"/>
  </cols>
  <sheetData>
    <row r="1" spans="1:199" ht="14.25" customHeight="1">
      <c r="A1" s="156" t="s">
        <v>251</v>
      </c>
      <c r="B1" s="228"/>
      <c r="C1" s="945"/>
      <c r="D1" s="410"/>
      <c r="E1" s="945"/>
      <c r="F1" s="410"/>
      <c r="G1" s="945"/>
      <c r="H1" s="410"/>
      <c r="I1" s="945"/>
      <c r="J1" s="410"/>
      <c r="K1" s="945"/>
      <c r="L1" s="410"/>
      <c r="M1" s="945"/>
      <c r="N1" s="410"/>
      <c r="O1" s="945"/>
      <c r="P1" s="410"/>
      <c r="Q1" s="945"/>
      <c r="R1" s="410"/>
      <c r="S1" s="945"/>
      <c r="T1" s="410"/>
      <c r="U1" s="945"/>
      <c r="V1" s="410"/>
      <c r="W1" s="1180"/>
      <c r="X1" s="410"/>
      <c r="Y1" s="945"/>
      <c r="Z1" s="410"/>
      <c r="AA1" s="945"/>
      <c r="AB1" s="410"/>
      <c r="AC1" s="945"/>
      <c r="AD1" s="410"/>
      <c r="AE1" s="945"/>
      <c r="AF1" s="410"/>
      <c r="AG1" s="945"/>
      <c r="AH1" s="410"/>
      <c r="AI1" s="945"/>
      <c r="AJ1" s="410"/>
      <c r="AK1" s="945"/>
      <c r="AL1" s="410"/>
      <c r="AM1" s="945"/>
      <c r="AN1" s="410"/>
      <c r="AO1" s="634"/>
      <c r="AP1" s="410"/>
      <c r="AQ1" s="634"/>
      <c r="AR1" s="410"/>
      <c r="AS1" s="634"/>
      <c r="AT1" s="410"/>
      <c r="AU1" s="1163"/>
      <c r="AV1" s="410"/>
      <c r="AW1" s="634"/>
      <c r="AX1" s="410"/>
      <c r="AY1" s="634"/>
      <c r="AZ1" s="410"/>
      <c r="BA1" s="634"/>
      <c r="BB1" s="410"/>
      <c r="BC1" s="634"/>
      <c r="BD1" s="410"/>
      <c r="BE1" s="634"/>
      <c r="BF1" s="410"/>
      <c r="BG1" s="827"/>
      <c r="BH1" s="410"/>
      <c r="BI1" s="634"/>
      <c r="BJ1" s="410"/>
      <c r="BK1" s="634"/>
      <c r="BL1" s="410"/>
      <c r="BM1" s="634"/>
      <c r="BN1" s="410"/>
      <c r="BO1" s="634"/>
      <c r="BP1" s="410"/>
      <c r="BQ1" s="634"/>
      <c r="BR1" s="410"/>
      <c r="BS1" s="1163"/>
      <c r="BT1" s="410"/>
      <c r="BU1" s="634"/>
      <c r="BV1" s="410"/>
      <c r="BW1" s="597"/>
      <c r="BX1" s="410"/>
      <c r="BY1" s="597"/>
      <c r="BZ1" s="410"/>
      <c r="CA1" s="166"/>
      <c r="CB1" s="410"/>
      <c r="CC1" s="166"/>
      <c r="CD1" s="410"/>
      <c r="CE1" s="166"/>
      <c r="CF1" s="410"/>
      <c r="CG1" s="166"/>
      <c r="CH1" s="410"/>
      <c r="CI1" s="166"/>
      <c r="CJ1" s="410"/>
      <c r="CK1" s="166"/>
      <c r="CL1" s="410"/>
      <c r="CM1" s="166"/>
      <c r="CN1" s="410"/>
      <c r="CO1" s="166"/>
      <c r="CP1" s="410"/>
      <c r="CQ1" s="157"/>
      <c r="CR1" s="410"/>
      <c r="CS1" s="157"/>
      <c r="CT1" s="157"/>
      <c r="CU1" s="157"/>
      <c r="CV1" s="157"/>
      <c r="CW1" s="157"/>
      <c r="CX1" s="157"/>
      <c r="CY1" s="157"/>
      <c r="CZ1" s="157"/>
      <c r="DA1" s="157"/>
      <c r="DB1" s="157"/>
      <c r="DC1" s="157"/>
      <c r="DD1" s="157"/>
      <c r="DE1" s="157"/>
      <c r="DF1" s="157"/>
      <c r="DG1" s="157"/>
      <c r="DH1" s="157"/>
      <c r="DI1" s="157"/>
      <c r="DJ1" s="157"/>
      <c r="DK1" s="157"/>
      <c r="DL1" s="157"/>
      <c r="DM1" s="157"/>
      <c r="DN1" s="157"/>
      <c r="DO1" s="157"/>
      <c r="DP1" s="157"/>
      <c r="DQ1" s="157"/>
      <c r="DR1" s="157"/>
      <c r="DS1" s="157"/>
      <c r="DT1" s="157"/>
      <c r="DU1" s="157"/>
      <c r="DV1" s="157"/>
      <c r="DW1" s="157"/>
      <c r="DX1" s="157"/>
      <c r="DY1" s="157"/>
      <c r="DZ1" s="157"/>
      <c r="EA1" s="157"/>
      <c r="EB1" s="157"/>
      <c r="EC1" s="157"/>
      <c r="ED1" s="157"/>
      <c r="EE1" s="157"/>
      <c r="EF1" s="157"/>
      <c r="EG1" s="157"/>
      <c r="EH1" s="157"/>
      <c r="EI1" s="157"/>
      <c r="EJ1" s="157"/>
      <c r="EK1" s="157"/>
      <c r="EL1" s="157"/>
      <c r="EM1" s="157"/>
      <c r="EN1" s="157"/>
      <c r="EO1" s="157"/>
      <c r="EP1" s="157"/>
      <c r="EQ1" s="157"/>
      <c r="ER1" s="157"/>
      <c r="ES1" s="157"/>
      <c r="ET1" s="157"/>
      <c r="EU1" s="157"/>
      <c r="EV1" s="157"/>
      <c r="EW1" s="157"/>
      <c r="EX1" s="157"/>
      <c r="EY1" s="157"/>
      <c r="EZ1" s="157"/>
      <c r="FA1" s="157"/>
      <c r="FB1" s="157"/>
      <c r="FC1" s="157"/>
      <c r="FD1" s="157"/>
      <c r="FE1" s="157"/>
      <c r="FF1" s="157"/>
      <c r="FG1" s="157"/>
      <c r="FH1" s="157"/>
      <c r="FI1" s="157"/>
      <c r="FJ1" s="157"/>
      <c r="FK1" s="157"/>
      <c r="FL1" s="157"/>
      <c r="FM1" s="157"/>
      <c r="FN1" s="157"/>
      <c r="FO1" s="157"/>
      <c r="FP1" s="157"/>
      <c r="FQ1" s="157"/>
      <c r="FR1" s="157"/>
      <c r="FS1" s="157"/>
      <c r="FT1" s="157"/>
      <c r="FU1" s="157"/>
      <c r="FV1" s="157"/>
      <c r="FW1" s="157"/>
      <c r="FX1" s="157"/>
      <c r="FY1" s="157"/>
      <c r="FZ1" s="157"/>
      <c r="GA1" s="157"/>
      <c r="GB1" s="157"/>
      <c r="GC1" s="157"/>
      <c r="GD1" s="157"/>
      <c r="GE1" s="157"/>
      <c r="GF1" s="157"/>
      <c r="GG1" s="157"/>
      <c r="GH1" s="157"/>
      <c r="GI1" s="157"/>
      <c r="GJ1" s="157"/>
      <c r="GK1" s="157"/>
      <c r="GL1" s="157"/>
      <c r="GM1" s="157"/>
      <c r="GN1" s="157"/>
      <c r="GO1" s="157"/>
      <c r="GP1" s="157"/>
      <c r="GQ1" s="157"/>
    </row>
    <row r="2" spans="1:199" s="613" customFormat="1" ht="14.25" customHeight="1" thickBot="1">
      <c r="A2" s="612"/>
      <c r="B2" s="572"/>
      <c r="C2" s="79">
        <v>46022</v>
      </c>
      <c r="D2" s="1060"/>
      <c r="E2" s="79">
        <v>45991</v>
      </c>
      <c r="F2" s="1060"/>
      <c r="G2" s="79">
        <v>45961</v>
      </c>
      <c r="H2" s="1060"/>
      <c r="I2" s="79">
        <v>45930</v>
      </c>
      <c r="J2" s="1060"/>
      <c r="K2" s="79">
        <v>45900</v>
      </c>
      <c r="L2" s="1060"/>
      <c r="M2" s="79">
        <v>45869</v>
      </c>
      <c r="N2" s="830"/>
      <c r="O2" s="79">
        <v>45838</v>
      </c>
      <c r="P2" s="830"/>
      <c r="Q2" s="79">
        <v>45808</v>
      </c>
      <c r="R2" s="830"/>
      <c r="S2" s="79">
        <v>45777</v>
      </c>
      <c r="T2" s="830"/>
      <c r="U2" s="79">
        <v>45747</v>
      </c>
      <c r="V2" s="830"/>
      <c r="W2" s="79">
        <v>45716</v>
      </c>
      <c r="X2" s="606"/>
      <c r="Y2" s="79">
        <v>45688</v>
      </c>
      <c r="Z2" s="415"/>
      <c r="AA2" s="79">
        <v>45657</v>
      </c>
      <c r="AB2" s="415"/>
      <c r="AC2" s="79">
        <v>45626</v>
      </c>
      <c r="AD2" s="415"/>
      <c r="AE2" s="79">
        <v>45596</v>
      </c>
      <c r="AF2" s="415"/>
      <c r="AG2" s="79">
        <v>45565</v>
      </c>
      <c r="AH2" s="415"/>
      <c r="AI2" s="79">
        <v>45535</v>
      </c>
      <c r="AJ2" s="415"/>
      <c r="AK2" s="79">
        <v>45504</v>
      </c>
      <c r="AL2" s="415"/>
      <c r="AM2" s="79">
        <v>45473</v>
      </c>
      <c r="AN2" s="415"/>
      <c r="AO2" s="79">
        <v>45443</v>
      </c>
      <c r="AP2" s="415"/>
      <c r="AQ2" s="79">
        <v>45412</v>
      </c>
      <c r="AR2" s="415"/>
      <c r="AS2" s="79">
        <v>45382</v>
      </c>
      <c r="AT2" s="415"/>
      <c r="AU2" s="1164">
        <v>45351</v>
      </c>
      <c r="AV2" s="415"/>
      <c r="AW2" s="79">
        <v>45322</v>
      </c>
      <c r="AX2" s="415"/>
      <c r="AY2" s="79">
        <v>45291</v>
      </c>
      <c r="AZ2" s="415"/>
      <c r="BA2" s="79">
        <v>45260</v>
      </c>
      <c r="BB2" s="415"/>
      <c r="BC2" s="79">
        <v>45230</v>
      </c>
      <c r="BD2" s="415"/>
      <c r="BE2" s="79">
        <v>45199</v>
      </c>
      <c r="BF2" s="415"/>
      <c r="BG2" s="79">
        <v>45169</v>
      </c>
      <c r="BH2" s="415"/>
      <c r="BI2" s="79">
        <v>45138</v>
      </c>
      <c r="BJ2" s="415"/>
      <c r="BK2" s="79">
        <v>45107</v>
      </c>
      <c r="BL2" s="415"/>
      <c r="BM2" s="79">
        <v>45077</v>
      </c>
      <c r="BN2" s="415"/>
      <c r="BO2" s="79">
        <v>45046</v>
      </c>
      <c r="BP2" s="415"/>
      <c r="BQ2" s="79">
        <v>45016</v>
      </c>
      <c r="BR2" s="415"/>
      <c r="BS2" s="1164">
        <v>44985</v>
      </c>
      <c r="BT2" s="415"/>
      <c r="BU2" s="79">
        <v>44957</v>
      </c>
      <c r="BV2" s="415"/>
      <c r="BW2" s="159">
        <v>44926</v>
      </c>
      <c r="BX2" s="415"/>
      <c r="BY2" s="159">
        <v>44895</v>
      </c>
      <c r="BZ2" s="582"/>
      <c r="CA2" s="159">
        <v>44865</v>
      </c>
      <c r="CB2" s="582"/>
      <c r="CC2" s="159">
        <v>44834</v>
      </c>
      <c r="CD2" s="582"/>
      <c r="CE2" s="159">
        <v>44804</v>
      </c>
      <c r="CF2" s="582"/>
      <c r="CG2" s="159">
        <v>44773</v>
      </c>
      <c r="CH2" s="582"/>
      <c r="CI2" s="159">
        <v>44742</v>
      </c>
      <c r="CJ2" s="582"/>
      <c r="CK2" s="159">
        <v>44712</v>
      </c>
      <c r="CL2" s="582"/>
      <c r="CM2" s="159">
        <v>44681</v>
      </c>
      <c r="CN2" s="582"/>
      <c r="CO2" s="159">
        <v>44651</v>
      </c>
      <c r="CP2" s="582"/>
      <c r="CQ2" s="159">
        <v>44620</v>
      </c>
      <c r="CR2" s="582"/>
      <c r="CS2" s="159" t="s">
        <v>252</v>
      </c>
      <c r="CT2" s="572"/>
      <c r="CU2" s="159" t="s">
        <v>253</v>
      </c>
      <c r="CV2" s="572"/>
      <c r="CW2" s="159" t="s">
        <v>254</v>
      </c>
      <c r="CX2" s="572"/>
      <c r="CY2" s="159" t="s">
        <v>255</v>
      </c>
      <c r="CZ2" s="572"/>
      <c r="DA2" s="159" t="s">
        <v>256</v>
      </c>
      <c r="DB2" s="572"/>
      <c r="DC2" s="159" t="s">
        <v>257</v>
      </c>
      <c r="DD2" s="572"/>
      <c r="DE2" s="159" t="s">
        <v>258</v>
      </c>
      <c r="DF2" s="572"/>
      <c r="DG2" s="159" t="s">
        <v>259</v>
      </c>
      <c r="DH2" s="572"/>
      <c r="DI2" s="159" t="s">
        <v>260</v>
      </c>
      <c r="DJ2" s="572"/>
      <c r="DK2" s="159" t="s">
        <v>261</v>
      </c>
      <c r="DL2" s="572"/>
      <c r="DM2" s="159" t="s">
        <v>262</v>
      </c>
      <c r="DN2" s="572"/>
      <c r="DO2" s="159" t="s">
        <v>263</v>
      </c>
      <c r="DP2" s="572"/>
      <c r="DQ2" s="159" t="s">
        <v>264</v>
      </c>
      <c r="DR2" s="572"/>
      <c r="DS2" s="159" t="s">
        <v>265</v>
      </c>
      <c r="DT2" s="572"/>
      <c r="DU2" s="159" t="s">
        <v>266</v>
      </c>
      <c r="DV2" s="572"/>
      <c r="DW2" s="159" t="s">
        <v>267</v>
      </c>
      <c r="DX2" s="572"/>
      <c r="DY2" s="159" t="s">
        <v>268</v>
      </c>
      <c r="DZ2" s="572"/>
      <c r="EA2" s="159" t="s">
        <v>269</v>
      </c>
      <c r="EB2" s="572"/>
      <c r="EC2" s="159" t="s">
        <v>270</v>
      </c>
      <c r="ED2" s="572"/>
      <c r="EE2" s="159" t="s">
        <v>271</v>
      </c>
      <c r="EF2" s="572"/>
      <c r="EG2" s="159" t="s">
        <v>272</v>
      </c>
      <c r="EH2" s="572"/>
      <c r="EI2" s="159" t="s">
        <v>273</v>
      </c>
      <c r="EJ2" s="572"/>
      <c r="EK2" s="159" t="s">
        <v>274</v>
      </c>
      <c r="EL2" s="572"/>
      <c r="EM2" s="159" t="s">
        <v>275</v>
      </c>
      <c r="EN2" s="572"/>
      <c r="EO2" s="159" t="s">
        <v>276</v>
      </c>
      <c r="EP2" s="572"/>
      <c r="EQ2" s="159" t="s">
        <v>277</v>
      </c>
      <c r="ER2" s="572"/>
      <c r="ES2" s="159" t="s">
        <v>278</v>
      </c>
      <c r="ET2" s="572"/>
      <c r="EU2" s="159" t="s">
        <v>279</v>
      </c>
      <c r="EV2" s="572"/>
      <c r="EW2" s="159" t="s">
        <v>280</v>
      </c>
      <c r="EX2" s="572"/>
      <c r="EY2" s="159" t="s">
        <v>281</v>
      </c>
      <c r="EZ2" s="572"/>
      <c r="FA2" s="159" t="s">
        <v>282</v>
      </c>
      <c r="FB2" s="572"/>
      <c r="FC2" s="159" t="s">
        <v>283</v>
      </c>
      <c r="FD2" s="572"/>
      <c r="FE2" s="159" t="s">
        <v>284</v>
      </c>
      <c r="FF2" s="572"/>
      <c r="FG2" s="159" t="s">
        <v>285</v>
      </c>
      <c r="FH2" s="572"/>
      <c r="FI2" s="159" t="s">
        <v>286</v>
      </c>
      <c r="FJ2" s="572"/>
      <c r="FK2" s="159" t="s">
        <v>287</v>
      </c>
      <c r="FL2" s="572"/>
      <c r="FM2" s="159" t="s">
        <v>288</v>
      </c>
      <c r="FN2" s="572"/>
      <c r="FO2" s="159" t="s">
        <v>289</v>
      </c>
      <c r="FP2" s="572"/>
      <c r="FQ2" s="159" t="s">
        <v>290</v>
      </c>
      <c r="FR2" s="572"/>
      <c r="FS2" s="159" t="s">
        <v>291</v>
      </c>
      <c r="FT2" s="572"/>
      <c r="FU2" s="159" t="s">
        <v>292</v>
      </c>
      <c r="FV2" s="572"/>
      <c r="FW2" s="159" t="s">
        <v>293</v>
      </c>
      <c r="FX2" s="572"/>
      <c r="FY2" s="160">
        <v>43312</v>
      </c>
      <c r="FZ2" s="572"/>
      <c r="GA2" s="160" t="s">
        <v>294</v>
      </c>
      <c r="GB2" s="572"/>
      <c r="GC2" s="160" t="s">
        <v>295</v>
      </c>
      <c r="GD2" s="572"/>
      <c r="GE2" s="161">
        <v>43220</v>
      </c>
      <c r="GF2" s="572"/>
      <c r="GG2" s="161">
        <v>43190</v>
      </c>
      <c r="GH2" s="161"/>
      <c r="GI2" s="160">
        <v>43159</v>
      </c>
      <c r="GJ2" s="160"/>
      <c r="GK2" s="160">
        <v>43131</v>
      </c>
      <c r="GL2" s="160"/>
      <c r="GM2" s="160">
        <v>43100</v>
      </c>
      <c r="GN2" s="160"/>
      <c r="GO2" s="160">
        <v>43069</v>
      </c>
      <c r="GP2" s="160"/>
      <c r="GQ2" s="160">
        <v>43039</v>
      </c>
    </row>
    <row r="3" spans="1:199" ht="14.25" customHeight="1" thickBot="1">
      <c r="A3" s="163">
        <v>1.1000000000000001</v>
      </c>
      <c r="B3" s="164" t="s">
        <v>296</v>
      </c>
      <c r="C3" s="635"/>
      <c r="D3" s="411"/>
      <c r="E3" s="635"/>
      <c r="F3" s="411"/>
      <c r="G3" s="635"/>
      <c r="H3" s="411"/>
      <c r="I3" s="635"/>
      <c r="J3" s="411"/>
      <c r="K3" s="635"/>
      <c r="L3" s="411"/>
      <c r="M3" s="635"/>
      <c r="N3" s="411"/>
      <c r="O3" s="635"/>
      <c r="P3" s="411"/>
      <c r="Q3" s="635"/>
      <c r="R3" s="411"/>
      <c r="S3" s="635"/>
      <c r="T3" s="411"/>
      <c r="U3" s="635"/>
      <c r="V3" s="411"/>
      <c r="W3" s="1165"/>
      <c r="X3" s="411"/>
      <c r="Y3" s="635"/>
      <c r="Z3" s="411"/>
      <c r="AA3" s="635"/>
      <c r="AB3" s="411"/>
      <c r="AC3" s="635"/>
      <c r="AD3" s="411"/>
      <c r="AE3" s="635"/>
      <c r="AF3" s="411"/>
      <c r="AG3" s="635"/>
      <c r="AH3" s="411"/>
      <c r="AI3" s="635"/>
      <c r="AJ3" s="411"/>
      <c r="AK3" s="635"/>
      <c r="AL3" s="411"/>
      <c r="AM3" s="635"/>
      <c r="AN3" s="411"/>
      <c r="AO3" s="635"/>
      <c r="AP3" s="411"/>
      <c r="AQ3" s="635"/>
      <c r="AR3" s="411"/>
      <c r="AS3" s="635"/>
      <c r="AT3" s="411"/>
      <c r="AU3" s="1165"/>
      <c r="AV3" s="411"/>
      <c r="AW3" s="635"/>
      <c r="AX3" s="411"/>
      <c r="AY3" s="635"/>
      <c r="AZ3" s="411"/>
      <c r="BA3" s="635"/>
      <c r="BB3" s="411"/>
      <c r="BC3" s="635"/>
      <c r="BD3" s="411"/>
      <c r="BE3" s="635"/>
      <c r="BF3" s="411"/>
      <c r="BG3" s="828"/>
      <c r="BH3" s="411"/>
      <c r="BI3" s="635"/>
      <c r="BJ3" s="411"/>
      <c r="BK3" s="635"/>
      <c r="BL3" s="411"/>
      <c r="BM3" s="635"/>
      <c r="BN3" s="411"/>
      <c r="BO3" s="635"/>
      <c r="BP3" s="411"/>
      <c r="BQ3" s="635"/>
      <c r="BR3" s="411"/>
      <c r="BS3" s="1165"/>
      <c r="BT3" s="411"/>
      <c r="BU3" s="635"/>
      <c r="BV3" s="411"/>
      <c r="BW3" s="432"/>
      <c r="BX3" s="411"/>
      <c r="BY3" s="432"/>
      <c r="BZ3" s="411"/>
      <c r="CA3" s="432"/>
      <c r="CB3" s="411"/>
      <c r="CC3" s="432"/>
      <c r="CD3" s="411"/>
      <c r="CE3" s="432"/>
      <c r="CF3" s="411"/>
      <c r="CG3" s="432"/>
      <c r="CH3" s="411"/>
      <c r="CI3" s="432"/>
      <c r="CJ3" s="411"/>
      <c r="CK3" s="432"/>
      <c r="CL3" s="411"/>
      <c r="CM3" s="432"/>
      <c r="CN3" s="411"/>
      <c r="CO3" s="432"/>
      <c r="CP3" s="411"/>
      <c r="CQ3" s="432"/>
      <c r="CR3" s="411"/>
      <c r="CS3" s="164"/>
      <c r="CT3" s="164"/>
      <c r="CU3" s="164"/>
      <c r="CV3" s="164"/>
      <c r="CW3" s="164"/>
      <c r="CX3" s="164"/>
      <c r="CY3" s="164"/>
      <c r="CZ3" s="164"/>
      <c r="DA3" s="164"/>
      <c r="DB3" s="164"/>
      <c r="DC3" s="164"/>
      <c r="DD3" s="164"/>
      <c r="DE3" s="164"/>
      <c r="DF3" s="164"/>
      <c r="DG3" s="164"/>
      <c r="DH3" s="164"/>
      <c r="DI3" s="164"/>
      <c r="DJ3" s="164"/>
      <c r="DK3" s="164"/>
      <c r="DL3" s="164"/>
      <c r="DM3" s="164"/>
      <c r="DN3" s="164"/>
      <c r="DO3" s="164"/>
      <c r="DP3" s="164"/>
      <c r="DQ3" s="164"/>
      <c r="DR3" s="164"/>
      <c r="DS3" s="164"/>
      <c r="DT3" s="164"/>
      <c r="DU3" s="164"/>
      <c r="DV3" s="164"/>
      <c r="DW3" s="164"/>
      <c r="DX3" s="164"/>
      <c r="DY3" s="164"/>
      <c r="DZ3" s="164"/>
      <c r="EA3" s="164"/>
      <c r="EB3" s="164"/>
      <c r="EC3" s="164"/>
      <c r="ED3" s="164"/>
      <c r="EE3" s="164"/>
      <c r="EF3" s="164"/>
      <c r="EG3" s="164"/>
      <c r="EH3" s="164"/>
      <c r="EI3" s="164"/>
      <c r="EJ3" s="164"/>
      <c r="EK3" s="164"/>
      <c r="EL3" s="164"/>
      <c r="EM3" s="164"/>
      <c r="EN3" s="164"/>
      <c r="EO3" s="164"/>
      <c r="EP3" s="164"/>
      <c r="EQ3" s="164"/>
      <c r="ER3" s="164"/>
      <c r="ES3" s="164"/>
      <c r="ET3" s="164"/>
      <c r="EU3" s="164"/>
      <c r="EV3" s="164"/>
      <c r="EW3" s="164"/>
      <c r="EX3" s="164"/>
      <c r="EY3" s="164"/>
      <c r="EZ3" s="164"/>
      <c r="FA3" s="164"/>
      <c r="FB3" s="164"/>
      <c r="FC3" s="164"/>
      <c r="FD3" s="164"/>
      <c r="FE3" s="164"/>
      <c r="FF3" s="164"/>
      <c r="FG3" s="164"/>
      <c r="FH3" s="164"/>
      <c r="FI3" s="164"/>
      <c r="FJ3" s="164"/>
      <c r="FK3" s="164"/>
      <c r="FL3" s="164"/>
      <c r="FM3" s="164"/>
      <c r="FN3" s="164"/>
      <c r="FO3" s="164"/>
      <c r="FP3" s="164"/>
      <c r="FQ3" s="164"/>
      <c r="FR3" s="164"/>
      <c r="FS3" s="164"/>
      <c r="FT3" s="164"/>
      <c r="FU3" s="164"/>
      <c r="FV3" s="164"/>
      <c r="FW3" s="164"/>
      <c r="FX3" s="164"/>
      <c r="FY3" s="164"/>
      <c r="FZ3" s="164"/>
      <c r="GA3" s="164"/>
      <c r="GB3" s="164"/>
      <c r="GC3" s="164"/>
      <c r="GD3" s="164"/>
      <c r="GE3" s="164"/>
      <c r="GF3" s="164"/>
      <c r="GG3" s="164"/>
      <c r="GH3" s="164"/>
      <c r="GI3" s="164"/>
      <c r="GJ3" s="164"/>
      <c r="GK3" s="164"/>
      <c r="GL3" s="164"/>
      <c r="GM3" s="164"/>
      <c r="GN3" s="164"/>
      <c r="GO3" s="164"/>
      <c r="GP3" s="164"/>
      <c r="GQ3" s="164"/>
    </row>
    <row r="4" spans="1:199" ht="14.25" customHeight="1">
      <c r="A4" s="158"/>
      <c r="B4" s="157" t="s">
        <v>297</v>
      </c>
      <c r="C4" s="984">
        <v>2263388075.8400002</v>
      </c>
      <c r="D4" s="448"/>
      <c r="E4" s="984">
        <v>2297032111.6199999</v>
      </c>
      <c r="F4" s="448"/>
      <c r="G4" s="984">
        <v>2206014385.9299998</v>
      </c>
      <c r="H4" s="448"/>
      <c r="I4" s="984">
        <v>2198561418.79</v>
      </c>
      <c r="J4" s="448"/>
      <c r="K4" s="984">
        <v>2195887723.3800001</v>
      </c>
      <c r="L4" s="448"/>
      <c r="M4" s="984">
        <v>2207635464.0599999</v>
      </c>
      <c r="N4" s="448"/>
      <c r="O4" s="984">
        <v>2188727795.02</v>
      </c>
      <c r="P4" s="448"/>
      <c r="Q4" s="984">
        <v>2209664115.6999998</v>
      </c>
      <c r="R4" s="448"/>
      <c r="S4" s="984">
        <v>2208043635.3000002</v>
      </c>
      <c r="T4" s="448"/>
      <c r="U4" s="984">
        <v>2223652014.6900001</v>
      </c>
      <c r="V4" s="448"/>
      <c r="W4" s="984">
        <v>2279220279.75</v>
      </c>
      <c r="X4" s="448"/>
      <c r="Y4" s="984">
        <v>2199937670.3200002</v>
      </c>
      <c r="Z4" s="448"/>
      <c r="AA4" s="984">
        <v>2193446206</v>
      </c>
      <c r="AB4" s="448"/>
      <c r="AC4" s="984">
        <v>2247611858.48</v>
      </c>
      <c r="AD4" s="448"/>
      <c r="AE4" s="535">
        <v>2213588147.3600001</v>
      </c>
      <c r="AF4" s="448"/>
      <c r="AG4" s="535">
        <v>2146052598.1600001</v>
      </c>
      <c r="AH4" s="448"/>
      <c r="AI4" s="535">
        <v>2093177176.8299999</v>
      </c>
      <c r="AJ4" s="448"/>
      <c r="AK4" s="535">
        <v>2049086209.1099999</v>
      </c>
      <c r="AL4" s="448"/>
      <c r="AM4" s="535">
        <v>1974616538.29</v>
      </c>
      <c r="AN4" s="448"/>
      <c r="AO4" s="535">
        <v>1910010355.1300001</v>
      </c>
      <c r="AP4" s="448"/>
      <c r="AQ4" s="535">
        <v>1854294122.05</v>
      </c>
      <c r="AR4" s="448"/>
      <c r="AS4" s="535">
        <v>1801841321.99</v>
      </c>
      <c r="AT4" s="448"/>
      <c r="AU4" s="984">
        <v>1773474304.8599999</v>
      </c>
      <c r="AV4" s="410"/>
      <c r="AW4" s="535">
        <v>1582378137.6800001</v>
      </c>
      <c r="AX4" s="410"/>
      <c r="AY4" s="535">
        <v>1475984375.6700001</v>
      </c>
      <c r="AZ4" s="410"/>
      <c r="BA4" s="535">
        <v>1425286965.5599999</v>
      </c>
      <c r="BB4" s="410"/>
      <c r="BC4" s="535">
        <v>1301315295.2</v>
      </c>
      <c r="BD4" s="410"/>
      <c r="BE4" s="535">
        <v>1227953572.54</v>
      </c>
      <c r="BF4" s="410"/>
      <c r="BG4" s="759">
        <v>1167526737.6600001</v>
      </c>
      <c r="BH4" s="410"/>
      <c r="BI4" s="535">
        <v>1076804076.4400001</v>
      </c>
      <c r="BJ4" s="410"/>
      <c r="BK4" s="535">
        <v>1024412677.52</v>
      </c>
      <c r="BL4" s="410"/>
      <c r="BM4" s="535">
        <v>965085177.80999994</v>
      </c>
      <c r="BN4" s="410"/>
      <c r="BO4" s="535">
        <v>910601789.17999995</v>
      </c>
      <c r="BP4" s="410"/>
      <c r="BQ4" s="535">
        <v>868298876.19000006</v>
      </c>
      <c r="BR4" s="410"/>
      <c r="BS4" s="984">
        <v>810450219.86000001</v>
      </c>
      <c r="BT4" s="410"/>
      <c r="BU4" s="535">
        <v>761496925.38</v>
      </c>
      <c r="BV4" s="410"/>
      <c r="BW4" s="166">
        <v>727249991.22000003</v>
      </c>
      <c r="BX4" s="410"/>
      <c r="BY4" s="166">
        <v>741139459.63999999</v>
      </c>
      <c r="BZ4" s="410"/>
      <c r="CA4" s="166">
        <v>673990131.95000005</v>
      </c>
      <c r="CB4" s="410"/>
      <c r="CC4" s="166">
        <v>661138908.77999997</v>
      </c>
      <c r="CD4" s="410"/>
      <c r="CE4" s="166">
        <v>624658007.64999998</v>
      </c>
      <c r="CF4" s="410"/>
      <c r="CG4" s="166">
        <v>600132454</v>
      </c>
      <c r="CH4" s="410"/>
      <c r="CI4" s="166">
        <v>577901017.04999995</v>
      </c>
      <c r="CJ4" s="410"/>
      <c r="CK4" s="166">
        <v>543265297.41999996</v>
      </c>
      <c r="CL4" s="410"/>
      <c r="CM4" s="166">
        <v>514114804.45999998</v>
      </c>
      <c r="CN4" s="410"/>
      <c r="CO4" s="166">
        <v>498569329.94</v>
      </c>
      <c r="CP4" s="410"/>
      <c r="CQ4" s="166">
        <v>480124848.67000002</v>
      </c>
      <c r="CR4" s="410"/>
      <c r="CS4" s="166">
        <v>441776224.29000002</v>
      </c>
      <c r="CT4" s="157"/>
      <c r="CU4" s="166">
        <v>430016785.01999998</v>
      </c>
      <c r="CV4" s="157"/>
      <c r="CW4" s="166">
        <v>433497651</v>
      </c>
      <c r="CX4" s="157"/>
      <c r="CY4" s="166">
        <v>395597976.19999999</v>
      </c>
      <c r="CZ4" s="157"/>
      <c r="DA4" s="166">
        <v>367951190.14999998</v>
      </c>
      <c r="DB4" s="157"/>
      <c r="DC4" s="166">
        <v>339759494.81999999</v>
      </c>
      <c r="DD4" s="157"/>
      <c r="DE4" s="166">
        <v>307627304.88999999</v>
      </c>
      <c r="DF4" s="157"/>
      <c r="DG4" s="166">
        <v>297363805.44</v>
      </c>
      <c r="DH4" s="157"/>
      <c r="DI4" s="166">
        <v>285863959.48000002</v>
      </c>
      <c r="DJ4" s="157"/>
      <c r="DK4" s="166">
        <v>259749497.59999999</v>
      </c>
      <c r="DL4" s="157"/>
      <c r="DM4" s="166">
        <v>252892648.91</v>
      </c>
      <c r="DN4" s="157"/>
      <c r="DO4" s="166">
        <v>226889858.53999999</v>
      </c>
      <c r="DP4" s="157"/>
      <c r="DQ4" s="166">
        <v>208248846.97999999</v>
      </c>
      <c r="DR4" s="157"/>
      <c r="DS4" s="166">
        <v>200954656.59999999</v>
      </c>
      <c r="DT4" s="157"/>
      <c r="DU4" s="166">
        <v>202012221.15000001</v>
      </c>
      <c r="DV4" s="157"/>
      <c r="DW4" s="166">
        <v>179648228.02000001</v>
      </c>
      <c r="DX4" s="157"/>
      <c r="DY4" s="166">
        <v>167999158.34999999</v>
      </c>
      <c r="DZ4" s="157"/>
      <c r="EA4" s="166">
        <v>162802790.22</v>
      </c>
      <c r="EB4" s="157"/>
      <c r="EC4" s="166">
        <v>158721666.74000001</v>
      </c>
      <c r="ED4" s="157"/>
      <c r="EE4" s="166">
        <v>163900377.02000001</v>
      </c>
      <c r="EF4" s="157"/>
      <c r="EG4" s="167">
        <v>164054801.13999999</v>
      </c>
      <c r="EH4" s="157"/>
      <c r="EI4" s="167">
        <v>165042700.53</v>
      </c>
      <c r="EJ4" s="157"/>
      <c r="EK4" s="167">
        <v>178348940.81</v>
      </c>
      <c r="EL4" s="157"/>
      <c r="EM4" s="167">
        <v>184927315.90000001</v>
      </c>
      <c r="EN4" s="157"/>
      <c r="EO4" s="167">
        <v>163347012.50999999</v>
      </c>
      <c r="EP4" s="157"/>
      <c r="EQ4" s="166">
        <v>155969408.37</v>
      </c>
      <c r="ER4" s="157"/>
      <c r="ES4" s="166">
        <v>148436862.47999999</v>
      </c>
      <c r="ET4" s="157"/>
      <c r="EU4" s="166">
        <v>123923987.36</v>
      </c>
      <c r="EV4" s="157"/>
      <c r="EW4" s="166">
        <v>111830648.73</v>
      </c>
      <c r="EX4" s="157"/>
      <c r="EY4" s="166">
        <v>99816089.459999993</v>
      </c>
      <c r="EZ4" s="157"/>
      <c r="FA4" s="166">
        <v>91371626.689999998</v>
      </c>
      <c r="FB4" s="157"/>
      <c r="FC4" s="166">
        <v>83057221.140000001</v>
      </c>
      <c r="FD4" s="157"/>
      <c r="FE4" s="166">
        <v>79325557.329999998</v>
      </c>
      <c r="FF4" s="157"/>
      <c r="FG4" s="166">
        <v>70810855.140000001</v>
      </c>
      <c r="FH4" s="157"/>
      <c r="FI4" s="166">
        <v>67805014</v>
      </c>
      <c r="FJ4" s="157"/>
      <c r="FK4" s="166">
        <v>67830177.409999996</v>
      </c>
      <c r="FL4" s="157"/>
      <c r="FM4" s="166">
        <v>60406269.880000003</v>
      </c>
      <c r="FN4" s="157"/>
      <c r="FO4" s="166">
        <v>54664465.189999998</v>
      </c>
      <c r="FP4" s="157"/>
      <c r="FQ4" s="166">
        <v>53179011.590000004</v>
      </c>
      <c r="FR4" s="157"/>
      <c r="FS4" s="166">
        <v>46720862.140000001</v>
      </c>
      <c r="FT4" s="157"/>
      <c r="FU4" s="166">
        <v>40006089.039999999</v>
      </c>
      <c r="FV4" s="157"/>
      <c r="FW4" s="166">
        <v>37163313.57</v>
      </c>
      <c r="FX4" s="157"/>
      <c r="FY4" s="166">
        <v>32991011.109999999</v>
      </c>
      <c r="FZ4" s="157"/>
      <c r="GA4" s="166">
        <v>29027485.920000002</v>
      </c>
      <c r="GB4" s="157"/>
      <c r="GC4" s="166">
        <v>28479239.760000002</v>
      </c>
      <c r="GD4" s="157"/>
      <c r="GE4" s="166">
        <v>25217527.530000001</v>
      </c>
      <c r="GF4" s="157"/>
      <c r="GG4" s="166">
        <v>23950713.940000005</v>
      </c>
      <c r="GH4" s="166"/>
      <c r="GI4" s="166">
        <v>23514632.719999999</v>
      </c>
      <c r="GJ4" s="166"/>
      <c r="GK4" s="166">
        <v>21039483.670000002</v>
      </c>
      <c r="GL4" s="166"/>
      <c r="GM4" s="166">
        <v>19955956.149999999</v>
      </c>
      <c r="GN4" s="166"/>
      <c r="GO4" s="166">
        <v>19202645.260000002</v>
      </c>
      <c r="GP4" s="166"/>
      <c r="GQ4" s="166">
        <v>17382993.98</v>
      </c>
    </row>
    <row r="5" spans="1:199" ht="14.25" customHeight="1">
      <c r="A5" s="941"/>
      <c r="B5" s="157" t="s">
        <v>298</v>
      </c>
      <c r="C5" s="984">
        <v>-476147519.72000003</v>
      </c>
      <c r="D5" s="448"/>
      <c r="E5" s="984">
        <v>-459575740.17000002</v>
      </c>
      <c r="F5" s="448"/>
      <c r="G5" s="984">
        <v>-439704624.17000002</v>
      </c>
      <c r="H5" s="448"/>
      <c r="I5" s="984">
        <v>-395876820.17000002</v>
      </c>
      <c r="J5" s="448"/>
      <c r="K5" s="984">
        <v>-379594292.17000002</v>
      </c>
      <c r="L5" s="448"/>
      <c r="M5" s="984">
        <v>-360021347.17000002</v>
      </c>
      <c r="N5" s="448"/>
      <c r="O5" s="984">
        <v>-347569098.17000002</v>
      </c>
      <c r="P5" s="448"/>
      <c r="Q5" s="984">
        <v>-326567322.17000002</v>
      </c>
      <c r="R5" s="448"/>
      <c r="S5" s="984">
        <v>-316082582</v>
      </c>
      <c r="T5" s="448"/>
      <c r="U5" s="984">
        <v>-230601575.16999999</v>
      </c>
      <c r="V5" s="448"/>
      <c r="W5" s="984">
        <v>-224577559.16999999</v>
      </c>
      <c r="X5" s="448"/>
      <c r="Y5" s="984">
        <v>-211247559.16999999</v>
      </c>
      <c r="Z5" s="448"/>
      <c r="AA5" s="984">
        <v>-206111803</v>
      </c>
      <c r="AB5" s="448"/>
      <c r="AC5" s="984">
        <v>-201235385.16999999</v>
      </c>
      <c r="AD5" s="448"/>
      <c r="AE5" s="535">
        <v>-194601503.16999999</v>
      </c>
      <c r="AF5" s="448"/>
      <c r="AG5" s="535">
        <v>-187026203.16999999</v>
      </c>
      <c r="AH5" s="448"/>
      <c r="AI5" s="535">
        <v>-177766558.44999999</v>
      </c>
      <c r="AJ5" s="448"/>
      <c r="AK5" s="535">
        <v>-168597470.88</v>
      </c>
      <c r="AL5" s="448"/>
      <c r="AM5" s="535">
        <v>-159872863.25</v>
      </c>
      <c r="AN5" s="448"/>
      <c r="AO5" s="535">
        <v>-151348879.71000001</v>
      </c>
      <c r="AP5" s="448"/>
      <c r="AQ5" s="535">
        <v>-143674070.91999999</v>
      </c>
      <c r="AR5" s="448"/>
      <c r="AS5" s="535">
        <v>-136142682.91999999</v>
      </c>
      <c r="AT5" s="448"/>
      <c r="AU5" s="984">
        <v>-128694106.26000001</v>
      </c>
      <c r="AV5" s="448"/>
      <c r="AW5" s="535">
        <v>-115300028.13</v>
      </c>
      <c r="AX5" s="448"/>
      <c r="AY5" s="535">
        <v>-109231759.72</v>
      </c>
      <c r="AZ5" s="448"/>
      <c r="BA5" s="535">
        <v>-103534500.81</v>
      </c>
      <c r="BB5" s="448"/>
      <c r="BC5" s="535">
        <v>-98165030.150000006</v>
      </c>
      <c r="BD5" s="448"/>
      <c r="BE5" s="535">
        <v>-92467871.150000006</v>
      </c>
      <c r="BF5" s="448"/>
      <c r="BG5" s="759">
        <v>-87438797.150000006</v>
      </c>
      <c r="BH5" s="448"/>
      <c r="BI5" s="535">
        <v>-81562060.150000006</v>
      </c>
      <c r="BJ5" s="448"/>
      <c r="BK5" s="535">
        <v>-77973980.150000006</v>
      </c>
      <c r="BL5" s="448"/>
      <c r="BM5" s="535">
        <v>-74339191.150000006</v>
      </c>
      <c r="BN5" s="448"/>
      <c r="BO5" s="535">
        <v>-70981974.150000006</v>
      </c>
      <c r="BP5" s="448"/>
      <c r="BQ5" s="535">
        <v>-68849894.150000006</v>
      </c>
      <c r="BR5" s="448"/>
      <c r="BS5" s="984">
        <v>-66356063.149999999</v>
      </c>
      <c r="BT5" s="448"/>
      <c r="BU5" s="535">
        <v>-62345708.149999999</v>
      </c>
      <c r="BV5" s="448"/>
      <c r="BW5" s="535">
        <v>-56149107.149999999</v>
      </c>
      <c r="BX5" s="448"/>
      <c r="BY5" s="535">
        <v>-53541148.149999999</v>
      </c>
      <c r="BZ5" s="448"/>
      <c r="CA5" s="535">
        <v>-51482116.149999999</v>
      </c>
      <c r="CB5" s="448"/>
      <c r="CC5" s="535">
        <v>-49482116.149999999</v>
      </c>
      <c r="CD5" s="410"/>
      <c r="CE5" s="535">
        <v>-47577749.149999999</v>
      </c>
      <c r="CF5" s="410"/>
      <c r="CG5" s="535">
        <v>-45747549.149999999</v>
      </c>
      <c r="CH5" s="410"/>
      <c r="CI5" s="166">
        <v>-43618563.68</v>
      </c>
      <c r="CJ5" s="410"/>
      <c r="CK5" s="166">
        <v>-41974936.68</v>
      </c>
      <c r="CL5" s="410"/>
      <c r="CM5" s="166">
        <v>-39954908.890000001</v>
      </c>
      <c r="CN5" s="410"/>
      <c r="CO5" s="166">
        <v>-38433724.890000001</v>
      </c>
      <c r="CP5" s="410"/>
      <c r="CQ5" s="166">
        <v>-37046224.890000001</v>
      </c>
      <c r="CR5" s="410"/>
      <c r="CS5" s="166">
        <v>-36242572.090000004</v>
      </c>
      <c r="CT5" s="157"/>
      <c r="CU5" s="166">
        <v>-31717710.190000001</v>
      </c>
      <c r="CV5" s="157"/>
      <c r="CW5" s="166">
        <v>-30155966</v>
      </c>
      <c r="CX5" s="157"/>
      <c r="CY5" s="166">
        <v>-29133487.149999999</v>
      </c>
      <c r="CZ5" s="157"/>
      <c r="DA5" s="166">
        <v>-28060963.649999999</v>
      </c>
      <c r="DB5" s="157"/>
      <c r="DC5" s="166">
        <v>-27033047.030000001</v>
      </c>
      <c r="DD5" s="157"/>
      <c r="DE5" s="166">
        <v>-26256130.379999999</v>
      </c>
      <c r="DF5" s="157"/>
      <c r="DG5" s="166">
        <v>-25150407.25</v>
      </c>
      <c r="DH5" s="157"/>
      <c r="DI5" s="166">
        <v>-24494157.25</v>
      </c>
      <c r="DJ5" s="157"/>
      <c r="DK5" s="166">
        <v>-23622362.399999999</v>
      </c>
      <c r="DL5" s="157"/>
      <c r="DM5" s="166">
        <v>-22921306.890000001</v>
      </c>
      <c r="DN5" s="157"/>
      <c r="DO5" s="166">
        <v>-22311936.739999998</v>
      </c>
      <c r="DP5" s="157"/>
      <c r="DQ5" s="166">
        <v>-18240860.879999999</v>
      </c>
      <c r="DR5" s="157"/>
      <c r="DS5" s="166">
        <v>-15900299.789999999</v>
      </c>
      <c r="DT5" s="157"/>
      <c r="DU5" s="166">
        <v>-14694147.92</v>
      </c>
      <c r="DV5" s="157"/>
      <c r="DW5" s="166">
        <v>-13868821.890000001</v>
      </c>
      <c r="DX5" s="157"/>
      <c r="DY5" s="166">
        <v>-12091937.33</v>
      </c>
      <c r="DZ5" s="157"/>
      <c r="EA5" s="166">
        <v>-11193367.609999999</v>
      </c>
      <c r="EB5" s="157"/>
      <c r="EC5" s="166">
        <v>-10587854.800000001</v>
      </c>
      <c r="ED5" s="157"/>
      <c r="EE5" s="166">
        <v>-9408834.8000000007</v>
      </c>
      <c r="EF5" s="157"/>
      <c r="EG5" s="167">
        <v>-8824432.9600000009</v>
      </c>
      <c r="EH5" s="157"/>
      <c r="EI5" s="167">
        <v>-8035190.1500000004</v>
      </c>
      <c r="EJ5" s="157"/>
      <c r="EK5" s="167">
        <v>-7654882.4900000002</v>
      </c>
      <c r="EL5" s="157"/>
      <c r="EM5" s="167">
        <v>-7435683.8600000003</v>
      </c>
      <c r="EN5" s="157"/>
      <c r="EO5" s="167">
        <v>-6428046.1699999999</v>
      </c>
      <c r="EP5" s="157"/>
      <c r="EQ5" s="166">
        <v>-6226123.0700000003</v>
      </c>
      <c r="ER5" s="157"/>
      <c r="ES5" s="166">
        <v>-5922177.3300000001</v>
      </c>
      <c r="ET5" s="157"/>
      <c r="EU5" s="166">
        <v>-5861744.04</v>
      </c>
      <c r="EV5" s="157"/>
      <c r="EW5" s="166">
        <v>-5328051.72</v>
      </c>
      <c r="EX5" s="157"/>
      <c r="EY5" s="166">
        <v>-4976501.96</v>
      </c>
      <c r="EZ5" s="157"/>
      <c r="FA5" s="166">
        <v>-4780401.9800000004</v>
      </c>
      <c r="FB5" s="157"/>
      <c r="FC5" s="166">
        <v>-4658594.2699999996</v>
      </c>
      <c r="FD5" s="157"/>
      <c r="FE5" s="166">
        <v>-4578742.17</v>
      </c>
      <c r="FF5" s="157"/>
      <c r="FG5" s="166">
        <v>-4372788.91</v>
      </c>
      <c r="FH5" s="157"/>
      <c r="FI5" s="166">
        <v>-4050430.25</v>
      </c>
      <c r="FJ5" s="157"/>
      <c r="FK5" s="166">
        <v>-3856776.4</v>
      </c>
      <c r="FL5" s="157"/>
      <c r="FM5" s="166">
        <v>-3776776.4</v>
      </c>
      <c r="FN5" s="157"/>
      <c r="FO5" s="166">
        <v>-3546904.54</v>
      </c>
      <c r="FP5" s="157"/>
      <c r="FQ5" s="166">
        <v>-3426559.21</v>
      </c>
      <c r="FR5" s="157"/>
      <c r="FS5" s="166">
        <v>-3202081.57</v>
      </c>
      <c r="FT5" s="157"/>
      <c r="FU5" s="166">
        <v>-2999735.4</v>
      </c>
      <c r="FV5" s="157"/>
      <c r="FW5" s="166">
        <v>-2938777.07</v>
      </c>
      <c r="FX5" s="157"/>
      <c r="FY5" s="166">
        <v>-2738360.36</v>
      </c>
      <c r="FZ5" s="157"/>
      <c r="GA5" s="166">
        <v>-2738360.36</v>
      </c>
      <c r="GB5" s="157"/>
      <c r="GC5" s="166">
        <v>-2540027.02</v>
      </c>
      <c r="GD5" s="157"/>
      <c r="GE5" s="166">
        <v>-2540027.02</v>
      </c>
      <c r="GF5" s="157"/>
      <c r="GG5" s="166">
        <v>-2075986.04</v>
      </c>
      <c r="GH5" s="166"/>
      <c r="GI5" s="166">
        <v>-2075986.04</v>
      </c>
      <c r="GJ5" s="166"/>
      <c r="GK5" s="166">
        <v>-2075986.04</v>
      </c>
      <c r="GL5" s="166"/>
      <c r="GM5" s="166">
        <v>-2075986.04</v>
      </c>
      <c r="GN5" s="166"/>
      <c r="GO5" s="166">
        <v>-1983652.74</v>
      </c>
      <c r="GP5" s="166"/>
      <c r="GQ5" s="166">
        <v>-1851361.11</v>
      </c>
    </row>
    <row r="6" spans="1:199" ht="14.25" customHeight="1">
      <c r="A6" s="158"/>
      <c r="B6" s="157" t="s">
        <v>299</v>
      </c>
      <c r="C6" s="985">
        <f>SUM(C4:C5)</f>
        <v>1787240556.1200001</v>
      </c>
      <c r="D6" s="448"/>
      <c r="E6" s="985">
        <f>SUM(E4:E5)</f>
        <v>1837456371.4499998</v>
      </c>
      <c r="F6" s="448"/>
      <c r="G6" s="985">
        <f>SUM(G4:G5)</f>
        <v>1766309761.7599998</v>
      </c>
      <c r="H6" s="448"/>
      <c r="I6" s="985">
        <f>SUM(I4:I5)</f>
        <v>1802684598.6199999</v>
      </c>
      <c r="J6" s="448"/>
      <c r="K6" s="985">
        <f>SUM(K4:K5)</f>
        <v>1816293431.21</v>
      </c>
      <c r="L6" s="448"/>
      <c r="M6" s="985">
        <f>SUM(M4:M5)</f>
        <v>1847614116.8899999</v>
      </c>
      <c r="N6" s="448"/>
      <c r="O6" s="985">
        <f>SUM(O4:O5)</f>
        <v>1841158696.8499999</v>
      </c>
      <c r="P6" s="448"/>
      <c r="Q6" s="985">
        <f>SUM(Q4:Q5)</f>
        <v>1883096793.5299997</v>
      </c>
      <c r="R6" s="448"/>
      <c r="S6" s="985">
        <f>SUM(S4:S5)</f>
        <v>1891961053.3000002</v>
      </c>
      <c r="T6" s="448"/>
      <c r="U6" s="985">
        <f>SUM(U4:U5)</f>
        <v>1993050439.52</v>
      </c>
      <c r="V6" s="448"/>
      <c r="W6" s="985">
        <f>SUM(W4:W5)</f>
        <v>2054642720.5799999</v>
      </c>
      <c r="X6" s="448"/>
      <c r="Y6" s="985">
        <v>1988690111.1500001</v>
      </c>
      <c r="Z6" s="448"/>
      <c r="AA6" s="985">
        <v>1987334403</v>
      </c>
      <c r="AB6" s="448"/>
      <c r="AC6" s="985">
        <f>SUM(AC4:AC5)</f>
        <v>2046376473.3099999</v>
      </c>
      <c r="AD6" s="448"/>
      <c r="AE6" s="636">
        <f>SUM(AE4:AE5)</f>
        <v>2018986644.1900001</v>
      </c>
      <c r="AF6" s="448"/>
      <c r="AG6" s="636">
        <f>SUM(AG4:AG5)</f>
        <v>1959026394.99</v>
      </c>
      <c r="AH6" s="448"/>
      <c r="AI6" s="636">
        <v>1915410618.3799999</v>
      </c>
      <c r="AJ6" s="448"/>
      <c r="AK6" s="636">
        <v>1880488738.23</v>
      </c>
      <c r="AL6" s="448"/>
      <c r="AM6" s="636">
        <v>1814743675.04</v>
      </c>
      <c r="AN6" s="448"/>
      <c r="AO6" s="636">
        <v>1758661475.4200001</v>
      </c>
      <c r="AP6" s="448"/>
      <c r="AQ6" s="636">
        <v>1710620051.1299999</v>
      </c>
      <c r="AR6" s="448"/>
      <c r="AS6" s="636">
        <v>1665698639.0699999</v>
      </c>
      <c r="AT6" s="448"/>
      <c r="AU6" s="985">
        <f>SUM(AU4:AU5)</f>
        <v>1644780198.5999999</v>
      </c>
      <c r="AV6" s="410"/>
      <c r="AW6" s="636">
        <v>1467078109.5500002</v>
      </c>
      <c r="AX6" s="410"/>
      <c r="AY6" s="636">
        <v>1366752615.95</v>
      </c>
      <c r="AZ6" s="410"/>
      <c r="BA6" s="636">
        <v>1321752464.75</v>
      </c>
      <c r="BB6" s="410"/>
      <c r="BC6" s="636">
        <v>1203150265.05</v>
      </c>
      <c r="BD6" s="410"/>
      <c r="BE6" s="636">
        <v>1135485701.3899999</v>
      </c>
      <c r="BF6" s="410"/>
      <c r="BG6" s="388">
        <v>1080087940.51</v>
      </c>
      <c r="BH6" s="410"/>
      <c r="BI6" s="636">
        <v>995242016.29000008</v>
      </c>
      <c r="BJ6" s="410"/>
      <c r="BK6" s="636">
        <v>946438697.37</v>
      </c>
      <c r="BL6" s="410"/>
      <c r="BM6" s="636">
        <v>890745986.65999997</v>
      </c>
      <c r="BN6" s="410"/>
      <c r="BO6" s="636">
        <v>839619815.02999997</v>
      </c>
      <c r="BP6" s="410"/>
      <c r="BQ6" s="636">
        <f>SUM(BQ4:BQ5)</f>
        <v>799448982.04000008</v>
      </c>
      <c r="BR6" s="410"/>
      <c r="BS6" s="985">
        <f>SUM(BS4:BS5)</f>
        <v>744094156.71000004</v>
      </c>
      <c r="BT6" s="410"/>
      <c r="BU6" s="636">
        <f>SUM(BU4:BU5)</f>
        <v>699151217.23000002</v>
      </c>
      <c r="BV6" s="410"/>
      <c r="BW6" s="169">
        <v>671100884.07000005</v>
      </c>
      <c r="BX6" s="410"/>
      <c r="BY6" s="169">
        <v>687598311.49000001</v>
      </c>
      <c r="BZ6" s="410"/>
      <c r="CA6" s="169">
        <v>622508015.80000007</v>
      </c>
      <c r="CB6" s="410"/>
      <c r="CC6" s="169">
        <v>611656792.63</v>
      </c>
      <c r="CD6" s="410"/>
      <c r="CE6" s="169">
        <v>577080258.5</v>
      </c>
      <c r="CF6" s="410"/>
      <c r="CG6" s="169">
        <v>554384904.85000002</v>
      </c>
      <c r="CH6" s="410"/>
      <c r="CI6" s="169">
        <v>534282453.36999995</v>
      </c>
      <c r="CJ6" s="410"/>
      <c r="CK6" s="169">
        <v>501290360.73999995</v>
      </c>
      <c r="CL6" s="410"/>
      <c r="CM6" s="169">
        <f>SUM(CM4:CM5)</f>
        <v>474159895.56999999</v>
      </c>
      <c r="CN6" s="410"/>
      <c r="CO6" s="169">
        <f>SUM(CO4:CO5)</f>
        <v>460135605.05000001</v>
      </c>
      <c r="CP6" s="410"/>
      <c r="CQ6" s="169">
        <f>SUM(CQ4:CQ5)</f>
        <v>443078623.78000003</v>
      </c>
      <c r="CR6" s="410"/>
      <c r="CS6" s="169">
        <f>SUM(CS4:CS5)</f>
        <v>405533652.20000005</v>
      </c>
      <c r="CT6" s="157"/>
      <c r="CU6" s="169">
        <f>SUM(CU4:CU5)</f>
        <v>398299074.82999998</v>
      </c>
      <c r="CV6" s="157"/>
      <c r="CW6" s="169">
        <f>SUM(CW4:CW5)</f>
        <v>403341685</v>
      </c>
      <c r="CX6" s="157"/>
      <c r="CY6" s="169">
        <f>SUM(CY4:CY5)</f>
        <v>366464489.05000001</v>
      </c>
      <c r="CZ6" s="157"/>
      <c r="DA6" s="169">
        <f>SUM(DA4:DA5)</f>
        <v>339890226.5</v>
      </c>
      <c r="DB6" s="157"/>
      <c r="DC6" s="169">
        <f>SUM(DC4:DC5)</f>
        <v>312726447.78999996</v>
      </c>
      <c r="DD6" s="157"/>
      <c r="DE6" s="169">
        <f>SUM(DE4:DE5)</f>
        <v>281371174.50999999</v>
      </c>
      <c r="DF6" s="157"/>
      <c r="DG6" s="169">
        <f>SUM(DG4:DG5)</f>
        <v>272213398.19</v>
      </c>
      <c r="DH6" s="157"/>
      <c r="DI6" s="169">
        <f>SUM(DI4:DI5)</f>
        <v>261369802.23000002</v>
      </c>
      <c r="DJ6" s="157"/>
      <c r="DK6" s="169">
        <f>SUM(DK4:DK5)</f>
        <v>236127135.19999999</v>
      </c>
      <c r="DL6" s="157"/>
      <c r="DM6" s="169">
        <f>SUM(DM4:DM5)</f>
        <v>229971342.01999998</v>
      </c>
      <c r="DN6" s="157"/>
      <c r="DO6" s="169">
        <v>204577921.79999998</v>
      </c>
      <c r="DP6" s="157"/>
      <c r="DQ6" s="169">
        <v>190007986.09999999</v>
      </c>
      <c r="DR6" s="157"/>
      <c r="DS6" s="169">
        <v>185054356.81</v>
      </c>
      <c r="DT6" s="157"/>
      <c r="DU6" s="169">
        <v>187318073.23000002</v>
      </c>
      <c r="DV6" s="157"/>
      <c r="DW6" s="169">
        <v>165779406.13</v>
      </c>
      <c r="DX6" s="157"/>
      <c r="DY6" s="169">
        <v>155907221.01999998</v>
      </c>
      <c r="DZ6" s="157"/>
      <c r="EA6" s="169">
        <v>151609422.61000001</v>
      </c>
      <c r="EB6" s="157"/>
      <c r="EC6" s="169">
        <v>148133811.94</v>
      </c>
      <c r="ED6" s="157"/>
      <c r="EE6" s="169">
        <v>154491542.22</v>
      </c>
      <c r="EF6" s="157"/>
      <c r="EG6" s="169">
        <v>155230368.17999998</v>
      </c>
      <c r="EH6" s="157"/>
      <c r="EI6" s="169">
        <v>157007510.38</v>
      </c>
      <c r="EJ6" s="157"/>
      <c r="EK6" s="169">
        <v>170694058.31999999</v>
      </c>
      <c r="EL6" s="157"/>
      <c r="EM6" s="169">
        <v>177491632.03999999</v>
      </c>
      <c r="EN6" s="157"/>
      <c r="EO6" s="169">
        <v>156918966.34</v>
      </c>
      <c r="EP6" s="157"/>
      <c r="EQ6" s="169">
        <v>149743285.30000001</v>
      </c>
      <c r="ER6" s="157"/>
      <c r="ES6" s="169">
        <v>142514685.14999998</v>
      </c>
      <c r="ET6" s="157"/>
      <c r="EU6" s="169">
        <v>118062243.31999999</v>
      </c>
      <c r="EV6" s="157"/>
      <c r="EW6" s="169">
        <v>106502597.01000001</v>
      </c>
      <c r="EX6" s="157"/>
      <c r="EY6" s="169">
        <v>94839587.5</v>
      </c>
      <c r="EZ6" s="157"/>
      <c r="FA6" s="169">
        <v>86591224.709999993</v>
      </c>
      <c r="FB6" s="157"/>
      <c r="FC6" s="169">
        <v>78398626.870000005</v>
      </c>
      <c r="FD6" s="157"/>
      <c r="FE6" s="169">
        <v>74746815.159999996</v>
      </c>
      <c r="FF6" s="157"/>
      <c r="FG6" s="169">
        <v>66438066.230000004</v>
      </c>
      <c r="FH6" s="157"/>
      <c r="FI6" s="169">
        <v>63754583.75</v>
      </c>
      <c r="FJ6" s="157"/>
      <c r="FK6" s="169">
        <v>63973401.009999998</v>
      </c>
      <c r="FL6" s="157"/>
      <c r="FM6" s="169">
        <v>56629493.480000004</v>
      </c>
      <c r="FN6" s="157"/>
      <c r="FO6" s="169">
        <v>51117560.649999999</v>
      </c>
      <c r="FP6" s="157"/>
      <c r="FQ6" s="169">
        <v>49752452.380000003</v>
      </c>
      <c r="FR6" s="157"/>
      <c r="FS6" s="169">
        <v>43518780.57</v>
      </c>
      <c r="FT6" s="157"/>
      <c r="FU6" s="169">
        <v>37006353.640000001</v>
      </c>
      <c r="FV6" s="157"/>
      <c r="FW6" s="169">
        <v>34224536.5</v>
      </c>
      <c r="FX6" s="157"/>
      <c r="FY6" s="169">
        <v>30252650.75</v>
      </c>
      <c r="FZ6" s="157"/>
      <c r="GA6" s="169">
        <v>26289125.560000002</v>
      </c>
      <c r="GB6" s="157"/>
      <c r="GC6" s="169">
        <v>25939212.740000002</v>
      </c>
      <c r="GD6" s="157"/>
      <c r="GE6" s="169">
        <v>22677500.510000002</v>
      </c>
      <c r="GF6" s="157"/>
      <c r="GG6" s="169">
        <v>21874727.900000006</v>
      </c>
      <c r="GH6" s="166"/>
      <c r="GI6" s="169">
        <v>21438646.68</v>
      </c>
      <c r="GJ6" s="166"/>
      <c r="GK6" s="169">
        <v>18963497.630000003</v>
      </c>
      <c r="GL6" s="166"/>
      <c r="GM6" s="169">
        <v>17879970.109999999</v>
      </c>
      <c r="GN6" s="166"/>
      <c r="GO6" s="169">
        <v>17218992.520000003</v>
      </c>
      <c r="GP6" s="166"/>
      <c r="GQ6" s="169">
        <v>15531632.870000001</v>
      </c>
    </row>
    <row r="7" spans="1:199" ht="14.25" customHeight="1" thickBot="1">
      <c r="A7" s="735"/>
      <c r="B7" s="157" t="s">
        <v>300</v>
      </c>
      <c r="C7" s="986">
        <v>-280383625.18000001</v>
      </c>
      <c r="D7" s="953"/>
      <c r="E7" s="986">
        <v>-283146791.35000002</v>
      </c>
      <c r="F7" s="953"/>
      <c r="G7" s="986">
        <v>-279146791.35000002</v>
      </c>
      <c r="H7" s="953"/>
      <c r="I7" s="986">
        <v>-273534524.35000002</v>
      </c>
      <c r="J7" s="953"/>
      <c r="K7" s="986">
        <v>-276200411.35000002</v>
      </c>
      <c r="L7" s="953"/>
      <c r="M7" s="986">
        <v>-277806783.35000002</v>
      </c>
      <c r="N7" s="953"/>
      <c r="O7" s="986">
        <v>-278709932.35000002</v>
      </c>
      <c r="P7" s="953"/>
      <c r="Q7" s="986">
        <v>-282110015.35000002</v>
      </c>
      <c r="R7" s="953"/>
      <c r="S7" s="986">
        <v>-274807502.35000002</v>
      </c>
      <c r="T7" s="953"/>
      <c r="U7" s="986">
        <v>-339736906.35000002</v>
      </c>
      <c r="V7" s="953"/>
      <c r="W7" s="986">
        <v>-326506681.35000002</v>
      </c>
      <c r="X7" s="953"/>
      <c r="Y7" s="986">
        <v>-201318661.99000001</v>
      </c>
      <c r="Z7" s="953"/>
      <c r="AA7" s="986">
        <v>-180756641</v>
      </c>
      <c r="AB7" s="953"/>
      <c r="AC7" s="986">
        <v>-160878982.99000001</v>
      </c>
      <c r="AD7" s="953"/>
      <c r="AE7" s="955">
        <v>-147197009.99000001</v>
      </c>
      <c r="AF7" s="953"/>
      <c r="AG7" s="955">
        <v>-133700002.98999999</v>
      </c>
      <c r="AH7" s="953"/>
      <c r="AI7" s="955">
        <v>-124143275.70999999</v>
      </c>
      <c r="AJ7" s="953"/>
      <c r="AK7" s="955">
        <v>-115287756</v>
      </c>
      <c r="AL7" s="953"/>
      <c r="AM7" s="535">
        <v>-106534461.91</v>
      </c>
      <c r="AN7" s="953"/>
      <c r="AO7" s="535">
        <v>-95328719</v>
      </c>
      <c r="AP7" s="953"/>
      <c r="AQ7" s="535">
        <v>-83184994.239999995</v>
      </c>
      <c r="AR7" s="953"/>
      <c r="AS7" s="535">
        <v>-76877652.239999995</v>
      </c>
      <c r="AT7" s="953"/>
      <c r="AU7" s="984">
        <v>-164194525.59</v>
      </c>
      <c r="AV7" s="410"/>
      <c r="AW7" s="535">
        <v>-63353320.079999998</v>
      </c>
      <c r="AX7" s="410"/>
      <c r="AY7" s="535">
        <v>-56840207.630000003</v>
      </c>
      <c r="AZ7" s="410"/>
      <c r="BA7" s="535">
        <v>-52847495.799999997</v>
      </c>
      <c r="BB7" s="410"/>
      <c r="BC7" s="535">
        <v>-50168894.460000001</v>
      </c>
      <c r="BD7" s="410"/>
      <c r="BE7" s="535">
        <v>-48913086.460000001</v>
      </c>
      <c r="BF7" s="410"/>
      <c r="BG7" s="759">
        <v>-46743508.460000001</v>
      </c>
      <c r="BH7" s="410"/>
      <c r="BI7" s="535">
        <v>-44065253.460000001</v>
      </c>
      <c r="BJ7" s="410"/>
      <c r="BK7" s="535">
        <v>-40814432</v>
      </c>
      <c r="BL7" s="410"/>
      <c r="BM7" s="535">
        <v>-37941310.460000001</v>
      </c>
      <c r="BN7" s="410"/>
      <c r="BO7" s="535">
        <v>-35398232.460000001</v>
      </c>
      <c r="BP7" s="410"/>
      <c r="BQ7" s="535">
        <v>-31577892.460000001</v>
      </c>
      <c r="BR7" s="410"/>
      <c r="BS7" s="984">
        <v>-74462369.709999993</v>
      </c>
      <c r="BT7" s="410"/>
      <c r="BU7" s="535">
        <v>-29693178.460000001</v>
      </c>
      <c r="BV7" s="410"/>
      <c r="BW7" s="535">
        <v>-30697854.460000001</v>
      </c>
      <c r="BX7" s="410"/>
      <c r="BY7" s="535">
        <v>-30168614.460000001</v>
      </c>
      <c r="BZ7" s="410"/>
      <c r="CA7" s="535">
        <v>-30070274.460000001</v>
      </c>
      <c r="CB7" s="410"/>
      <c r="CC7" s="535">
        <v>-29422332.460000001</v>
      </c>
      <c r="CD7" s="410"/>
      <c r="CE7" s="535">
        <v>-29010262.460000001</v>
      </c>
      <c r="CF7" s="410"/>
      <c r="CG7" s="535">
        <v>-27671272.460000001</v>
      </c>
      <c r="CH7" s="410"/>
      <c r="CI7" s="166">
        <v>-26253005</v>
      </c>
      <c r="CJ7" s="410"/>
      <c r="CK7" s="166">
        <v>-25805131</v>
      </c>
      <c r="CL7" s="410"/>
      <c r="CM7" s="166">
        <v>-25593329.420000002</v>
      </c>
      <c r="CN7" s="410"/>
      <c r="CO7" s="166">
        <v>-24078891.420000002</v>
      </c>
      <c r="CP7" s="410"/>
      <c r="CQ7" s="166">
        <v>-21332600.879999999</v>
      </c>
      <c r="CR7" s="410"/>
      <c r="CS7" s="166">
        <v>-17396412.68</v>
      </c>
      <c r="CT7" s="157"/>
      <c r="CU7" s="167">
        <v>-17956964.719999999</v>
      </c>
      <c r="CV7" s="157"/>
      <c r="CW7" s="167">
        <v>-16704638.609999999</v>
      </c>
      <c r="CX7" s="157"/>
      <c r="CY7" s="166">
        <v>-14751254.67</v>
      </c>
      <c r="CZ7" s="157"/>
      <c r="DA7" s="166">
        <v>-13028596.970000001</v>
      </c>
      <c r="DB7" s="157"/>
      <c r="DC7" s="166">
        <v>-12166480.699999999</v>
      </c>
      <c r="DD7" s="157"/>
      <c r="DE7" s="166">
        <v>-10852071.68</v>
      </c>
      <c r="DF7" s="157"/>
      <c r="DG7" s="166">
        <v>-10721338.34</v>
      </c>
      <c r="DH7" s="157"/>
      <c r="DI7" s="166">
        <v>-10573233.93</v>
      </c>
      <c r="DJ7" s="157"/>
      <c r="DK7" s="166">
        <v>-10118939.800000001</v>
      </c>
      <c r="DL7" s="157"/>
      <c r="DM7" s="166">
        <v>-9683242.1699999999</v>
      </c>
      <c r="DN7" s="157"/>
      <c r="DO7" s="166">
        <v>-8706690.5600000005</v>
      </c>
      <c r="DP7" s="157"/>
      <c r="DQ7" s="166">
        <v>-11615486.34</v>
      </c>
      <c r="DR7" s="157"/>
      <c r="DS7" s="166">
        <v>-13019162.27</v>
      </c>
      <c r="DT7" s="157"/>
      <c r="DU7" s="166">
        <v>-13512212.09</v>
      </c>
      <c r="DV7" s="157"/>
      <c r="DW7" s="166">
        <v>-13257202.43</v>
      </c>
      <c r="DX7" s="157"/>
      <c r="DY7" s="166">
        <v>-14674925.83</v>
      </c>
      <c r="DZ7" s="157"/>
      <c r="EA7" s="166">
        <v>-15138883.369999999</v>
      </c>
      <c r="EB7" s="157"/>
      <c r="EC7" s="167">
        <v>-15174293.07</v>
      </c>
      <c r="ED7" s="157"/>
      <c r="EE7" s="167">
        <v>-14604635.17</v>
      </c>
      <c r="EF7" s="157"/>
      <c r="EG7" s="167">
        <v>-13082366.52</v>
      </c>
      <c r="EH7" s="157"/>
      <c r="EI7" s="167">
        <v>-10628770.109999999</v>
      </c>
      <c r="EJ7" s="157"/>
      <c r="EK7" s="167">
        <v>-6838666.21</v>
      </c>
      <c r="EL7" s="157"/>
      <c r="EM7" s="167">
        <v>-3558876.38</v>
      </c>
      <c r="EN7" s="157"/>
      <c r="EO7" s="167">
        <v>-3983318.8</v>
      </c>
      <c r="EP7" s="157"/>
      <c r="EQ7" s="166">
        <v>-3530117.33</v>
      </c>
      <c r="ER7" s="157"/>
      <c r="ES7" s="166">
        <v>-3037571.06</v>
      </c>
      <c r="ET7" s="157"/>
      <c r="EU7" s="166">
        <v>-2472008.16</v>
      </c>
      <c r="EV7" s="157"/>
      <c r="EW7" s="166">
        <v>-2433248.29</v>
      </c>
      <c r="EX7" s="157"/>
      <c r="EY7" s="166">
        <v>-2289326.17</v>
      </c>
      <c r="EZ7" s="157"/>
      <c r="FA7" s="166">
        <v>-2125145.9700000002</v>
      </c>
      <c r="FB7" s="157"/>
      <c r="FC7" s="166">
        <v>-1959896.52</v>
      </c>
      <c r="FD7" s="157"/>
      <c r="FE7" s="166">
        <v>-1775421.72</v>
      </c>
      <c r="FF7" s="157"/>
      <c r="FG7" s="166">
        <v>-1712855.36</v>
      </c>
      <c r="FH7" s="157"/>
      <c r="FI7" s="166">
        <v>-1825574.52</v>
      </c>
      <c r="FJ7" s="157"/>
      <c r="FK7" s="166">
        <v>-1810689.19</v>
      </c>
      <c r="FL7" s="157"/>
      <c r="FM7" s="166">
        <v>-1731620.08</v>
      </c>
      <c r="FN7" s="157"/>
      <c r="FO7" s="166">
        <v>-1806343.29</v>
      </c>
      <c r="FP7" s="157"/>
      <c r="FQ7" s="166">
        <v>-1624241.05</v>
      </c>
      <c r="FR7" s="157"/>
      <c r="FS7" s="166">
        <v>-1508003.35</v>
      </c>
      <c r="FT7" s="157"/>
      <c r="FU7" s="166">
        <v>-1561068.92</v>
      </c>
      <c r="FV7" s="157"/>
      <c r="FW7" s="166">
        <v>-1472006.9</v>
      </c>
      <c r="FX7" s="157"/>
      <c r="FY7" s="166">
        <v>-1476676.48</v>
      </c>
      <c r="FZ7" s="157"/>
      <c r="GA7" s="166">
        <v>-1412824.15</v>
      </c>
      <c r="GB7" s="157"/>
      <c r="GC7" s="166">
        <v>-1561580.12</v>
      </c>
      <c r="GD7" s="157"/>
      <c r="GE7" s="166">
        <v>-1439366.31</v>
      </c>
      <c r="GF7" s="157"/>
      <c r="GG7" s="166">
        <v>-1833913.9</v>
      </c>
      <c r="GH7" s="166"/>
      <c r="GI7" s="166">
        <v>-1777324.52</v>
      </c>
      <c r="GJ7" s="166"/>
      <c r="GK7" s="166">
        <v>-1736722.1</v>
      </c>
      <c r="GL7" s="166"/>
      <c r="GM7" s="166">
        <v>-1552820.02</v>
      </c>
      <c r="GN7" s="166"/>
      <c r="GO7" s="166">
        <v>-1425753.12</v>
      </c>
      <c r="GP7" s="166"/>
      <c r="GQ7" s="166">
        <v>-1400843.26</v>
      </c>
    </row>
    <row r="8" spans="1:199" ht="14.25" customHeight="1" thickBot="1">
      <c r="A8" s="158"/>
      <c r="B8" s="157"/>
      <c r="C8" s="987">
        <f>SUM(C6:C7)</f>
        <v>1506856930.9400001</v>
      </c>
      <c r="D8" s="953"/>
      <c r="E8" s="987">
        <f>SUM(E6:E7)</f>
        <v>1554309580.0999999</v>
      </c>
      <c r="F8" s="953"/>
      <c r="G8" s="987">
        <f>SUM(G6:G7)</f>
        <v>1487162970.4099998</v>
      </c>
      <c r="H8" s="953"/>
      <c r="I8" s="987">
        <f>SUM(I6:I7)</f>
        <v>1529150074.27</v>
      </c>
      <c r="J8" s="953"/>
      <c r="K8" s="987">
        <f>SUM(K6:K7)</f>
        <v>1540093019.8600001</v>
      </c>
      <c r="L8" s="953"/>
      <c r="M8" s="987">
        <f>SUM(M6:M7)</f>
        <v>1569807333.54</v>
      </c>
      <c r="N8" s="953"/>
      <c r="O8" s="987">
        <f>SUM(O6:O7)</f>
        <v>1562448764.5</v>
      </c>
      <c r="P8" s="953"/>
      <c r="Q8" s="987">
        <f>SUM(Q6:Q7)</f>
        <v>1600986778.1799998</v>
      </c>
      <c r="R8" s="953"/>
      <c r="S8" s="987">
        <f>SUM(S6:S7)</f>
        <v>1617153550.9500003</v>
      </c>
      <c r="T8" s="953"/>
      <c r="U8" s="987">
        <f>SUM(U6:U7)</f>
        <v>1653313533.1700001</v>
      </c>
      <c r="V8" s="953"/>
      <c r="W8" s="987">
        <f>SUM(W6:W7)</f>
        <v>1728136039.23</v>
      </c>
      <c r="X8" s="953"/>
      <c r="Y8" s="987">
        <v>1787371449.1600001</v>
      </c>
      <c r="Z8" s="953"/>
      <c r="AA8" s="987">
        <v>1806577762</v>
      </c>
      <c r="AB8" s="953"/>
      <c r="AC8" s="987">
        <f>SUM(AC6:AC7)</f>
        <v>1885497490.3199999</v>
      </c>
      <c r="AD8" s="953"/>
      <c r="AE8" s="190">
        <f>SUM(AE6:AE7)</f>
        <v>1871789634.2</v>
      </c>
      <c r="AF8" s="953"/>
      <c r="AG8" s="190">
        <f>SUM(AG6:AG7)</f>
        <v>1825326392</v>
      </c>
      <c r="AH8" s="953"/>
      <c r="AI8" s="190">
        <v>1791267342.6699998</v>
      </c>
      <c r="AJ8" s="953"/>
      <c r="AK8" s="190">
        <v>1765200982.23</v>
      </c>
      <c r="AL8" s="953"/>
      <c r="AM8" s="190">
        <v>1708209213.1299999</v>
      </c>
      <c r="AN8" s="953"/>
      <c r="AO8" s="190">
        <v>1663332756.4200001</v>
      </c>
      <c r="AP8" s="953"/>
      <c r="AQ8" s="190">
        <v>1627435056.8899999</v>
      </c>
      <c r="AR8" s="953"/>
      <c r="AS8" s="190">
        <v>1588820986.8299999</v>
      </c>
      <c r="AT8" s="953"/>
      <c r="AU8" s="987">
        <f>SUM(AU6:AU7)</f>
        <v>1480585673.01</v>
      </c>
      <c r="AV8" s="410"/>
      <c r="AW8" s="190">
        <v>1403724789.4700003</v>
      </c>
      <c r="AX8" s="410"/>
      <c r="AY8" s="190">
        <v>1309912408.3199999</v>
      </c>
      <c r="AZ8" s="410"/>
      <c r="BA8" s="190">
        <v>1268904968.95</v>
      </c>
      <c r="BB8" s="410"/>
      <c r="BC8" s="190">
        <v>1152981370.5899999</v>
      </c>
      <c r="BD8" s="410"/>
      <c r="BE8" s="190">
        <v>1086572614.9299998</v>
      </c>
      <c r="BF8" s="410"/>
      <c r="BG8" s="190">
        <v>1033344432.05</v>
      </c>
      <c r="BH8" s="410"/>
      <c r="BI8" s="190">
        <v>951176762.83000004</v>
      </c>
      <c r="BJ8" s="410"/>
      <c r="BK8" s="190">
        <v>905624265.37</v>
      </c>
      <c r="BL8" s="410"/>
      <c r="BM8" s="190">
        <v>852804676.19999993</v>
      </c>
      <c r="BN8" s="410"/>
      <c r="BO8" s="190">
        <v>804221582.56999993</v>
      </c>
      <c r="BP8" s="410"/>
      <c r="BQ8" s="190">
        <f>SUM(BQ6:BQ7)</f>
        <v>767871089.58000004</v>
      </c>
      <c r="BR8" s="410"/>
      <c r="BS8" s="987">
        <f>SUM(BS6:BS7)</f>
        <v>669631787</v>
      </c>
      <c r="BT8" s="410"/>
      <c r="BU8" s="190">
        <f>SUM(BU6:BU7)</f>
        <v>669458038.76999998</v>
      </c>
      <c r="BV8" s="410"/>
      <c r="BW8" s="171">
        <v>640403029.61000001</v>
      </c>
      <c r="BX8" s="410"/>
      <c r="BY8" s="171">
        <v>657429697.02999997</v>
      </c>
      <c r="BZ8" s="410"/>
      <c r="CA8" s="171">
        <v>592437741.34000003</v>
      </c>
      <c r="CB8" s="410"/>
      <c r="CC8" s="171">
        <v>582234460.16999996</v>
      </c>
      <c r="CD8" s="410"/>
      <c r="CE8" s="171">
        <v>548069996.03999996</v>
      </c>
      <c r="CF8" s="410"/>
      <c r="CG8" s="171">
        <v>526713632.39000005</v>
      </c>
      <c r="CH8" s="410"/>
      <c r="CI8" s="171">
        <v>508029448.36999995</v>
      </c>
      <c r="CJ8" s="410"/>
      <c r="CK8" s="171">
        <v>475485229.73999995</v>
      </c>
      <c r="CL8" s="410"/>
      <c r="CM8" s="171">
        <f>SUM(CM6:CM7)</f>
        <v>448566566.14999998</v>
      </c>
      <c r="CN8" s="410"/>
      <c r="CO8" s="171">
        <f>SUM(CO6:CO7)</f>
        <v>436056713.63</v>
      </c>
      <c r="CP8" s="410"/>
      <c r="CQ8" s="171">
        <f>SUM(CQ6:CQ7)</f>
        <v>421746022.90000004</v>
      </c>
      <c r="CR8" s="410"/>
      <c r="CS8" s="171">
        <f>SUM(CS6:CS7)</f>
        <v>388137239.52000004</v>
      </c>
      <c r="CT8" s="157"/>
      <c r="CU8" s="171">
        <f>SUM(CU6:CU7)</f>
        <v>380342110.11000001</v>
      </c>
      <c r="CV8" s="157"/>
      <c r="CW8" s="171">
        <f>SUM(CW6:CW7)</f>
        <v>386637046.38999999</v>
      </c>
      <c r="CX8" s="157"/>
      <c r="CY8" s="171">
        <f>SUM(CY6:CY7)</f>
        <v>351713234.38</v>
      </c>
      <c r="CZ8" s="157"/>
      <c r="DA8" s="171">
        <f>SUM(DA6:DA7)</f>
        <v>326861629.52999997</v>
      </c>
      <c r="DB8" s="157"/>
      <c r="DC8" s="171">
        <f>SUM(DC6:DC7)</f>
        <v>300559967.08999997</v>
      </c>
      <c r="DD8" s="157"/>
      <c r="DE8" s="171">
        <f>SUM(DE6:DE7)</f>
        <v>270519102.82999998</v>
      </c>
      <c r="DF8" s="157"/>
      <c r="DG8" s="171">
        <f>SUM(DG6:DG7)</f>
        <v>261492059.84999999</v>
      </c>
      <c r="DH8" s="157"/>
      <c r="DI8" s="171">
        <f>SUM(DI6:DI7)</f>
        <v>250796568.30000001</v>
      </c>
      <c r="DJ8" s="157"/>
      <c r="DK8" s="171">
        <f>SUM(DK6:DK7)</f>
        <v>226008195.39999998</v>
      </c>
      <c r="DL8" s="157"/>
      <c r="DM8" s="171">
        <f>SUM(DM6:DM7)</f>
        <v>220288099.84999999</v>
      </c>
      <c r="DN8" s="157"/>
      <c r="DO8" s="171">
        <v>195871231.23999998</v>
      </c>
      <c r="DP8" s="157"/>
      <c r="DQ8" s="171">
        <v>178392499.75999999</v>
      </c>
      <c r="DR8" s="157"/>
      <c r="DS8" s="171">
        <v>172035194.53999999</v>
      </c>
      <c r="DT8" s="157"/>
      <c r="DU8" s="171">
        <v>173805861.14000002</v>
      </c>
      <c r="DV8" s="157"/>
      <c r="DW8" s="171">
        <v>152522203.69999999</v>
      </c>
      <c r="DX8" s="157"/>
      <c r="DY8" s="171">
        <v>141232295.18999997</v>
      </c>
      <c r="DZ8" s="157"/>
      <c r="EA8" s="171">
        <v>136470539.24000001</v>
      </c>
      <c r="EB8" s="157"/>
      <c r="EC8" s="171">
        <v>132959518.87</v>
      </c>
      <c r="ED8" s="157"/>
      <c r="EE8" s="171">
        <v>139886907.05000001</v>
      </c>
      <c r="EF8" s="157"/>
      <c r="EG8" s="171">
        <v>142148001.65999997</v>
      </c>
      <c r="EH8" s="157"/>
      <c r="EI8" s="171">
        <v>146378740.26999998</v>
      </c>
      <c r="EJ8" s="157"/>
      <c r="EK8" s="171">
        <v>163855392.10999998</v>
      </c>
      <c r="EL8" s="157"/>
      <c r="EM8" s="171">
        <v>173932755.66</v>
      </c>
      <c r="EN8" s="157"/>
      <c r="EO8" s="171">
        <v>152935647.53999999</v>
      </c>
      <c r="EP8" s="157"/>
      <c r="EQ8" s="171">
        <v>146213167.97</v>
      </c>
      <c r="ER8" s="157"/>
      <c r="ES8" s="171">
        <v>139477114.08999997</v>
      </c>
      <c r="ET8" s="157"/>
      <c r="EU8" s="171">
        <v>115590235.16</v>
      </c>
      <c r="EV8" s="157"/>
      <c r="EW8" s="171">
        <v>104069348.72</v>
      </c>
      <c r="EX8" s="157"/>
      <c r="EY8" s="171">
        <v>92550261.329999998</v>
      </c>
      <c r="EZ8" s="157"/>
      <c r="FA8" s="171">
        <v>84466078.739999995</v>
      </c>
      <c r="FB8" s="157"/>
      <c r="FC8" s="171">
        <v>76438730.350000009</v>
      </c>
      <c r="FD8" s="157"/>
      <c r="FE8" s="171">
        <v>72971393.439999998</v>
      </c>
      <c r="FF8" s="157"/>
      <c r="FG8" s="171">
        <v>64725210.870000005</v>
      </c>
      <c r="FH8" s="157"/>
      <c r="FI8" s="171">
        <v>61929009.229999997</v>
      </c>
      <c r="FJ8" s="157"/>
      <c r="FK8" s="171">
        <v>62162711.82</v>
      </c>
      <c r="FL8" s="157"/>
      <c r="FM8" s="171">
        <v>54897873.400000006</v>
      </c>
      <c r="FN8" s="157"/>
      <c r="FO8" s="171">
        <v>49311217.359999999</v>
      </c>
      <c r="FP8" s="157"/>
      <c r="FQ8" s="171">
        <v>48128211.330000006</v>
      </c>
      <c r="FR8" s="157"/>
      <c r="FS8" s="171">
        <v>42010777.219999999</v>
      </c>
      <c r="FT8" s="157"/>
      <c r="FU8" s="171">
        <v>35445284.719999999</v>
      </c>
      <c r="FV8" s="157"/>
      <c r="FW8" s="171">
        <v>32752529.600000001</v>
      </c>
      <c r="FX8" s="157"/>
      <c r="FY8" s="171">
        <v>28775974.27</v>
      </c>
      <c r="FZ8" s="157"/>
      <c r="GA8" s="171">
        <v>24876301.410000004</v>
      </c>
      <c r="GB8" s="157"/>
      <c r="GC8" s="171">
        <v>24377632.620000001</v>
      </c>
      <c r="GD8" s="157"/>
      <c r="GE8" s="171">
        <v>21238134.200000003</v>
      </c>
      <c r="GF8" s="157"/>
      <c r="GG8" s="171">
        <v>20040814.000000007</v>
      </c>
      <c r="GH8" s="172"/>
      <c r="GI8" s="171">
        <v>19661322.16</v>
      </c>
      <c r="GJ8" s="172"/>
      <c r="GK8" s="171">
        <v>17226775.530000001</v>
      </c>
      <c r="GL8" s="172"/>
      <c r="GM8" s="171">
        <v>16327150.09</v>
      </c>
      <c r="GN8" s="172"/>
      <c r="GO8" s="171">
        <v>15793239.400000002</v>
      </c>
      <c r="GP8" s="172"/>
      <c r="GQ8" s="171">
        <v>14130789.610000001</v>
      </c>
    </row>
    <row r="9" spans="1:199" ht="14.25" customHeight="1" thickBot="1">
      <c r="A9" s="158"/>
      <c r="B9" s="157"/>
      <c r="C9" s="988"/>
      <c r="D9" s="953"/>
      <c r="E9" s="988"/>
      <c r="F9" s="953"/>
      <c r="G9" s="988"/>
      <c r="H9" s="953"/>
      <c r="I9" s="988"/>
      <c r="J9" s="953"/>
      <c r="K9" s="988"/>
      <c r="L9" s="953"/>
      <c r="M9" s="988"/>
      <c r="N9" s="953"/>
      <c r="O9" s="988"/>
      <c r="P9" s="953"/>
      <c r="Q9" s="988"/>
      <c r="R9" s="953"/>
      <c r="S9" s="988"/>
      <c r="T9" s="953"/>
      <c r="U9" s="988"/>
      <c r="V9" s="953"/>
      <c r="W9" s="988"/>
      <c r="X9" s="953"/>
      <c r="Y9" s="988"/>
      <c r="Z9" s="953"/>
      <c r="AA9" s="988"/>
      <c r="AB9" s="953"/>
      <c r="AC9" s="988"/>
      <c r="AD9" s="953"/>
      <c r="AE9" s="952"/>
      <c r="AF9" s="953"/>
      <c r="AG9" s="952"/>
      <c r="AH9" s="953"/>
      <c r="AI9" s="952"/>
      <c r="AJ9" s="953"/>
      <c r="AK9" s="952"/>
      <c r="AL9" s="953"/>
      <c r="AM9" s="952"/>
      <c r="AN9" s="953"/>
      <c r="AO9" s="952"/>
      <c r="AP9" s="953"/>
      <c r="AQ9" s="952"/>
      <c r="AR9" s="953"/>
      <c r="AS9" s="952"/>
      <c r="AT9" s="953"/>
      <c r="AU9" s="1166"/>
      <c r="AV9" s="410"/>
      <c r="AW9" s="637"/>
      <c r="AX9" s="410"/>
      <c r="AY9" s="637"/>
      <c r="AZ9" s="410"/>
      <c r="BA9" s="637"/>
      <c r="BB9" s="410"/>
      <c r="BC9" s="637"/>
      <c r="BD9" s="410"/>
      <c r="BE9" s="637"/>
      <c r="BF9" s="410"/>
      <c r="BG9" s="829"/>
      <c r="BH9" s="410"/>
      <c r="BI9" s="637"/>
      <c r="BJ9" s="410"/>
      <c r="BK9" s="637"/>
      <c r="BL9" s="410"/>
      <c r="BM9" s="637"/>
      <c r="BN9" s="410"/>
      <c r="BO9" s="637"/>
      <c r="BP9" s="410"/>
      <c r="BQ9" s="637"/>
      <c r="BR9" s="410"/>
      <c r="BS9" s="1166"/>
      <c r="BT9" s="410"/>
      <c r="BU9" s="637"/>
      <c r="BV9" s="410"/>
      <c r="BW9" s="174"/>
      <c r="BX9" s="410"/>
      <c r="BY9" s="174"/>
      <c r="BZ9" s="410"/>
      <c r="CA9" s="174"/>
      <c r="CB9" s="410"/>
      <c r="CC9" s="174"/>
      <c r="CD9" s="410"/>
      <c r="CE9" s="174"/>
      <c r="CF9" s="410"/>
      <c r="CG9" s="174"/>
      <c r="CH9" s="410"/>
      <c r="CI9" s="174"/>
      <c r="CJ9" s="410"/>
      <c r="CK9" s="174"/>
      <c r="CL9" s="410"/>
      <c r="CM9" s="174"/>
      <c r="CN9" s="410"/>
      <c r="CO9" s="174"/>
      <c r="CP9" s="410"/>
      <c r="CQ9" s="174"/>
      <c r="CR9" s="410"/>
      <c r="CS9" s="174"/>
      <c r="CT9" s="157"/>
      <c r="CU9" s="174"/>
      <c r="CV9" s="157"/>
      <c r="CW9" s="174"/>
      <c r="CX9" s="157"/>
      <c r="CY9" s="174"/>
      <c r="CZ9" s="157"/>
      <c r="DA9" s="174"/>
      <c r="DB9" s="157"/>
      <c r="DC9" s="174"/>
      <c r="DD9" s="157"/>
      <c r="DE9" s="174"/>
      <c r="DF9" s="157"/>
      <c r="DG9" s="174"/>
      <c r="DH9" s="157"/>
      <c r="DI9" s="174"/>
      <c r="DJ9" s="157"/>
      <c r="DK9" s="172"/>
      <c r="DL9" s="157"/>
      <c r="DM9" s="172"/>
      <c r="DN9" s="157"/>
      <c r="DO9" s="172"/>
      <c r="DP9" s="157"/>
      <c r="DQ9" s="172"/>
      <c r="DR9" s="157"/>
      <c r="DS9" s="172"/>
      <c r="DT9" s="157"/>
      <c r="DU9" s="172"/>
      <c r="DV9" s="157"/>
      <c r="DW9" s="172"/>
      <c r="DX9" s="157"/>
      <c r="DY9" s="172"/>
      <c r="DZ9" s="157"/>
      <c r="EA9" s="172"/>
      <c r="EB9" s="157"/>
      <c r="EC9" s="172"/>
      <c r="ED9" s="157"/>
      <c r="EE9" s="172"/>
      <c r="EF9" s="157"/>
      <c r="EG9" s="172"/>
      <c r="EH9" s="157"/>
      <c r="EI9" s="172"/>
      <c r="EJ9" s="157"/>
      <c r="EK9" s="172"/>
      <c r="EL9" s="157"/>
      <c r="EM9" s="172"/>
      <c r="EN9" s="157"/>
      <c r="EO9" s="172"/>
      <c r="EP9" s="157"/>
      <c r="EQ9" s="172"/>
      <c r="ER9" s="157"/>
      <c r="ES9" s="172"/>
      <c r="ET9" s="157"/>
      <c r="EU9" s="172"/>
      <c r="EV9" s="157"/>
      <c r="EW9" s="172"/>
      <c r="EX9" s="157"/>
      <c r="EY9" s="172"/>
      <c r="EZ9" s="157"/>
      <c r="FA9" s="172"/>
      <c r="FB9" s="157"/>
      <c r="FC9" s="172"/>
      <c r="FD9" s="157"/>
      <c r="FE9" s="172"/>
      <c r="FF9" s="157"/>
      <c r="FG9" s="172"/>
      <c r="FH9" s="157"/>
      <c r="FI9" s="172"/>
      <c r="FJ9" s="157"/>
      <c r="FK9" s="172"/>
      <c r="FL9" s="157"/>
      <c r="FM9" s="172"/>
      <c r="FN9" s="157"/>
      <c r="FO9" s="172"/>
      <c r="FP9" s="157"/>
      <c r="FQ9" s="172"/>
      <c r="FR9" s="157"/>
      <c r="FS9" s="172"/>
      <c r="FT9" s="157"/>
      <c r="FU9" s="172"/>
      <c r="FV9" s="157"/>
      <c r="FW9" s="172"/>
      <c r="FX9" s="157"/>
      <c r="FY9" s="172"/>
      <c r="FZ9" s="157"/>
      <c r="GA9" s="172"/>
      <c r="GB9" s="157"/>
      <c r="GC9" s="172"/>
      <c r="GD9" s="157"/>
      <c r="GE9" s="172"/>
      <c r="GF9" s="157"/>
      <c r="GG9" s="172"/>
      <c r="GH9" s="172"/>
      <c r="GI9" s="172"/>
      <c r="GJ9" s="172"/>
      <c r="GK9" s="172"/>
      <c r="GL9" s="172"/>
      <c r="GM9" s="172"/>
      <c r="GN9" s="172"/>
      <c r="GO9" s="172"/>
      <c r="GP9" s="172"/>
      <c r="GQ9" s="172"/>
    </row>
    <row r="10" spans="1:199" ht="14.25" customHeight="1" thickBot="1">
      <c r="A10" s="163">
        <v>1.2</v>
      </c>
      <c r="B10" s="164" t="s">
        <v>301</v>
      </c>
      <c r="C10" s="989"/>
      <c r="D10" s="411"/>
      <c r="E10" s="989"/>
      <c r="F10" s="411"/>
      <c r="G10" s="989"/>
      <c r="H10" s="411"/>
      <c r="I10" s="989"/>
      <c r="J10" s="411"/>
      <c r="K10" s="989"/>
      <c r="L10" s="411"/>
      <c r="M10" s="989"/>
      <c r="N10" s="411"/>
      <c r="O10" s="989"/>
      <c r="P10" s="411"/>
      <c r="Q10" s="989"/>
      <c r="R10" s="411"/>
      <c r="S10" s="989"/>
      <c r="T10" s="411"/>
      <c r="U10" s="989"/>
      <c r="V10" s="411"/>
      <c r="W10" s="989"/>
      <c r="X10" s="411"/>
      <c r="Y10" s="989"/>
      <c r="Z10" s="411"/>
      <c r="AA10" s="989"/>
      <c r="AB10" s="411"/>
      <c r="AC10" s="989"/>
      <c r="AD10" s="411"/>
      <c r="AE10" s="638"/>
      <c r="AF10" s="411"/>
      <c r="AG10" s="638"/>
      <c r="AH10" s="411"/>
      <c r="AI10" s="638"/>
      <c r="AJ10" s="411"/>
      <c r="AK10" s="638"/>
      <c r="AL10" s="411"/>
      <c r="AM10" s="638"/>
      <c r="AN10" s="411"/>
      <c r="AO10" s="638"/>
      <c r="AP10" s="411"/>
      <c r="AQ10" s="638"/>
      <c r="AR10" s="411"/>
      <c r="AS10" s="638"/>
      <c r="AT10" s="411"/>
      <c r="AU10" s="989"/>
      <c r="AV10" s="411"/>
      <c r="AW10" s="638"/>
      <c r="AX10" s="411"/>
      <c r="AY10" s="638"/>
      <c r="AZ10" s="411"/>
      <c r="BA10" s="638"/>
      <c r="BB10" s="411"/>
      <c r="BC10" s="638"/>
      <c r="BD10" s="411"/>
      <c r="BE10" s="638"/>
      <c r="BF10" s="411"/>
      <c r="BG10" s="830"/>
      <c r="BH10" s="411"/>
      <c r="BI10" s="638"/>
      <c r="BJ10" s="411"/>
      <c r="BK10" s="638"/>
      <c r="BL10" s="411"/>
      <c r="BM10" s="638"/>
      <c r="BN10" s="411"/>
      <c r="BO10" s="638"/>
      <c r="BP10" s="411"/>
      <c r="BQ10" s="638"/>
      <c r="BR10" s="411"/>
      <c r="BS10" s="989"/>
      <c r="BT10" s="411"/>
      <c r="BU10" s="638"/>
      <c r="BV10" s="411"/>
      <c r="BW10" s="172"/>
      <c r="BX10" s="411"/>
      <c r="BY10" s="172"/>
      <c r="BZ10" s="411"/>
      <c r="CA10" s="172"/>
      <c r="CB10" s="411"/>
      <c r="CC10" s="172"/>
      <c r="CD10" s="411"/>
      <c r="CE10" s="172"/>
      <c r="CF10" s="411"/>
      <c r="CG10" s="172"/>
      <c r="CH10" s="411"/>
      <c r="CI10" s="172"/>
      <c r="CJ10" s="411"/>
      <c r="CK10" s="172"/>
      <c r="CL10" s="411"/>
      <c r="CM10" s="172"/>
      <c r="CN10" s="411"/>
      <c r="CO10" s="172"/>
      <c r="CP10" s="411"/>
      <c r="CQ10" s="172"/>
      <c r="CR10" s="411"/>
      <c r="CS10" s="172"/>
      <c r="CT10" s="164"/>
      <c r="CU10" s="172"/>
      <c r="CV10" s="164"/>
      <c r="CW10" s="172"/>
      <c r="CX10" s="164"/>
      <c r="CY10" s="172"/>
      <c r="CZ10" s="164"/>
      <c r="DA10" s="172"/>
      <c r="DB10" s="164"/>
      <c r="DC10" s="172"/>
      <c r="DD10" s="164"/>
      <c r="DE10" s="172"/>
      <c r="DF10" s="164"/>
      <c r="DG10" s="172"/>
      <c r="DH10" s="164"/>
      <c r="DI10" s="172"/>
      <c r="DJ10" s="164"/>
      <c r="DK10" s="172"/>
      <c r="DL10" s="164"/>
      <c r="DM10" s="172"/>
      <c r="DN10" s="164"/>
      <c r="DO10" s="172"/>
      <c r="DP10" s="164"/>
      <c r="DQ10" s="172"/>
      <c r="DR10" s="164"/>
      <c r="DS10" s="172"/>
      <c r="DT10" s="164"/>
      <c r="DU10" s="172"/>
      <c r="DV10" s="164"/>
      <c r="DW10" s="172"/>
      <c r="DX10" s="164"/>
      <c r="DY10" s="172"/>
      <c r="DZ10" s="164"/>
      <c r="EA10" s="172"/>
      <c r="EB10" s="164"/>
      <c r="EC10" s="172"/>
      <c r="ED10" s="164"/>
      <c r="EE10" s="172"/>
      <c r="EF10" s="164"/>
      <c r="EG10" s="172"/>
      <c r="EH10" s="164"/>
      <c r="EI10" s="172"/>
      <c r="EJ10" s="164"/>
      <c r="EK10" s="172"/>
      <c r="EL10" s="164"/>
      <c r="EM10" s="172"/>
      <c r="EN10" s="164"/>
      <c r="EO10" s="172"/>
      <c r="EP10" s="164"/>
      <c r="EQ10" s="172"/>
      <c r="ER10" s="157"/>
      <c r="ES10" s="172"/>
      <c r="ET10" s="157"/>
      <c r="EU10" s="166"/>
      <c r="EV10" s="157"/>
      <c r="EW10" s="172"/>
      <c r="EX10" s="157"/>
      <c r="EY10" s="172"/>
      <c r="EZ10" s="157"/>
      <c r="FA10" s="172"/>
      <c r="FB10" s="157"/>
      <c r="FC10" s="172"/>
      <c r="FD10" s="157"/>
      <c r="FE10" s="172"/>
      <c r="FF10" s="157"/>
      <c r="FG10" s="172"/>
      <c r="FH10" s="157"/>
      <c r="FI10" s="172"/>
      <c r="FJ10" s="157"/>
      <c r="FK10" s="172"/>
      <c r="FL10" s="157"/>
      <c r="FM10" s="172"/>
      <c r="FN10" s="157"/>
      <c r="FO10" s="172"/>
      <c r="FP10" s="157"/>
      <c r="FQ10" s="172"/>
      <c r="FR10" s="157"/>
      <c r="FS10" s="172"/>
      <c r="FT10" s="157"/>
      <c r="FU10" s="172"/>
      <c r="FV10" s="157"/>
      <c r="FW10" s="172"/>
      <c r="FX10" s="157"/>
      <c r="FY10" s="172"/>
      <c r="FZ10" s="157"/>
      <c r="GA10" s="172"/>
      <c r="GB10" s="157"/>
      <c r="GC10" s="172"/>
      <c r="GD10" s="157"/>
      <c r="GE10" s="172"/>
      <c r="GF10" s="157"/>
      <c r="GG10" s="172"/>
      <c r="GH10" s="172"/>
      <c r="GI10" s="172"/>
      <c r="GJ10" s="172"/>
      <c r="GK10" s="172"/>
      <c r="GL10" s="172"/>
      <c r="GM10" s="172"/>
      <c r="GN10" s="172"/>
      <c r="GO10" s="172"/>
      <c r="GP10" s="172"/>
      <c r="GQ10" s="172"/>
    </row>
    <row r="11" spans="1:199" ht="14.25" customHeight="1">
      <c r="A11" s="175"/>
      <c r="B11" s="157" t="s">
        <v>302</v>
      </c>
      <c r="C11" s="167">
        <v>0</v>
      </c>
      <c r="D11" s="410"/>
      <c r="E11" s="167">
        <v>0</v>
      </c>
      <c r="F11" s="410"/>
      <c r="G11" s="167">
        <v>0</v>
      </c>
      <c r="H11" s="410"/>
      <c r="I11" s="167">
        <v>0</v>
      </c>
      <c r="J11" s="410"/>
      <c r="K11" s="167">
        <v>0</v>
      </c>
      <c r="L11" s="410"/>
      <c r="M11" s="167">
        <v>0</v>
      </c>
      <c r="N11" s="410"/>
      <c r="O11" s="167">
        <v>0</v>
      </c>
      <c r="P11" s="410"/>
      <c r="Q11" s="167">
        <v>0</v>
      </c>
      <c r="R11" s="410"/>
      <c r="S11" s="167">
        <v>0</v>
      </c>
      <c r="T11" s="410"/>
      <c r="U11" s="167">
        <v>0</v>
      </c>
      <c r="V11" s="410"/>
      <c r="W11" s="418">
        <v>0</v>
      </c>
      <c r="X11" s="410"/>
      <c r="Y11" s="167">
        <v>10323163.640000001</v>
      </c>
      <c r="Z11" s="410"/>
      <c r="AA11" s="167">
        <v>10323163.640000001</v>
      </c>
      <c r="AB11" s="410"/>
      <c r="AC11" s="418">
        <v>10323163.640000001</v>
      </c>
      <c r="AD11" s="410"/>
      <c r="AE11" s="167">
        <v>10323163.640000001</v>
      </c>
      <c r="AF11" s="410"/>
      <c r="AG11" s="167">
        <v>10323163.640000001</v>
      </c>
      <c r="AH11" s="410"/>
      <c r="AI11" s="167">
        <v>10323163.640000001</v>
      </c>
      <c r="AJ11" s="410"/>
      <c r="AK11" s="167">
        <v>10323163.640000001</v>
      </c>
      <c r="AL11" s="410"/>
      <c r="AM11" s="167">
        <v>10323163.640000001</v>
      </c>
      <c r="AN11" s="410"/>
      <c r="AO11" s="167">
        <v>10838513.640000001</v>
      </c>
      <c r="AP11" s="410"/>
      <c r="AQ11" s="167">
        <v>10323163.640000001</v>
      </c>
      <c r="AR11" s="410"/>
      <c r="AS11" s="167">
        <v>10323163.640000001</v>
      </c>
      <c r="AT11" s="410"/>
      <c r="AU11" s="418">
        <v>0</v>
      </c>
      <c r="AV11" s="410"/>
      <c r="AW11" s="167">
        <v>9835953.6400000006</v>
      </c>
      <c r="AX11" s="410"/>
      <c r="AY11" s="167">
        <v>9835953.6400000006</v>
      </c>
      <c r="AZ11" s="410"/>
      <c r="BA11" s="167">
        <v>10835953.640000001</v>
      </c>
      <c r="BB11" s="410"/>
      <c r="BC11" s="167">
        <v>9835953.6400000006</v>
      </c>
      <c r="BD11" s="410"/>
      <c r="BE11" s="167">
        <v>10135953.640000001</v>
      </c>
      <c r="BF11" s="410"/>
      <c r="BG11" s="167">
        <v>9435953.6400000006</v>
      </c>
      <c r="BH11" s="410"/>
      <c r="BI11" s="167">
        <v>8231791.6399999997</v>
      </c>
      <c r="BJ11" s="410"/>
      <c r="BK11" s="167">
        <v>8231791.6399999997</v>
      </c>
      <c r="BL11" s="410"/>
      <c r="BM11" s="167">
        <v>8231791.6399999997</v>
      </c>
      <c r="BN11" s="410"/>
      <c r="BO11" s="167">
        <v>8231791.6399999997</v>
      </c>
      <c r="BP11" s="410"/>
      <c r="BQ11" s="167">
        <v>8231791.6399999997</v>
      </c>
      <c r="BR11" s="410"/>
      <c r="BS11" s="418">
        <v>0</v>
      </c>
      <c r="BT11" s="410"/>
      <c r="BU11" s="167">
        <v>4059216.64</v>
      </c>
      <c r="BV11" s="410"/>
      <c r="BW11" s="167">
        <v>4059216.64</v>
      </c>
      <c r="BX11" s="410"/>
      <c r="BY11" s="167">
        <v>4059216.64</v>
      </c>
      <c r="BZ11" s="410"/>
      <c r="CA11" s="167">
        <v>4059216.64</v>
      </c>
      <c r="CB11" s="410"/>
      <c r="CC11" s="167">
        <v>4059216.64</v>
      </c>
      <c r="CD11" s="410"/>
      <c r="CE11" s="167">
        <v>4059216.64</v>
      </c>
      <c r="CF11" s="410"/>
      <c r="CG11" s="167">
        <v>4059216.64</v>
      </c>
      <c r="CH11" s="410"/>
      <c r="CI11" s="167">
        <v>2683693.64</v>
      </c>
      <c r="CJ11" s="410"/>
      <c r="CK11" s="167">
        <v>2683693.64</v>
      </c>
      <c r="CL11" s="410"/>
      <c r="CM11" s="167">
        <v>2683693.64</v>
      </c>
      <c r="CN11" s="410"/>
      <c r="CO11" s="167">
        <v>2683693.64</v>
      </c>
      <c r="CP11" s="410"/>
      <c r="CQ11" s="167">
        <v>2683693.64</v>
      </c>
      <c r="CR11" s="410"/>
      <c r="CS11" s="167">
        <f>CU11</f>
        <v>2342190</v>
      </c>
      <c r="CT11" s="157"/>
      <c r="CU11" s="167">
        <f>CW11</f>
        <v>2342190</v>
      </c>
      <c r="CV11" s="157"/>
      <c r="CW11" s="167">
        <v>2342190</v>
      </c>
      <c r="CX11" s="157"/>
      <c r="CY11" s="166">
        <v>2342189.6800000002</v>
      </c>
      <c r="CZ11" s="157"/>
      <c r="DA11" s="166">
        <v>2084704.62</v>
      </c>
      <c r="DB11" s="157"/>
      <c r="DC11" s="166">
        <v>1997617.57</v>
      </c>
      <c r="DD11" s="157"/>
      <c r="DE11" s="166">
        <v>1778081.34</v>
      </c>
      <c r="DF11" s="157"/>
      <c r="DG11" s="166">
        <v>1357386.86</v>
      </c>
      <c r="DH11" s="157"/>
      <c r="DI11" s="166">
        <v>1134487.7</v>
      </c>
      <c r="DJ11" s="157"/>
      <c r="DK11" s="166">
        <v>994051.48</v>
      </c>
      <c r="DL11" s="157"/>
      <c r="DM11" s="166">
        <v>901582.9</v>
      </c>
      <c r="DN11" s="157"/>
      <c r="DO11" s="166">
        <v>1167694</v>
      </c>
      <c r="DP11" s="157"/>
      <c r="DQ11" s="166">
        <v>1048464.1</v>
      </c>
      <c r="DR11" s="157"/>
      <c r="DS11" s="166">
        <v>964042.03</v>
      </c>
      <c r="DT11" s="157"/>
      <c r="DU11" s="166">
        <v>834659.81</v>
      </c>
      <c r="DV11" s="157"/>
      <c r="DW11" s="166">
        <v>920200</v>
      </c>
      <c r="DX11" s="157"/>
      <c r="DY11" s="166">
        <v>741527.77</v>
      </c>
      <c r="DZ11" s="157"/>
      <c r="EA11" s="166">
        <v>608378.63</v>
      </c>
      <c r="EB11" s="157"/>
      <c r="EC11" s="166">
        <v>592956.22</v>
      </c>
      <c r="ED11" s="157"/>
      <c r="EE11" s="166">
        <v>653558.79</v>
      </c>
      <c r="EF11" s="157"/>
      <c r="EG11" s="167">
        <v>533513.22</v>
      </c>
      <c r="EH11" s="157"/>
      <c r="EI11" s="167">
        <v>560502.80000000005</v>
      </c>
      <c r="EJ11" s="157"/>
      <c r="EK11" s="167">
        <v>435945.31</v>
      </c>
      <c r="EL11" s="157"/>
      <c r="EM11" s="167">
        <v>320537.96000000002</v>
      </c>
      <c r="EN11" s="157"/>
      <c r="EO11" s="167">
        <v>259094.5</v>
      </c>
      <c r="EP11" s="157"/>
      <c r="EQ11" s="166">
        <v>206545.47</v>
      </c>
      <c r="ER11" s="166"/>
      <c r="ES11" s="166">
        <v>187524.09</v>
      </c>
      <c r="ET11" s="166"/>
      <c r="EU11" s="166">
        <v>181488.79</v>
      </c>
      <c r="EV11" s="166"/>
      <c r="EW11" s="166">
        <v>177586.44</v>
      </c>
      <c r="EX11" s="166"/>
      <c r="EY11" s="166">
        <v>181756.06</v>
      </c>
      <c r="EZ11" s="166"/>
      <c r="FA11" s="166">
        <v>185043.88</v>
      </c>
      <c r="FB11" s="166"/>
      <c r="FC11" s="166">
        <v>163407.67999999999</v>
      </c>
      <c r="FD11" s="166"/>
      <c r="FE11" s="166">
        <v>161967.72</v>
      </c>
      <c r="FF11" s="166"/>
      <c r="FG11" s="166">
        <v>227612.98</v>
      </c>
      <c r="FH11" s="166"/>
      <c r="FI11" s="166">
        <v>227612.98</v>
      </c>
      <c r="FJ11" s="164"/>
      <c r="FK11" s="166">
        <v>227612.98</v>
      </c>
      <c r="FL11" s="157"/>
      <c r="FM11" s="172"/>
      <c r="FN11" s="157"/>
      <c r="FO11" s="172"/>
      <c r="FP11" s="157"/>
      <c r="FQ11" s="172"/>
      <c r="FR11" s="157"/>
      <c r="FS11" s="172"/>
      <c r="FT11" s="157"/>
      <c r="FU11" s="172"/>
      <c r="FV11" s="157"/>
      <c r="FW11" s="172"/>
      <c r="FX11" s="157"/>
      <c r="FY11" s="172"/>
      <c r="FZ11" s="157"/>
      <c r="GA11" s="172"/>
      <c r="GB11" s="157"/>
      <c r="GC11" s="172"/>
      <c r="GD11" s="157"/>
      <c r="GE11" s="172"/>
      <c r="GF11" s="157"/>
      <c r="GG11" s="172"/>
      <c r="GH11" s="172"/>
      <c r="GI11" s="172"/>
      <c r="GJ11" s="172"/>
      <c r="GK11" s="172"/>
      <c r="GL11" s="172"/>
      <c r="GM11" s="172"/>
      <c r="GN11" s="172"/>
      <c r="GO11" s="172"/>
      <c r="GP11" s="172"/>
      <c r="GQ11" s="172"/>
    </row>
    <row r="12" spans="1:199" ht="14.25" customHeight="1" thickBot="1">
      <c r="A12" s="735"/>
      <c r="B12" s="157" t="s">
        <v>303</v>
      </c>
      <c r="C12" s="167">
        <v>0</v>
      </c>
      <c r="D12" s="448"/>
      <c r="E12" s="167">
        <v>0</v>
      </c>
      <c r="F12" s="448"/>
      <c r="G12" s="167">
        <v>0</v>
      </c>
      <c r="H12" s="448"/>
      <c r="I12" s="167">
        <v>0</v>
      </c>
      <c r="J12" s="448"/>
      <c r="K12" s="167">
        <v>0</v>
      </c>
      <c r="L12" s="448"/>
      <c r="M12" s="167">
        <v>0</v>
      </c>
      <c r="N12" s="448"/>
      <c r="O12" s="167">
        <v>0</v>
      </c>
      <c r="P12" s="448"/>
      <c r="Q12" s="167">
        <v>0</v>
      </c>
      <c r="R12" s="448"/>
      <c r="S12" s="167">
        <v>0</v>
      </c>
      <c r="T12" s="448"/>
      <c r="U12" s="167">
        <v>0</v>
      </c>
      <c r="V12" s="448"/>
      <c r="W12" s="418"/>
      <c r="X12" s="448"/>
      <c r="Y12" s="167">
        <v>-6225665.29</v>
      </c>
      <c r="Z12" s="448"/>
      <c r="AA12" s="167">
        <v>-6225665.29</v>
      </c>
      <c r="AB12" s="448"/>
      <c r="AC12" s="418">
        <v>-6225665.29</v>
      </c>
      <c r="AD12" s="448"/>
      <c r="AE12" s="167">
        <v>-6225665.29</v>
      </c>
      <c r="AF12" s="448"/>
      <c r="AG12" s="167">
        <v>-6225665.29</v>
      </c>
      <c r="AH12" s="448"/>
      <c r="AI12" s="167">
        <v>-6225665.29</v>
      </c>
      <c r="AJ12" s="448"/>
      <c r="AK12" s="167">
        <v>-6225665.29</v>
      </c>
      <c r="AL12" s="448"/>
      <c r="AM12" s="167">
        <v>-6225665.29</v>
      </c>
      <c r="AN12" s="448"/>
      <c r="AO12" s="167">
        <v>-6225665.29</v>
      </c>
      <c r="AP12" s="448"/>
      <c r="AQ12" s="167">
        <v>-6225665.29</v>
      </c>
      <c r="AR12" s="448"/>
      <c r="AS12" s="167">
        <v>-6225665.29</v>
      </c>
      <c r="AT12" s="448"/>
      <c r="AU12" s="418">
        <v>0</v>
      </c>
      <c r="AV12" s="448"/>
      <c r="AW12" s="167">
        <v>-5835897.29</v>
      </c>
      <c r="AX12" s="448"/>
      <c r="AY12" s="167">
        <v>-5835897.29</v>
      </c>
      <c r="AZ12" s="448"/>
      <c r="BA12" s="167">
        <v>-5835897.29</v>
      </c>
      <c r="BB12" s="448"/>
      <c r="BC12" s="167">
        <v>-5835897.29</v>
      </c>
      <c r="BD12" s="448"/>
      <c r="BE12" s="167">
        <v>-5835897.29</v>
      </c>
      <c r="BF12" s="448"/>
      <c r="BG12" s="167">
        <v>-5835897.29</v>
      </c>
      <c r="BH12" s="448"/>
      <c r="BI12" s="167">
        <v>-6194098.29</v>
      </c>
      <c r="BJ12" s="448"/>
      <c r="BK12" s="167">
        <v>-5794098.29</v>
      </c>
      <c r="BL12" s="448"/>
      <c r="BM12" s="167">
        <v>-5794098.29</v>
      </c>
      <c r="BN12" s="448"/>
      <c r="BO12" s="167">
        <v>-5794098.29</v>
      </c>
      <c r="BP12" s="448"/>
      <c r="BQ12" s="167">
        <v>-5794098.29</v>
      </c>
      <c r="BR12" s="448"/>
      <c r="BS12" s="418">
        <v>0</v>
      </c>
      <c r="BT12" s="448"/>
      <c r="BU12" s="167">
        <v>-2723428.29</v>
      </c>
      <c r="BV12" s="448"/>
      <c r="BW12" s="167">
        <v>-2723428.29</v>
      </c>
      <c r="BX12" s="448"/>
      <c r="BY12" s="167">
        <v>-2723428.29</v>
      </c>
      <c r="BZ12" s="448"/>
      <c r="CA12" s="167">
        <v>-2723428.29</v>
      </c>
      <c r="CB12" s="448"/>
      <c r="CC12" s="167">
        <v>-2723428.29</v>
      </c>
      <c r="CD12" s="448"/>
      <c r="CE12" s="167">
        <v>-2723428.29</v>
      </c>
      <c r="CF12" s="448"/>
      <c r="CG12" s="167">
        <v>-2723428.29</v>
      </c>
      <c r="CH12" s="448"/>
      <c r="CI12" s="167">
        <v>-2445288.29</v>
      </c>
      <c r="CJ12" s="410"/>
      <c r="CK12" s="167">
        <v>-2445288.29</v>
      </c>
      <c r="CL12" s="410"/>
      <c r="CM12" s="167">
        <v>-2445288.29</v>
      </c>
      <c r="CN12" s="410"/>
      <c r="CO12" s="167">
        <v>-2445288.29</v>
      </c>
      <c r="CP12" s="410"/>
      <c r="CQ12" s="167">
        <v>-2445288.29</v>
      </c>
      <c r="CR12" s="410"/>
      <c r="CS12" s="167">
        <f>CU12</f>
        <v>-2111330</v>
      </c>
      <c r="CT12" s="157"/>
      <c r="CU12" s="167">
        <f>CW12</f>
        <v>-2111330</v>
      </c>
      <c r="CV12" s="157"/>
      <c r="CW12" s="167">
        <v>-2111330</v>
      </c>
      <c r="CX12" s="157"/>
      <c r="CY12" s="166">
        <v>-2111329.69</v>
      </c>
      <c r="CZ12" s="157"/>
      <c r="DA12" s="166">
        <v>-1775662.41</v>
      </c>
      <c r="DB12" s="157"/>
      <c r="DC12" s="166">
        <v>-1646886.15</v>
      </c>
      <c r="DD12" s="157"/>
      <c r="DE12" s="166">
        <v>-1605016.84</v>
      </c>
      <c r="DF12" s="157"/>
      <c r="DG12" s="166">
        <v>-1309051.8500000001</v>
      </c>
      <c r="DH12" s="157"/>
      <c r="DI12" s="166">
        <v>-1061398.27</v>
      </c>
      <c r="DJ12" s="157"/>
      <c r="DK12" s="166">
        <v>-936762.69</v>
      </c>
      <c r="DL12" s="157"/>
      <c r="DM12" s="166">
        <v>-799061.12</v>
      </c>
      <c r="DN12" s="157"/>
      <c r="DO12" s="166">
        <v>-1020532.98</v>
      </c>
      <c r="DP12" s="157"/>
      <c r="DQ12" s="166">
        <v>-998870.31</v>
      </c>
      <c r="DR12" s="157"/>
      <c r="DS12" s="166">
        <v>-913708.04</v>
      </c>
      <c r="DT12" s="157"/>
      <c r="DU12" s="166">
        <v>-645704.73</v>
      </c>
      <c r="DV12" s="157"/>
      <c r="DW12" s="166">
        <v>-857607.66</v>
      </c>
      <c r="DX12" s="157"/>
      <c r="DY12" s="166">
        <v>-685963.87</v>
      </c>
      <c r="DZ12" s="157"/>
      <c r="EA12" s="166">
        <v>-541123.26</v>
      </c>
      <c r="EB12" s="157"/>
      <c r="EC12" s="166">
        <v>-690636.66</v>
      </c>
      <c r="ED12" s="157"/>
      <c r="EE12" s="166">
        <v>-590004.19999999995</v>
      </c>
      <c r="EF12" s="157"/>
      <c r="EG12" s="167">
        <v>-500864.91</v>
      </c>
      <c r="EH12" s="157"/>
      <c r="EI12" s="167">
        <v>-387193.2</v>
      </c>
      <c r="EJ12" s="157"/>
      <c r="EK12" s="167">
        <v>-317019.7</v>
      </c>
      <c r="EL12" s="157"/>
      <c r="EM12" s="167">
        <v>-264136.84999999998</v>
      </c>
      <c r="EN12" s="157"/>
      <c r="EO12" s="167">
        <v>-219074.5</v>
      </c>
      <c r="EP12" s="157"/>
      <c r="EQ12" s="166">
        <v>-171286</v>
      </c>
      <c r="ER12" s="157"/>
      <c r="ES12" s="166">
        <v>-157274.5</v>
      </c>
      <c r="ET12" s="157"/>
      <c r="EU12" s="166">
        <v>-167718.63</v>
      </c>
      <c r="EV12" s="157"/>
      <c r="EW12" s="166">
        <v>-161766.99</v>
      </c>
      <c r="EX12" s="157"/>
      <c r="EY12" s="166">
        <v>-165404.37</v>
      </c>
      <c r="EZ12" s="157"/>
      <c r="FA12" s="166">
        <v>-166547.09</v>
      </c>
      <c r="FB12" s="157"/>
      <c r="FC12" s="166">
        <v>-145464.32000000001</v>
      </c>
      <c r="FD12" s="157"/>
      <c r="FE12" s="166">
        <v>-138705.72</v>
      </c>
      <c r="FF12" s="157"/>
      <c r="FG12" s="166">
        <v>-107327.72</v>
      </c>
      <c r="FH12" s="157"/>
      <c r="FI12" s="166">
        <v>-176828.03</v>
      </c>
      <c r="FJ12" s="157"/>
      <c r="FK12" s="166">
        <v>-203540.53</v>
      </c>
      <c r="FL12" s="157"/>
      <c r="FM12" s="172"/>
      <c r="FN12" s="157"/>
      <c r="FO12" s="172"/>
      <c r="FP12" s="157"/>
      <c r="FQ12" s="172"/>
      <c r="FR12" s="157"/>
      <c r="FS12" s="172"/>
      <c r="FT12" s="157"/>
      <c r="FU12" s="172"/>
      <c r="FV12" s="157"/>
      <c r="FW12" s="172"/>
      <c r="FX12" s="157"/>
      <c r="FY12" s="172"/>
      <c r="FZ12" s="157"/>
      <c r="GA12" s="172"/>
      <c r="GB12" s="157"/>
      <c r="GC12" s="172"/>
      <c r="GD12" s="157"/>
      <c r="GE12" s="172"/>
      <c r="GF12" s="157"/>
      <c r="GG12" s="172"/>
      <c r="GH12" s="172"/>
      <c r="GI12" s="172"/>
      <c r="GJ12" s="172"/>
      <c r="GK12" s="172"/>
      <c r="GL12" s="172"/>
      <c r="GM12" s="172"/>
      <c r="GN12" s="172"/>
      <c r="GO12" s="172"/>
      <c r="GP12" s="172"/>
      <c r="GQ12" s="172"/>
    </row>
    <row r="13" spans="1:199" ht="14.25" customHeight="1" thickBot="1">
      <c r="A13" s="158"/>
      <c r="B13" s="157"/>
      <c r="C13" s="190">
        <f>SUM(C11:C12)</f>
        <v>0</v>
      </c>
      <c r="D13" s="410"/>
      <c r="E13" s="190">
        <f>SUM(E11:E12)</f>
        <v>0</v>
      </c>
      <c r="F13" s="410"/>
      <c r="G13" s="190">
        <f>SUM(G11:G12)</f>
        <v>0</v>
      </c>
      <c r="H13" s="410"/>
      <c r="I13" s="190">
        <f>SUM(I11:I12)</f>
        <v>0</v>
      </c>
      <c r="J13" s="410"/>
      <c r="K13" s="190">
        <f>SUM(K11:K12)</f>
        <v>0</v>
      </c>
      <c r="L13" s="410"/>
      <c r="M13" s="190">
        <f>SUM(M11:M12)</f>
        <v>0</v>
      </c>
      <c r="N13" s="410"/>
      <c r="O13" s="190">
        <f>SUM(O11:O12)</f>
        <v>0</v>
      </c>
      <c r="P13" s="410"/>
      <c r="Q13" s="190">
        <f>SUM(Q11:Q12)</f>
        <v>0</v>
      </c>
      <c r="R13" s="410"/>
      <c r="S13" s="190">
        <f>SUM(S11:S12)</f>
        <v>0</v>
      </c>
      <c r="T13" s="410"/>
      <c r="U13" s="190">
        <f>SUM(U11:U12)</f>
        <v>0</v>
      </c>
      <c r="V13" s="410"/>
      <c r="W13" s="987">
        <f>SUM(W11:W12)</f>
        <v>0</v>
      </c>
      <c r="X13" s="410"/>
      <c r="Y13" s="190">
        <v>4097498.3500000006</v>
      </c>
      <c r="Z13" s="410"/>
      <c r="AA13" s="190">
        <v>4097498.3500000006</v>
      </c>
      <c r="AB13" s="410"/>
      <c r="AC13" s="190">
        <f>SUM(AC11:AC12)</f>
        <v>4097498.3500000006</v>
      </c>
      <c r="AD13" s="410"/>
      <c r="AE13" s="190">
        <f>SUM(AE11:AE12)</f>
        <v>4097498.3500000006</v>
      </c>
      <c r="AF13" s="410"/>
      <c r="AG13" s="190">
        <f>SUM(AG11:AG12)</f>
        <v>4097498.3500000006</v>
      </c>
      <c r="AH13" s="410"/>
      <c r="AI13" s="190">
        <v>4097498.3500000006</v>
      </c>
      <c r="AJ13" s="410"/>
      <c r="AK13" s="190">
        <v>4097498.3500000006</v>
      </c>
      <c r="AL13" s="410"/>
      <c r="AM13" s="190">
        <v>4097498.3500000006</v>
      </c>
      <c r="AN13" s="410"/>
      <c r="AO13" s="190">
        <v>4612848.3500000006</v>
      </c>
      <c r="AP13" s="410"/>
      <c r="AQ13" s="190">
        <v>4097498.3500000006</v>
      </c>
      <c r="AR13" s="410"/>
      <c r="AS13" s="190">
        <v>4097498.3500000006</v>
      </c>
      <c r="AT13" s="410"/>
      <c r="AU13" s="987">
        <f>SUM(AU11:AU12)</f>
        <v>0</v>
      </c>
      <c r="AV13" s="410"/>
      <c r="AW13" s="190">
        <v>4000056.3500000006</v>
      </c>
      <c r="AX13" s="410"/>
      <c r="AY13" s="190">
        <v>4000056.3500000006</v>
      </c>
      <c r="AZ13" s="410"/>
      <c r="BA13" s="190">
        <v>5000056.3500000006</v>
      </c>
      <c r="BB13" s="410"/>
      <c r="BC13" s="190">
        <v>4000056.3500000006</v>
      </c>
      <c r="BD13" s="410"/>
      <c r="BE13" s="190">
        <v>4300056.3500000006</v>
      </c>
      <c r="BF13" s="410"/>
      <c r="BG13" s="190">
        <v>3600056.3500000006</v>
      </c>
      <c r="BH13" s="410"/>
      <c r="BI13" s="190">
        <v>2037693.3499999996</v>
      </c>
      <c r="BJ13" s="410"/>
      <c r="BK13" s="190">
        <v>2437693.3499999996</v>
      </c>
      <c r="BL13" s="410"/>
      <c r="BM13" s="190">
        <v>2437693.3499999996</v>
      </c>
      <c r="BN13" s="410"/>
      <c r="BO13" s="190">
        <v>2437693.3499999996</v>
      </c>
      <c r="BP13" s="410"/>
      <c r="BQ13" s="190">
        <f>SUM(BQ11:BQ12)</f>
        <v>2437693.3499999996</v>
      </c>
      <c r="BR13" s="410"/>
      <c r="BS13" s="987">
        <f>SUM(BS11:BS12)</f>
        <v>0</v>
      </c>
      <c r="BT13" s="410"/>
      <c r="BU13" s="190">
        <f>SUM(BU11:BU12)</f>
        <v>1335788.3500000001</v>
      </c>
      <c r="BV13" s="410"/>
      <c r="BW13" s="171">
        <v>1335788.3500000001</v>
      </c>
      <c r="BX13" s="410"/>
      <c r="BY13" s="171">
        <v>1335788.3500000001</v>
      </c>
      <c r="BZ13" s="410"/>
      <c r="CA13" s="171">
        <v>1335788.3500000001</v>
      </c>
      <c r="CB13" s="410"/>
      <c r="CC13" s="171">
        <v>1335788.3500000001</v>
      </c>
      <c r="CD13" s="410"/>
      <c r="CE13" s="171">
        <v>1335788.3500000001</v>
      </c>
      <c r="CF13" s="410"/>
      <c r="CG13" s="171">
        <v>1335788.3500000001</v>
      </c>
      <c r="CH13" s="410"/>
      <c r="CI13" s="171">
        <v>238405.35000000009</v>
      </c>
      <c r="CJ13" s="410"/>
      <c r="CK13" s="171">
        <v>238405.35000000009</v>
      </c>
      <c r="CL13" s="410"/>
      <c r="CM13" s="171">
        <f>SUM(CM11:CM12)</f>
        <v>238405.35000000009</v>
      </c>
      <c r="CN13" s="410"/>
      <c r="CO13" s="171">
        <f>SUM(CO11:CO12)</f>
        <v>238405.35000000009</v>
      </c>
      <c r="CP13" s="410"/>
      <c r="CQ13" s="171">
        <f>SUM(CQ11:CQ12)</f>
        <v>238405.35000000009</v>
      </c>
      <c r="CR13" s="410"/>
      <c r="CS13" s="171">
        <f>SUM(CS11:CS12)</f>
        <v>230860</v>
      </c>
      <c r="CT13" s="157"/>
      <c r="CU13" s="171">
        <f>SUM(CU11:CU12)</f>
        <v>230860</v>
      </c>
      <c r="CV13" s="157"/>
      <c r="CW13" s="171">
        <f>SUM(CW11:CW12)</f>
        <v>230860</v>
      </c>
      <c r="CX13" s="157"/>
      <c r="CY13" s="171">
        <f>SUM(CY11:CY12)</f>
        <v>230859.99000000022</v>
      </c>
      <c r="CZ13" s="157"/>
      <c r="DA13" s="171">
        <f>SUM(DA11:DA12)</f>
        <v>309042.2100000002</v>
      </c>
      <c r="DB13" s="157"/>
      <c r="DC13" s="171">
        <f>SUM(DC11:DC12)</f>
        <v>350731.42000000016</v>
      </c>
      <c r="DD13" s="157"/>
      <c r="DE13" s="171">
        <f>SUM(DE11:DE12)</f>
        <v>173064.5</v>
      </c>
      <c r="DF13" s="157"/>
      <c r="DG13" s="171">
        <f>SUM(DG11:DG12)</f>
        <v>48335.010000000009</v>
      </c>
      <c r="DH13" s="157"/>
      <c r="DI13" s="171">
        <f>SUM(DI11:DI12)</f>
        <v>73089.429999999935</v>
      </c>
      <c r="DJ13" s="157"/>
      <c r="DK13" s="171">
        <f>SUM(DK11:DK12)</f>
        <v>57288.790000000037</v>
      </c>
      <c r="DL13" s="157"/>
      <c r="DM13" s="171">
        <f>SUM(DM11:DM12)</f>
        <v>102521.78000000003</v>
      </c>
      <c r="DN13" s="157"/>
      <c r="DO13" s="171">
        <v>147161.02000000002</v>
      </c>
      <c r="DP13" s="157"/>
      <c r="DQ13" s="171">
        <v>49593.789999999921</v>
      </c>
      <c r="DR13" s="157"/>
      <c r="DS13" s="171">
        <v>50333.989999999991</v>
      </c>
      <c r="DT13" s="157"/>
      <c r="DU13" s="171">
        <v>188955.08000000007</v>
      </c>
      <c r="DV13" s="157"/>
      <c r="DW13" s="171">
        <v>62592.339999999967</v>
      </c>
      <c r="DX13" s="157"/>
      <c r="DY13" s="171">
        <v>55563.900000000023</v>
      </c>
      <c r="DZ13" s="157"/>
      <c r="EA13" s="171">
        <v>67255.37</v>
      </c>
      <c r="EB13" s="157"/>
      <c r="EC13" s="171">
        <v>-97680.440000000061</v>
      </c>
      <c r="ED13" s="157"/>
      <c r="EE13" s="171">
        <v>63554.590000000084</v>
      </c>
      <c r="EF13" s="157"/>
      <c r="EG13" s="171">
        <v>32648.309999999998</v>
      </c>
      <c r="EH13" s="157"/>
      <c r="EI13" s="171">
        <v>173309.60000000003</v>
      </c>
      <c r="EJ13" s="157"/>
      <c r="EK13" s="171">
        <v>118925.60999999999</v>
      </c>
      <c r="EL13" s="157"/>
      <c r="EM13" s="171">
        <v>56401.110000000044</v>
      </c>
      <c r="EN13" s="157"/>
      <c r="EO13" s="171">
        <v>40020</v>
      </c>
      <c r="EP13" s="157"/>
      <c r="EQ13" s="171">
        <v>35259.47</v>
      </c>
      <c r="ER13" s="157"/>
      <c r="ES13" s="171">
        <v>30249.589999999997</v>
      </c>
      <c r="ET13" s="157"/>
      <c r="EU13" s="171">
        <v>13770.160000000003</v>
      </c>
      <c r="EV13" s="157"/>
      <c r="EW13" s="171">
        <v>15819.450000000012</v>
      </c>
      <c r="EX13" s="157"/>
      <c r="EY13" s="171">
        <v>16351.690000000002</v>
      </c>
      <c r="EZ13" s="157"/>
      <c r="FA13" s="171">
        <v>18496.790000000008</v>
      </c>
      <c r="FB13" s="157"/>
      <c r="FC13" s="171">
        <v>17943.359999999986</v>
      </c>
      <c r="FD13" s="157"/>
      <c r="FE13" s="171">
        <v>23262</v>
      </c>
      <c r="FF13" s="157"/>
      <c r="FG13" s="171">
        <v>120285.26000000001</v>
      </c>
      <c r="FH13" s="157"/>
      <c r="FI13" s="171">
        <v>50784.950000000012</v>
      </c>
      <c r="FJ13" s="157"/>
      <c r="FK13" s="171">
        <v>24072.450000000012</v>
      </c>
      <c r="FL13" s="157"/>
      <c r="FM13" s="171">
        <v>0</v>
      </c>
      <c r="FN13" s="157"/>
      <c r="FO13" s="171">
        <v>0</v>
      </c>
      <c r="FP13" s="157"/>
      <c r="FQ13" s="171">
        <v>0</v>
      </c>
      <c r="FR13" s="157"/>
      <c r="FS13" s="171">
        <v>0</v>
      </c>
      <c r="FT13" s="157"/>
      <c r="FU13" s="171">
        <v>0</v>
      </c>
      <c r="FV13" s="157"/>
      <c r="FW13" s="171">
        <v>0</v>
      </c>
      <c r="FX13" s="157"/>
      <c r="FY13" s="171">
        <v>0</v>
      </c>
      <c r="FZ13" s="157"/>
      <c r="GA13" s="171">
        <v>0</v>
      </c>
      <c r="GB13" s="157"/>
      <c r="GC13" s="171">
        <v>0</v>
      </c>
      <c r="GD13" s="157"/>
      <c r="GE13" s="171">
        <v>0</v>
      </c>
      <c r="GF13" s="157"/>
      <c r="GG13" s="171">
        <v>0</v>
      </c>
      <c r="GH13" s="172"/>
      <c r="GI13" s="172"/>
      <c r="GJ13" s="172"/>
      <c r="GK13" s="172"/>
      <c r="GL13" s="172"/>
      <c r="GM13" s="172"/>
      <c r="GN13" s="172"/>
      <c r="GO13" s="172"/>
      <c r="GP13" s="172"/>
      <c r="GQ13" s="172"/>
    </row>
    <row r="14" spans="1:199" ht="14.25" customHeight="1" thickBot="1">
      <c r="A14" s="158"/>
      <c r="B14" s="157"/>
      <c r="C14" s="638"/>
      <c r="D14" s="410"/>
      <c r="E14" s="638"/>
      <c r="F14" s="410"/>
      <c r="G14" s="638"/>
      <c r="H14" s="410"/>
      <c r="I14" s="638"/>
      <c r="J14" s="410"/>
      <c r="K14" s="638"/>
      <c r="L14" s="410"/>
      <c r="M14" s="638"/>
      <c r="N14" s="410"/>
      <c r="O14" s="638"/>
      <c r="P14" s="410"/>
      <c r="Q14" s="638"/>
      <c r="R14" s="410"/>
      <c r="S14" s="638"/>
      <c r="T14" s="410"/>
      <c r="U14" s="638"/>
      <c r="V14" s="410"/>
      <c r="W14" s="989"/>
      <c r="X14" s="410"/>
      <c r="Y14" s="638"/>
      <c r="Z14" s="410"/>
      <c r="AA14" s="638"/>
      <c r="AB14" s="410"/>
      <c r="AC14" s="638"/>
      <c r="AD14" s="410"/>
      <c r="AE14" s="638"/>
      <c r="AF14" s="410"/>
      <c r="AG14" s="638"/>
      <c r="AH14" s="410"/>
      <c r="AI14" s="638"/>
      <c r="AJ14" s="410"/>
      <c r="AK14" s="638"/>
      <c r="AL14" s="410"/>
      <c r="AM14" s="638"/>
      <c r="AN14" s="410"/>
      <c r="AO14" s="638"/>
      <c r="AP14" s="410"/>
      <c r="AQ14" s="638"/>
      <c r="AR14" s="410"/>
      <c r="AS14" s="638"/>
      <c r="AT14" s="410"/>
      <c r="AU14" s="989"/>
      <c r="AV14" s="410"/>
      <c r="AW14" s="638"/>
      <c r="AX14" s="410"/>
      <c r="AY14" s="638"/>
      <c r="AZ14" s="410"/>
      <c r="BA14" s="638"/>
      <c r="BB14" s="410"/>
      <c r="BC14" s="638"/>
      <c r="BD14" s="410"/>
      <c r="BE14" s="638"/>
      <c r="BF14" s="410"/>
      <c r="BG14" s="830"/>
      <c r="BH14" s="410"/>
      <c r="BI14" s="638"/>
      <c r="BJ14" s="410"/>
      <c r="BK14" s="638"/>
      <c r="BL14" s="410"/>
      <c r="BM14" s="638"/>
      <c r="BN14" s="410"/>
      <c r="BO14" s="638"/>
      <c r="BP14" s="410"/>
      <c r="BQ14" s="638"/>
      <c r="BR14" s="410"/>
      <c r="BS14" s="989"/>
      <c r="BT14" s="410"/>
      <c r="BU14" s="638"/>
      <c r="BV14" s="410"/>
      <c r="BW14" s="172"/>
      <c r="BX14" s="410"/>
      <c r="BY14" s="172"/>
      <c r="BZ14" s="410"/>
      <c r="CA14" s="172"/>
      <c r="CB14" s="410"/>
      <c r="CC14" s="172"/>
      <c r="CD14" s="410"/>
      <c r="CE14" s="172"/>
      <c r="CF14" s="410"/>
      <c r="CG14" s="172"/>
      <c r="CH14" s="410"/>
      <c r="CI14" s="172"/>
      <c r="CJ14" s="410"/>
      <c r="CK14" s="172"/>
      <c r="CL14" s="410"/>
      <c r="CM14" s="172"/>
      <c r="CN14" s="410"/>
      <c r="CO14" s="172"/>
      <c r="CP14" s="410"/>
      <c r="CQ14" s="172"/>
      <c r="CR14" s="410"/>
      <c r="CS14" s="172"/>
      <c r="CT14" s="157"/>
      <c r="CU14" s="172"/>
      <c r="CV14" s="157"/>
      <c r="CW14" s="172"/>
      <c r="CX14" s="157"/>
      <c r="CY14" s="172"/>
      <c r="CZ14" s="157"/>
      <c r="DA14" s="172"/>
      <c r="DB14" s="157"/>
      <c r="DC14" s="172"/>
      <c r="DD14" s="157"/>
      <c r="DE14" s="172"/>
      <c r="DF14" s="157"/>
      <c r="DG14" s="172"/>
      <c r="DH14" s="157"/>
      <c r="DI14" s="172"/>
      <c r="DJ14" s="157"/>
      <c r="DK14" s="172"/>
      <c r="DL14" s="157"/>
      <c r="DM14" s="172"/>
      <c r="DN14" s="157"/>
      <c r="DO14" s="172"/>
      <c r="DP14" s="157"/>
      <c r="DQ14" s="172"/>
      <c r="DR14" s="157"/>
      <c r="DS14" s="172"/>
      <c r="DT14" s="157"/>
      <c r="DU14" s="172"/>
      <c r="DV14" s="157"/>
      <c r="DW14" s="172"/>
      <c r="DX14" s="157"/>
      <c r="DY14" s="172"/>
      <c r="DZ14" s="157"/>
      <c r="EA14" s="172"/>
      <c r="EB14" s="157"/>
      <c r="EC14" s="172"/>
      <c r="ED14" s="157"/>
      <c r="EE14" s="172"/>
      <c r="EF14" s="157"/>
      <c r="EG14" s="172"/>
      <c r="EH14" s="157"/>
      <c r="EI14" s="172"/>
      <c r="EJ14" s="157"/>
      <c r="EK14" s="172"/>
      <c r="EL14" s="157"/>
      <c r="EM14" s="172"/>
      <c r="EN14" s="157"/>
      <c r="EO14" s="172"/>
      <c r="EP14" s="157"/>
      <c r="EQ14" s="172"/>
      <c r="ER14" s="157"/>
      <c r="ES14" s="172"/>
      <c r="ET14" s="157"/>
      <c r="EU14" s="172"/>
      <c r="EV14" s="157"/>
      <c r="EW14" s="172"/>
      <c r="EX14" s="157"/>
      <c r="EY14" s="172"/>
      <c r="EZ14" s="157"/>
      <c r="FA14" s="172"/>
      <c r="FB14" s="157"/>
      <c r="FC14" s="172"/>
      <c r="FD14" s="157"/>
      <c r="FE14" s="172"/>
      <c r="FF14" s="157"/>
      <c r="FG14" s="172"/>
      <c r="FH14" s="157"/>
      <c r="FI14" s="172"/>
      <c r="FJ14" s="157"/>
      <c r="FK14" s="172"/>
      <c r="FL14" s="157"/>
      <c r="FM14" s="172"/>
      <c r="FN14" s="157"/>
      <c r="FO14" s="172"/>
      <c r="FP14" s="157"/>
      <c r="FQ14" s="172"/>
      <c r="FR14" s="157"/>
      <c r="FS14" s="172"/>
      <c r="FT14" s="157"/>
      <c r="FU14" s="172"/>
      <c r="FV14" s="157"/>
      <c r="FW14" s="172"/>
      <c r="FX14" s="157"/>
      <c r="FY14" s="172"/>
      <c r="FZ14" s="157"/>
      <c r="GA14" s="172"/>
      <c r="GB14" s="157"/>
      <c r="GC14" s="172"/>
      <c r="GD14" s="157"/>
      <c r="GE14" s="172"/>
      <c r="GF14" s="157"/>
      <c r="GG14" s="172"/>
      <c r="GH14" s="172"/>
      <c r="GI14" s="172"/>
      <c r="GJ14" s="172"/>
      <c r="GK14" s="172"/>
      <c r="GL14" s="172"/>
      <c r="GM14" s="172"/>
      <c r="GN14" s="172"/>
      <c r="GO14" s="172"/>
      <c r="GP14" s="172"/>
      <c r="GQ14" s="172"/>
    </row>
    <row r="15" spans="1:199" ht="14.25" customHeight="1" thickBot="1">
      <c r="A15" s="163">
        <v>1.3</v>
      </c>
      <c r="B15" s="164" t="s">
        <v>304</v>
      </c>
      <c r="C15" s="190">
        <f>+C8+C13</f>
        <v>1506856930.9400001</v>
      </c>
      <c r="D15" s="411"/>
      <c r="E15" s="190">
        <f>+E8+E13</f>
        <v>1554309580.0999999</v>
      </c>
      <c r="F15" s="411"/>
      <c r="G15" s="190">
        <f>+G8+G13</f>
        <v>1487162970.4099998</v>
      </c>
      <c r="H15" s="411"/>
      <c r="I15" s="190">
        <f>+I8+I13</f>
        <v>1529150074.27</v>
      </c>
      <c r="J15" s="411"/>
      <c r="K15" s="190">
        <f>+K8+K13</f>
        <v>1540093019.8600001</v>
      </c>
      <c r="L15" s="411"/>
      <c r="M15" s="190">
        <f>+M8+M13</f>
        <v>1569807333.54</v>
      </c>
      <c r="N15" s="411"/>
      <c r="O15" s="190">
        <f>+O8+O13</f>
        <v>1562448764.5</v>
      </c>
      <c r="P15" s="411"/>
      <c r="Q15" s="190">
        <f>+Q8+Q13</f>
        <v>1600986778.1799998</v>
      </c>
      <c r="R15" s="411"/>
      <c r="S15" s="190">
        <f>+S8+S13</f>
        <v>1617153550.9500003</v>
      </c>
      <c r="T15" s="411"/>
      <c r="U15" s="190">
        <f>+U8+U13</f>
        <v>1653313533.1700001</v>
      </c>
      <c r="V15" s="411"/>
      <c r="W15" s="987">
        <f>W8+W13</f>
        <v>1728136039.23</v>
      </c>
      <c r="X15" s="411"/>
      <c r="Y15" s="190">
        <v>1791468947.51</v>
      </c>
      <c r="Z15" s="411"/>
      <c r="AA15" s="190">
        <v>1810675260.3499999</v>
      </c>
      <c r="AB15" s="411"/>
      <c r="AC15" s="190">
        <f>+AC8+AC13</f>
        <v>1889594988.6699998</v>
      </c>
      <c r="AD15" s="411"/>
      <c r="AE15" s="190">
        <f>+AE8+AE13</f>
        <v>1875887132.55</v>
      </c>
      <c r="AF15" s="411"/>
      <c r="AG15" s="190">
        <f>+AG8+AG13</f>
        <v>1829423890.3499999</v>
      </c>
      <c r="AH15" s="411"/>
      <c r="AI15" s="190">
        <v>1795364841.0199997</v>
      </c>
      <c r="AJ15" s="411"/>
      <c r="AK15" s="190">
        <v>1769298480.5799999</v>
      </c>
      <c r="AL15" s="411"/>
      <c r="AM15" s="190">
        <v>1712306711.4799998</v>
      </c>
      <c r="AN15" s="411"/>
      <c r="AO15" s="190">
        <v>1667945604.77</v>
      </c>
      <c r="AP15" s="411"/>
      <c r="AQ15" s="190">
        <v>1631532555.2399998</v>
      </c>
      <c r="AR15" s="411"/>
      <c r="AS15" s="190">
        <v>1592918485.1799998</v>
      </c>
      <c r="AT15" s="411"/>
      <c r="AU15" s="987">
        <f>AU8+AU13</f>
        <v>1480585673.01</v>
      </c>
      <c r="AV15" s="411"/>
      <c r="AW15" s="190">
        <v>1407724845.8200002</v>
      </c>
      <c r="AX15" s="411"/>
      <c r="AY15" s="190">
        <v>1313912464.6700001</v>
      </c>
      <c r="AZ15" s="411"/>
      <c r="BA15" s="190">
        <v>1273905025.3</v>
      </c>
      <c r="BB15" s="411"/>
      <c r="BC15" s="190">
        <v>1156981426.9399998</v>
      </c>
      <c r="BD15" s="411"/>
      <c r="BE15" s="190">
        <v>1090872671.2799997</v>
      </c>
      <c r="BF15" s="411"/>
      <c r="BG15" s="190">
        <v>1036944488.4</v>
      </c>
      <c r="BH15" s="411"/>
      <c r="BI15" s="190">
        <v>953214456.18000007</v>
      </c>
      <c r="BJ15" s="411"/>
      <c r="BK15" s="190">
        <v>908061958.72000003</v>
      </c>
      <c r="BL15" s="411"/>
      <c r="BM15" s="190">
        <v>855242369.54999995</v>
      </c>
      <c r="BN15" s="411"/>
      <c r="BO15" s="190">
        <v>806659275.91999996</v>
      </c>
      <c r="BP15" s="411"/>
      <c r="BQ15" s="190">
        <f>+BQ8+BQ13</f>
        <v>770308782.93000007</v>
      </c>
      <c r="BR15" s="411"/>
      <c r="BS15" s="987">
        <f>+BS8+BS13</f>
        <v>669631787</v>
      </c>
      <c r="BT15" s="411"/>
      <c r="BU15" s="190">
        <f>+BU8+BU13</f>
        <v>670793827.12</v>
      </c>
      <c r="BV15" s="411"/>
      <c r="BW15" s="171">
        <v>641738817.96000004</v>
      </c>
      <c r="BX15" s="411"/>
      <c r="BY15" s="171">
        <v>658765485.38</v>
      </c>
      <c r="BZ15" s="411"/>
      <c r="CA15" s="171">
        <v>593773529.69000006</v>
      </c>
      <c r="CB15" s="411"/>
      <c r="CC15" s="171">
        <v>583570248.51999998</v>
      </c>
      <c r="CD15" s="411"/>
      <c r="CE15" s="171">
        <v>549405784.38999999</v>
      </c>
      <c r="CF15" s="411"/>
      <c r="CG15" s="171">
        <v>528049420.74000007</v>
      </c>
      <c r="CH15" s="411"/>
      <c r="CI15" s="171">
        <v>508267853.71999997</v>
      </c>
      <c r="CJ15" s="411"/>
      <c r="CK15" s="171">
        <v>475723635.08999997</v>
      </c>
      <c r="CL15" s="411"/>
      <c r="CM15" s="171">
        <f>+CM8+CM13</f>
        <v>448804971.5</v>
      </c>
      <c r="CN15" s="411"/>
      <c r="CO15" s="171">
        <f>+CO8+CO13</f>
        <v>436295118.98000002</v>
      </c>
      <c r="CP15" s="411"/>
      <c r="CQ15" s="171">
        <f>+CQ8+CQ13</f>
        <v>421984428.25000006</v>
      </c>
      <c r="CR15" s="411"/>
      <c r="CS15" s="171">
        <f>+CS8+CS13</f>
        <v>388368099.52000004</v>
      </c>
      <c r="CT15" s="164"/>
      <c r="CU15" s="171">
        <f>+CU8+CU13</f>
        <v>380572970.11000001</v>
      </c>
      <c r="CV15" s="164"/>
      <c r="CW15" s="171">
        <f>+CW8+CW13</f>
        <v>386867906.38999999</v>
      </c>
      <c r="CX15" s="164"/>
      <c r="CY15" s="171">
        <f>+CY8+CY13</f>
        <v>351944094.37</v>
      </c>
      <c r="CZ15" s="164"/>
      <c r="DA15" s="171">
        <f>+DA8+DA13</f>
        <v>327170671.73999995</v>
      </c>
      <c r="DB15" s="164"/>
      <c r="DC15" s="171">
        <f>+DC8+DC13</f>
        <v>300910698.50999999</v>
      </c>
      <c r="DD15" s="164"/>
      <c r="DE15" s="171">
        <f>+DE8+DE13</f>
        <v>270692167.32999998</v>
      </c>
      <c r="DF15" s="164"/>
      <c r="DG15" s="171">
        <f>+DG8+DG13</f>
        <v>261540394.85999998</v>
      </c>
      <c r="DH15" s="164"/>
      <c r="DI15" s="171">
        <f>+DI8+DI13</f>
        <v>250869657.73000002</v>
      </c>
      <c r="DJ15" s="164"/>
      <c r="DK15" s="171">
        <f>+DK8+DK13</f>
        <v>226065484.18999997</v>
      </c>
      <c r="DL15" s="164"/>
      <c r="DM15" s="171">
        <f>+DM8+DM13</f>
        <v>220390621.63</v>
      </c>
      <c r="DN15" s="164"/>
      <c r="DO15" s="171">
        <v>196018392.25999999</v>
      </c>
      <c r="DP15" s="164"/>
      <c r="DQ15" s="171">
        <v>178442093.54999998</v>
      </c>
      <c r="DR15" s="164"/>
      <c r="DS15" s="171">
        <v>172085528.53</v>
      </c>
      <c r="DT15" s="164"/>
      <c r="DU15" s="171">
        <v>173994816.22000003</v>
      </c>
      <c r="DV15" s="164"/>
      <c r="DW15" s="171">
        <v>152584796.03999999</v>
      </c>
      <c r="DX15" s="164"/>
      <c r="DY15" s="171">
        <v>141287859.08999997</v>
      </c>
      <c r="DZ15" s="164"/>
      <c r="EA15" s="171">
        <v>136537794.61000001</v>
      </c>
      <c r="EB15" s="164"/>
      <c r="EC15" s="171">
        <v>132861838.43000001</v>
      </c>
      <c r="ED15" s="164"/>
      <c r="EE15" s="171">
        <v>139950461.64000002</v>
      </c>
      <c r="EF15" s="164"/>
      <c r="EG15" s="171">
        <v>142180649.96999997</v>
      </c>
      <c r="EH15" s="164"/>
      <c r="EI15" s="171">
        <v>146552049.86999997</v>
      </c>
      <c r="EJ15" s="164"/>
      <c r="EK15" s="171">
        <v>163974317.72</v>
      </c>
      <c r="EL15" s="164"/>
      <c r="EM15" s="171">
        <v>173989156.77000001</v>
      </c>
      <c r="EN15" s="164"/>
      <c r="EO15" s="171">
        <v>152975667.53999999</v>
      </c>
      <c r="EP15" s="164"/>
      <c r="EQ15" s="171">
        <v>146248427.44</v>
      </c>
      <c r="ER15" s="157"/>
      <c r="ES15" s="171">
        <v>139507363.67999998</v>
      </c>
      <c r="ET15" s="157"/>
      <c r="EU15" s="171">
        <v>115604005.31999999</v>
      </c>
      <c r="EV15" s="157"/>
      <c r="EW15" s="171">
        <v>104085168.17</v>
      </c>
      <c r="EX15" s="157"/>
      <c r="EY15" s="171">
        <v>92566613.019999996</v>
      </c>
      <c r="EZ15" s="157"/>
      <c r="FA15" s="171">
        <v>84484575.530000001</v>
      </c>
      <c r="FB15" s="157"/>
      <c r="FC15" s="171">
        <v>76456673.710000008</v>
      </c>
      <c r="FD15" s="157"/>
      <c r="FE15" s="171">
        <v>72994655.439999998</v>
      </c>
      <c r="FF15" s="157"/>
      <c r="FG15" s="171">
        <v>64845496.130000003</v>
      </c>
      <c r="FH15" s="157"/>
      <c r="FI15" s="171">
        <v>61979794.18</v>
      </c>
      <c r="FJ15" s="157"/>
      <c r="FK15" s="171">
        <v>62186784.270000003</v>
      </c>
      <c r="FL15" s="157"/>
      <c r="FM15" s="171">
        <v>54897873.400000006</v>
      </c>
      <c r="FN15" s="157"/>
      <c r="FO15" s="171">
        <v>49311217.359999999</v>
      </c>
      <c r="FP15" s="157"/>
      <c r="FQ15" s="171">
        <v>48128211.330000006</v>
      </c>
      <c r="FR15" s="157"/>
      <c r="FS15" s="171">
        <v>42010777.219999999</v>
      </c>
      <c r="FT15" s="157"/>
      <c r="FU15" s="172"/>
      <c r="FV15" s="157"/>
      <c r="FW15" s="172"/>
      <c r="FX15" s="157"/>
      <c r="FY15" s="172"/>
      <c r="FZ15" s="157"/>
      <c r="GA15" s="172"/>
      <c r="GB15" s="157"/>
      <c r="GC15" s="172"/>
      <c r="GD15" s="157"/>
      <c r="GE15" s="172"/>
      <c r="GF15" s="157"/>
      <c r="GG15" s="172"/>
      <c r="GH15" s="172"/>
      <c r="GI15" s="172"/>
      <c r="GJ15" s="172"/>
      <c r="GK15" s="172"/>
      <c r="GL15" s="172"/>
      <c r="GM15" s="172"/>
      <c r="GN15" s="172"/>
      <c r="GO15" s="172"/>
      <c r="GP15" s="172"/>
      <c r="GQ15" s="172"/>
    </row>
    <row r="16" spans="1:199" ht="15" customHeight="1" thickBot="1"/>
    <row r="17" spans="1:199" ht="14.25" customHeight="1" thickBot="1">
      <c r="A17" s="163">
        <v>2</v>
      </c>
      <c r="B17" s="164" t="s">
        <v>216</v>
      </c>
      <c r="C17" s="535"/>
      <c r="D17" s="411"/>
      <c r="E17" s="535"/>
      <c r="F17" s="411"/>
      <c r="G17" s="535"/>
      <c r="H17" s="411"/>
      <c r="I17" s="535"/>
      <c r="J17" s="411"/>
      <c r="K17" s="535"/>
      <c r="L17" s="411"/>
      <c r="M17" s="535"/>
      <c r="N17" s="411"/>
      <c r="O17" s="535"/>
      <c r="P17" s="411"/>
      <c r="Q17" s="535"/>
      <c r="R17" s="411"/>
      <c r="S17" s="535"/>
      <c r="T17" s="411"/>
      <c r="U17" s="535"/>
      <c r="V17" s="411"/>
      <c r="W17" s="984"/>
      <c r="X17" s="411"/>
      <c r="Y17" s="535"/>
      <c r="Z17" s="411"/>
      <c r="AA17" s="535"/>
      <c r="AB17" s="411"/>
      <c r="AC17" s="535"/>
      <c r="AD17" s="411"/>
      <c r="AE17" s="535"/>
      <c r="AF17" s="411"/>
      <c r="AG17" s="535"/>
      <c r="AH17" s="411"/>
      <c r="AI17" s="535"/>
      <c r="AJ17" s="411"/>
      <c r="AK17" s="535"/>
      <c r="AL17" s="411"/>
      <c r="AM17" s="535"/>
      <c r="AN17" s="411"/>
      <c r="AO17" s="535"/>
      <c r="AP17" s="411"/>
      <c r="AQ17" s="535"/>
      <c r="AR17" s="411"/>
      <c r="AS17" s="535"/>
      <c r="AT17" s="411"/>
      <c r="AU17" s="984"/>
      <c r="AV17" s="411"/>
      <c r="AW17" s="535"/>
      <c r="AX17" s="411"/>
      <c r="AY17" s="535"/>
      <c r="AZ17" s="411"/>
      <c r="BA17" s="535"/>
      <c r="BB17" s="411"/>
      <c r="BC17" s="535"/>
      <c r="BD17" s="411"/>
      <c r="BE17" s="535"/>
      <c r="BF17" s="411"/>
      <c r="BG17" s="759"/>
      <c r="BH17" s="411"/>
      <c r="BI17" s="535"/>
      <c r="BJ17" s="411"/>
      <c r="BK17" s="535"/>
      <c r="BL17" s="411"/>
      <c r="BM17" s="535"/>
      <c r="BN17" s="411"/>
      <c r="BO17" s="535"/>
      <c r="BP17" s="411"/>
      <c r="BQ17" s="535"/>
      <c r="BR17" s="411"/>
      <c r="BS17" s="984"/>
      <c r="BT17" s="411"/>
      <c r="BU17" s="535"/>
      <c r="BV17" s="411"/>
      <c r="BW17" s="166"/>
      <c r="BX17" s="411"/>
      <c r="BY17" s="166"/>
      <c r="BZ17" s="411"/>
      <c r="CA17" s="166"/>
      <c r="CB17" s="411"/>
      <c r="CC17" s="166"/>
      <c r="CD17" s="411"/>
      <c r="CE17" s="166"/>
      <c r="CF17" s="411"/>
      <c r="CG17" s="166"/>
      <c r="CH17" s="411"/>
      <c r="CI17" s="166"/>
      <c r="CJ17" s="411"/>
      <c r="CK17" s="166"/>
      <c r="CL17" s="411"/>
      <c r="CM17" s="166"/>
      <c r="CN17" s="411"/>
      <c r="CO17" s="166"/>
      <c r="CP17" s="411"/>
      <c r="CQ17" s="166"/>
      <c r="CR17" s="411"/>
      <c r="CS17" s="166"/>
      <c r="CT17" s="164"/>
      <c r="CU17" s="166"/>
      <c r="CV17" s="164"/>
      <c r="CW17" s="166"/>
      <c r="CX17" s="164"/>
      <c r="CY17" s="166"/>
      <c r="CZ17" s="164"/>
      <c r="DA17" s="166"/>
      <c r="DB17" s="164"/>
      <c r="DC17" s="166"/>
      <c r="DD17" s="164"/>
      <c r="DE17" s="166"/>
      <c r="DF17" s="164"/>
      <c r="DG17" s="166"/>
      <c r="DH17" s="164"/>
      <c r="DI17" s="166"/>
      <c r="DJ17" s="164"/>
      <c r="DK17" s="166"/>
      <c r="DL17" s="164"/>
      <c r="DM17" s="166"/>
      <c r="DN17" s="164"/>
      <c r="DO17" s="166"/>
      <c r="DP17" s="164"/>
      <c r="DQ17" s="166"/>
      <c r="DR17" s="164"/>
      <c r="DS17" s="166"/>
      <c r="DT17" s="164"/>
      <c r="DU17" s="166"/>
      <c r="DV17" s="164"/>
      <c r="DW17" s="166"/>
      <c r="DX17" s="164"/>
      <c r="DY17" s="166"/>
      <c r="DZ17" s="164"/>
      <c r="EA17" s="166"/>
      <c r="EB17" s="164"/>
      <c r="EC17" s="166"/>
      <c r="ED17" s="164"/>
      <c r="EE17" s="166"/>
      <c r="EF17" s="164"/>
      <c r="EG17" s="166"/>
      <c r="EH17" s="164"/>
      <c r="EI17" s="166"/>
      <c r="EJ17" s="164"/>
      <c r="EK17" s="166"/>
      <c r="EL17" s="164"/>
      <c r="EM17" s="166"/>
      <c r="EN17" s="164"/>
      <c r="EO17" s="166"/>
      <c r="EP17" s="164"/>
      <c r="EQ17" s="166"/>
      <c r="ER17" s="164"/>
      <c r="ES17" s="166"/>
      <c r="ET17" s="164"/>
      <c r="EU17" s="166"/>
      <c r="EV17" s="164"/>
      <c r="EW17" s="166"/>
      <c r="EX17" s="164"/>
      <c r="EY17" s="166"/>
      <c r="EZ17" s="164"/>
      <c r="FA17" s="166"/>
      <c r="FB17" s="164"/>
      <c r="FC17" s="166"/>
      <c r="FD17" s="164"/>
      <c r="FE17" s="166"/>
      <c r="FF17" s="164"/>
      <c r="FG17" s="166"/>
      <c r="FH17" s="164"/>
      <c r="FI17" s="166"/>
      <c r="FJ17" s="164"/>
      <c r="FK17" s="166"/>
      <c r="FL17" s="164"/>
      <c r="FM17" s="166"/>
      <c r="FN17" s="164"/>
      <c r="FO17" s="166"/>
      <c r="FP17" s="164"/>
      <c r="FQ17" s="166"/>
      <c r="FR17" s="164"/>
      <c r="FS17" s="166"/>
      <c r="FT17" s="164"/>
      <c r="FU17" s="166"/>
      <c r="FV17" s="164"/>
      <c r="FW17" s="166"/>
      <c r="FX17" s="164"/>
      <c r="FY17" s="166"/>
      <c r="FZ17" s="164"/>
      <c r="GA17" s="166"/>
      <c r="GB17" s="164"/>
      <c r="GC17" s="166"/>
      <c r="GD17" s="164"/>
      <c r="GE17" s="166"/>
      <c r="GF17" s="164"/>
      <c r="GG17" s="166"/>
      <c r="GH17" s="176"/>
      <c r="GI17" s="166"/>
      <c r="GJ17" s="164"/>
      <c r="GK17" s="164"/>
      <c r="GL17" s="164"/>
      <c r="GM17" s="164"/>
      <c r="GN17" s="164"/>
      <c r="GO17" s="164"/>
      <c r="GP17" s="164"/>
      <c r="GQ17" s="164"/>
    </row>
    <row r="18" spans="1:199" ht="14.25" customHeight="1">
      <c r="A18" s="158"/>
      <c r="B18" s="157" t="s">
        <v>305</v>
      </c>
      <c r="C18" s="984">
        <v>1328719.26</v>
      </c>
      <c r="D18" s="410"/>
      <c r="E18" s="984">
        <v>1328719.26</v>
      </c>
      <c r="F18" s="410"/>
      <c r="G18" s="984">
        <v>1328719.26</v>
      </c>
      <c r="H18" s="410"/>
      <c r="I18" s="984">
        <v>1328719.26</v>
      </c>
      <c r="J18" s="410"/>
      <c r="K18" s="984">
        <v>1328719.26</v>
      </c>
      <c r="L18" s="410"/>
      <c r="M18" s="984">
        <v>1328719.26</v>
      </c>
      <c r="N18" s="410"/>
      <c r="O18" s="984">
        <v>1328719.26</v>
      </c>
      <c r="P18" s="410"/>
      <c r="Q18" s="984">
        <v>1328719.26</v>
      </c>
      <c r="R18" s="410"/>
      <c r="S18" s="984">
        <v>1328719.26</v>
      </c>
      <c r="T18" s="410"/>
      <c r="U18" s="984">
        <v>1328719.26</v>
      </c>
      <c r="V18" s="410"/>
      <c r="W18" s="984">
        <v>1328719.26</v>
      </c>
      <c r="X18" s="410"/>
      <c r="Y18" s="984">
        <v>1328719.26</v>
      </c>
      <c r="Z18" s="410"/>
      <c r="AA18" s="984">
        <v>1328719.26</v>
      </c>
      <c r="AB18" s="410"/>
      <c r="AC18" s="984">
        <v>1328719.26</v>
      </c>
      <c r="AD18" s="410"/>
      <c r="AE18" s="535">
        <v>548613.44999999995</v>
      </c>
      <c r="AF18" s="410"/>
      <c r="AG18" s="535">
        <v>548613.44999999995</v>
      </c>
      <c r="AH18" s="410"/>
      <c r="AI18" s="535">
        <v>548613.44999999995</v>
      </c>
      <c r="AJ18" s="410"/>
      <c r="AK18" s="535">
        <v>548613.44999999995</v>
      </c>
      <c r="AL18" s="410"/>
      <c r="AM18" s="535">
        <v>548613.44999999995</v>
      </c>
      <c r="AN18" s="410"/>
      <c r="AO18" s="535">
        <v>548613.44999999995</v>
      </c>
      <c r="AP18" s="410"/>
      <c r="AQ18" s="535">
        <v>548613.44999999995</v>
      </c>
      <c r="AR18" s="410"/>
      <c r="AS18" s="535">
        <v>548613.44999999995</v>
      </c>
      <c r="AT18" s="410"/>
      <c r="AU18" s="984">
        <v>548613.44999999995</v>
      </c>
      <c r="AV18" s="410"/>
      <c r="AW18" s="535">
        <v>546816.44999999995</v>
      </c>
      <c r="AX18" s="410"/>
      <c r="AY18" s="535">
        <v>546816.44999999995</v>
      </c>
      <c r="AZ18" s="410"/>
      <c r="BA18" s="535">
        <v>546816.44999999995</v>
      </c>
      <c r="BB18" s="410"/>
      <c r="BC18" s="535">
        <v>546816.44999999995</v>
      </c>
      <c r="BD18" s="410"/>
      <c r="BE18" s="535">
        <v>546816.44999999995</v>
      </c>
      <c r="BF18" s="410"/>
      <c r="BG18" s="759">
        <v>546816.44999999995</v>
      </c>
      <c r="BH18" s="410"/>
      <c r="BI18" s="535">
        <v>546816.44999999995</v>
      </c>
      <c r="BJ18" s="410"/>
      <c r="BK18" s="535">
        <v>546816.44999999995</v>
      </c>
      <c r="BL18" s="410"/>
      <c r="BM18" s="535">
        <v>546816.44999999995</v>
      </c>
      <c r="BN18" s="410"/>
      <c r="BO18" s="535">
        <v>322008.61</v>
      </c>
      <c r="BP18" s="410"/>
      <c r="BQ18" s="535">
        <v>322008.61</v>
      </c>
      <c r="BR18" s="410"/>
      <c r="BS18" s="984">
        <v>205808.01</v>
      </c>
      <c r="BT18" s="410"/>
      <c r="BU18" s="535">
        <v>205808.01</v>
      </c>
      <c r="BV18" s="410"/>
      <c r="BW18" s="535">
        <v>205808.01</v>
      </c>
      <c r="BX18" s="410"/>
      <c r="BY18" s="535">
        <v>205808.01</v>
      </c>
      <c r="BZ18" s="410"/>
      <c r="CA18" s="535">
        <v>205808.01</v>
      </c>
      <c r="CB18" s="410"/>
      <c r="CC18" s="535">
        <v>205808.01</v>
      </c>
      <c r="CD18" s="410"/>
      <c r="CE18" s="535">
        <v>205808.01</v>
      </c>
      <c r="CF18" s="410"/>
      <c r="CG18" s="535">
        <v>205808.01</v>
      </c>
      <c r="CH18" s="410"/>
      <c r="CI18" s="166">
        <v>205808.01</v>
      </c>
      <c r="CJ18" s="410"/>
      <c r="CK18" s="166">
        <v>205808.01</v>
      </c>
      <c r="CL18" s="410"/>
      <c r="CM18" s="166">
        <v>205808.01</v>
      </c>
      <c r="CN18" s="410"/>
      <c r="CO18" s="166">
        <v>205808.01</v>
      </c>
      <c r="CP18" s="410"/>
      <c r="CQ18" s="166">
        <v>205808.01</v>
      </c>
      <c r="CR18" s="410"/>
      <c r="CS18" s="166">
        <v>200651.87</v>
      </c>
      <c r="CT18" s="157"/>
      <c r="CU18" s="166">
        <v>200651.87</v>
      </c>
      <c r="CV18" s="157"/>
      <c r="CW18" s="166">
        <v>200651.87</v>
      </c>
      <c r="CX18" s="157"/>
      <c r="CY18" s="166">
        <v>200651.87</v>
      </c>
      <c r="CZ18" s="157"/>
      <c r="DA18" s="166">
        <v>200651.87</v>
      </c>
      <c r="DB18" s="157"/>
      <c r="DC18" s="166">
        <v>200651.87</v>
      </c>
      <c r="DD18" s="157"/>
      <c r="DE18" s="166">
        <v>200651.87</v>
      </c>
      <c r="DF18" s="157"/>
      <c r="DG18" s="166">
        <v>200651.87</v>
      </c>
      <c r="DH18" s="157"/>
      <c r="DI18" s="166">
        <v>200651.87</v>
      </c>
      <c r="DJ18" s="157"/>
      <c r="DK18" s="166">
        <v>200651.87</v>
      </c>
      <c r="DL18" s="157"/>
      <c r="DM18" s="166">
        <v>200651.87</v>
      </c>
      <c r="DN18" s="157"/>
      <c r="DO18" s="166">
        <v>200651.87</v>
      </c>
      <c r="DP18" s="157"/>
      <c r="DQ18" s="166">
        <v>200651.87</v>
      </c>
      <c r="DR18" s="157"/>
      <c r="DS18" s="166">
        <v>200651.87</v>
      </c>
      <c r="DT18" s="157"/>
      <c r="DU18" s="166">
        <v>200651.87</v>
      </c>
      <c r="DV18" s="157"/>
      <c r="DW18" s="166">
        <v>200651.87</v>
      </c>
      <c r="DX18" s="157"/>
      <c r="DY18" s="166">
        <v>200651.87</v>
      </c>
      <c r="DZ18" s="157"/>
      <c r="EA18" s="166">
        <v>200651.87</v>
      </c>
      <c r="EB18" s="157"/>
      <c r="EC18" s="166">
        <v>200651.87</v>
      </c>
      <c r="ED18" s="157"/>
      <c r="EE18" s="166">
        <v>200651.87</v>
      </c>
      <c r="EF18" s="157"/>
      <c r="EG18" s="167">
        <v>200651.87</v>
      </c>
      <c r="EH18" s="157"/>
      <c r="EI18" s="167">
        <v>200651.87</v>
      </c>
      <c r="EJ18" s="157"/>
      <c r="EK18" s="167">
        <v>200651.87</v>
      </c>
      <c r="EL18" s="157"/>
      <c r="EM18" s="167">
        <v>200651.87</v>
      </c>
      <c r="EN18" s="157"/>
      <c r="EO18" s="167">
        <v>200651.87</v>
      </c>
      <c r="EP18" s="157"/>
      <c r="EQ18" s="166">
        <v>200651.87</v>
      </c>
      <c r="ER18" s="157"/>
      <c r="ES18" s="166">
        <v>200651.87</v>
      </c>
      <c r="ET18" s="157"/>
      <c r="EU18" s="166">
        <v>200651.87</v>
      </c>
      <c r="EV18" s="157"/>
      <c r="EW18" s="166">
        <v>200651.87</v>
      </c>
      <c r="EX18" s="157"/>
      <c r="EY18" s="166">
        <v>237644.9</v>
      </c>
      <c r="EZ18" s="157"/>
      <c r="FA18" s="166">
        <v>237644.9</v>
      </c>
      <c r="FB18" s="157"/>
      <c r="FC18" s="166">
        <v>237644.9</v>
      </c>
      <c r="FD18" s="157"/>
      <c r="FE18" s="166">
        <v>237644.9</v>
      </c>
      <c r="FF18" s="157"/>
      <c r="FG18" s="166">
        <v>36480</v>
      </c>
      <c r="FH18" s="157"/>
      <c r="FI18" s="166">
        <v>36480</v>
      </c>
      <c r="FJ18" s="157"/>
      <c r="FK18" s="166">
        <v>36480</v>
      </c>
      <c r="FL18" s="157"/>
      <c r="FM18" s="166">
        <v>36480</v>
      </c>
      <c r="FN18" s="157"/>
      <c r="FO18" s="166">
        <v>36480</v>
      </c>
      <c r="FP18" s="157"/>
      <c r="FQ18" s="166">
        <v>36480</v>
      </c>
      <c r="FR18" s="157"/>
      <c r="FS18" s="166">
        <v>36480</v>
      </c>
      <c r="FT18" s="157"/>
      <c r="FU18" s="166">
        <v>36480</v>
      </c>
      <c r="FV18" s="157"/>
      <c r="FW18" s="166">
        <v>36480</v>
      </c>
      <c r="FX18" s="157"/>
      <c r="FY18" s="166">
        <v>36480</v>
      </c>
      <c r="FZ18" s="157"/>
      <c r="GA18" s="166">
        <v>36480</v>
      </c>
      <c r="GB18" s="157"/>
      <c r="GC18" s="166">
        <v>36480</v>
      </c>
      <c r="GD18" s="157"/>
      <c r="GE18" s="166">
        <v>36480</v>
      </c>
      <c r="GF18" s="157"/>
      <c r="GG18" s="166">
        <v>36480</v>
      </c>
      <c r="GH18" s="166"/>
      <c r="GI18" s="166">
        <v>36480</v>
      </c>
      <c r="GJ18" s="166"/>
      <c r="GK18" s="166">
        <v>52918.8</v>
      </c>
      <c r="GL18" s="166"/>
      <c r="GM18" s="166">
        <v>52918.8</v>
      </c>
      <c r="GN18" s="166"/>
      <c r="GO18" s="166">
        <v>16438.8</v>
      </c>
      <c r="GP18" s="166"/>
      <c r="GQ18" s="166">
        <v>16438.8</v>
      </c>
    </row>
    <row r="19" spans="1:199" ht="14.25" customHeight="1">
      <c r="A19" s="158"/>
      <c r="B19" s="177" t="s">
        <v>824</v>
      </c>
      <c r="C19" s="984">
        <v>15246940.630000001</v>
      </c>
      <c r="D19" s="412"/>
      <c r="E19" s="984">
        <v>18808068.039999999</v>
      </c>
      <c r="F19" s="412"/>
      <c r="G19" s="984">
        <v>14120508.529999999</v>
      </c>
      <c r="H19" s="412"/>
      <c r="I19" s="984">
        <v>13975022.140000001</v>
      </c>
      <c r="J19" s="412"/>
      <c r="K19" s="984">
        <v>14180810.23</v>
      </c>
      <c r="L19" s="412"/>
      <c r="M19" s="984">
        <v>16227865.609999999</v>
      </c>
      <c r="N19" s="412"/>
      <c r="O19" s="984">
        <v>17197968.510000002</v>
      </c>
      <c r="P19" s="412"/>
      <c r="Q19" s="984">
        <v>15577984.34</v>
      </c>
      <c r="R19" s="412"/>
      <c r="S19" s="984">
        <v>10234571.640000001</v>
      </c>
      <c r="T19" s="412"/>
      <c r="U19" s="984">
        <v>12301196.949999999</v>
      </c>
      <c r="V19" s="412"/>
      <c r="W19" s="984">
        <v>12933973.84</v>
      </c>
      <c r="X19" s="412"/>
      <c r="Y19" s="984">
        <v>11063318.050000001</v>
      </c>
      <c r="Z19" s="412"/>
      <c r="AA19" s="984">
        <v>14672592.99</v>
      </c>
      <c r="AB19" s="412"/>
      <c r="AC19" s="984">
        <v>17852967.039999999</v>
      </c>
      <c r="AD19" s="412"/>
      <c r="AE19" s="535">
        <v>11067689.35</v>
      </c>
      <c r="AF19" s="412"/>
      <c r="AG19" s="535">
        <v>10969930.33</v>
      </c>
      <c r="AH19" s="412"/>
      <c r="AI19" s="535">
        <v>12864391.140000001</v>
      </c>
      <c r="AJ19" s="412"/>
      <c r="AK19" s="535">
        <v>13007231.720000001</v>
      </c>
      <c r="AL19" s="412"/>
      <c r="AM19" s="535">
        <v>9970985.3499999996</v>
      </c>
      <c r="AN19" s="412"/>
      <c r="AO19" s="535">
        <v>10342983.41</v>
      </c>
      <c r="AP19" s="412"/>
      <c r="AQ19" s="535">
        <v>5826122.25</v>
      </c>
      <c r="AR19" s="412"/>
      <c r="AS19" s="535">
        <v>5973339.2199999997</v>
      </c>
      <c r="AT19" s="412"/>
      <c r="AU19" s="984">
        <v>6129860.9800000004</v>
      </c>
      <c r="AV19" s="412"/>
      <c r="AW19" s="535">
        <v>7672137.5499999998</v>
      </c>
      <c r="AX19" s="412"/>
      <c r="AY19" s="535">
        <v>8709810.8399999999</v>
      </c>
      <c r="AZ19" s="412"/>
      <c r="BA19" s="535">
        <v>11209756.99</v>
      </c>
      <c r="BB19" s="412"/>
      <c r="BC19" s="535">
        <v>5215202.09</v>
      </c>
      <c r="BD19" s="412"/>
      <c r="BE19" s="535">
        <v>5687920.2199999997</v>
      </c>
      <c r="BF19" s="412"/>
      <c r="BG19" s="759">
        <v>5425757.2699999996</v>
      </c>
      <c r="BH19" s="412"/>
      <c r="BI19" s="535">
        <v>6631519.2800000003</v>
      </c>
      <c r="BJ19" s="412"/>
      <c r="BK19" s="535">
        <v>8067948.9100000001</v>
      </c>
      <c r="BL19" s="412"/>
      <c r="BM19" s="535">
        <v>8995931.8900000006</v>
      </c>
      <c r="BN19" s="412"/>
      <c r="BO19" s="535">
        <v>6961154.2400000002</v>
      </c>
      <c r="BP19" s="412"/>
      <c r="BQ19" s="535">
        <v>8195049.7699999996</v>
      </c>
      <c r="BR19" s="412"/>
      <c r="BS19" s="984">
        <v>8110554.8099999996</v>
      </c>
      <c r="BT19" s="412"/>
      <c r="BU19" s="535">
        <v>7692819.7400000002</v>
      </c>
      <c r="BV19" s="412"/>
      <c r="BW19" s="535">
        <v>9326192.2899999991</v>
      </c>
      <c r="BX19" s="412"/>
      <c r="BY19" s="166">
        <v>8380895.7000000002</v>
      </c>
      <c r="BZ19" s="412"/>
      <c r="CA19" s="166">
        <v>6378921.8600000003</v>
      </c>
      <c r="CB19" s="412"/>
      <c r="CC19" s="166">
        <v>3911734.7</v>
      </c>
      <c r="CD19" s="412"/>
      <c r="CE19" s="166">
        <v>4215435.4400000004</v>
      </c>
      <c r="CF19" s="412"/>
      <c r="CG19" s="166">
        <v>4291289</v>
      </c>
      <c r="CH19" s="412"/>
      <c r="CI19" s="166">
        <v>4775430.97</v>
      </c>
      <c r="CJ19" s="412"/>
      <c r="CK19" s="166">
        <v>2304507.0699999998</v>
      </c>
      <c r="CL19" s="412"/>
      <c r="CM19" s="166">
        <v>2818626.44</v>
      </c>
      <c r="CN19" s="412"/>
      <c r="CO19" s="166">
        <v>2489450.7599999998</v>
      </c>
      <c r="CP19" s="412"/>
      <c r="CQ19" s="166">
        <v>2409495.96</v>
      </c>
      <c r="CR19" s="412"/>
      <c r="CS19" s="166">
        <v>2294196.6</v>
      </c>
      <c r="CT19" s="177"/>
      <c r="CU19" s="167">
        <v>2130710</v>
      </c>
      <c r="CV19" s="177"/>
      <c r="CW19" s="167">
        <v>2420725</v>
      </c>
      <c r="CX19" s="177"/>
      <c r="CY19" s="166">
        <v>1379707.03</v>
      </c>
      <c r="CZ19" s="177"/>
      <c r="DA19" s="166">
        <v>1327601.8899999999</v>
      </c>
      <c r="DB19" s="177"/>
      <c r="DC19" s="166">
        <v>1529633.92</v>
      </c>
      <c r="DD19" s="177"/>
      <c r="DE19" s="166">
        <v>1371644.11</v>
      </c>
      <c r="DF19" s="177"/>
      <c r="DG19" s="166">
        <v>1866736.51</v>
      </c>
      <c r="DH19" s="177"/>
      <c r="DI19" s="166">
        <v>1599611.97</v>
      </c>
      <c r="DJ19" s="177"/>
      <c r="DK19" s="166">
        <v>734113.38</v>
      </c>
      <c r="DL19" s="177"/>
      <c r="DM19" s="166">
        <v>1217411.68</v>
      </c>
      <c r="DN19" s="177"/>
      <c r="DO19" s="166">
        <v>469984.83</v>
      </c>
      <c r="DP19" s="177"/>
      <c r="DQ19" s="166">
        <v>546114.85</v>
      </c>
      <c r="DR19" s="177"/>
      <c r="DS19" s="166">
        <v>503594.32</v>
      </c>
      <c r="DT19" s="177"/>
      <c r="DU19" s="166">
        <v>784107.61</v>
      </c>
      <c r="DV19" s="177"/>
      <c r="DW19" s="166">
        <v>1295713.99</v>
      </c>
      <c r="DX19" s="177"/>
      <c r="DY19" s="166">
        <v>617942.56999999995</v>
      </c>
      <c r="DZ19" s="177"/>
      <c r="EA19" s="166">
        <v>866471.57</v>
      </c>
      <c r="EB19" s="177"/>
      <c r="EC19" s="166">
        <v>658618.96</v>
      </c>
      <c r="ED19" s="177"/>
      <c r="EE19" s="166">
        <v>928616.59</v>
      </c>
      <c r="EF19" s="177"/>
      <c r="EG19" s="167">
        <v>1139859.76</v>
      </c>
      <c r="EH19" s="177"/>
      <c r="EI19" s="167">
        <v>819601.52</v>
      </c>
      <c r="EJ19" s="177"/>
      <c r="EK19" s="167">
        <v>1075466.53</v>
      </c>
      <c r="EL19" s="177"/>
      <c r="EM19" s="167">
        <v>1068694.82</v>
      </c>
      <c r="EN19" s="177"/>
      <c r="EO19" s="167">
        <v>430066</v>
      </c>
      <c r="EP19" s="177"/>
      <c r="EQ19" s="166">
        <v>387342.17</v>
      </c>
      <c r="ER19" s="177"/>
      <c r="ES19" s="166">
        <v>351869.91</v>
      </c>
      <c r="ET19" s="177"/>
      <c r="EU19" s="166">
        <v>343781.31</v>
      </c>
      <c r="EV19" s="177"/>
      <c r="EW19" s="166">
        <v>425947.18</v>
      </c>
      <c r="EX19" s="177"/>
      <c r="EY19" s="166">
        <v>571363.05000000005</v>
      </c>
      <c r="EZ19" s="177"/>
      <c r="FA19" s="166">
        <v>631591.54</v>
      </c>
      <c r="FB19" s="177"/>
      <c r="FC19" s="166">
        <v>689205.08</v>
      </c>
      <c r="FD19" s="177"/>
      <c r="FE19" s="166">
        <v>780635.23</v>
      </c>
      <c r="FF19" s="177"/>
      <c r="FG19" s="166">
        <v>709333.47</v>
      </c>
      <c r="FH19" s="177"/>
      <c r="FI19" s="166">
        <v>525614.93999999994</v>
      </c>
      <c r="FJ19" s="177"/>
      <c r="FK19" s="166">
        <v>634849</v>
      </c>
      <c r="FL19" s="177"/>
      <c r="FM19" s="166">
        <v>537445.37</v>
      </c>
      <c r="FN19" s="177"/>
      <c r="FO19" s="166">
        <v>585670.05000000005</v>
      </c>
      <c r="FP19" s="177"/>
      <c r="FQ19" s="166">
        <v>455257.59999999998</v>
      </c>
      <c r="FR19" s="177"/>
      <c r="FS19" s="166">
        <v>275189.69</v>
      </c>
      <c r="FT19" s="177"/>
      <c r="FU19" s="166">
        <v>243406.45</v>
      </c>
      <c r="FV19" s="177"/>
      <c r="FW19" s="166">
        <v>261286.39</v>
      </c>
      <c r="FX19" s="177"/>
      <c r="FY19" s="166">
        <v>262460.38</v>
      </c>
      <c r="FZ19" s="177"/>
      <c r="GA19" s="166">
        <v>146586.28</v>
      </c>
      <c r="GB19" s="177"/>
      <c r="GC19" s="166">
        <v>167970.27</v>
      </c>
      <c r="GD19" s="177"/>
      <c r="GE19" s="166">
        <v>178502</v>
      </c>
      <c r="GF19" s="177"/>
      <c r="GG19" s="166">
        <v>202677.68</v>
      </c>
      <c r="GH19" s="166"/>
      <c r="GI19" s="166">
        <v>228920.55</v>
      </c>
      <c r="GJ19" s="166"/>
      <c r="GK19" s="166">
        <v>70914.98</v>
      </c>
      <c r="GL19" s="166"/>
      <c r="GM19" s="166">
        <v>77718.61</v>
      </c>
      <c r="GN19" s="166"/>
      <c r="GO19" s="166">
        <v>98920.94</v>
      </c>
      <c r="GP19" s="166"/>
      <c r="GQ19" s="166">
        <v>116614.13</v>
      </c>
    </row>
    <row r="20" spans="1:199" ht="14.25" hidden="1" customHeight="1" outlineLevel="1">
      <c r="A20" s="158"/>
      <c r="B20" s="177" t="s">
        <v>306</v>
      </c>
      <c r="C20" s="418">
        <v>0</v>
      </c>
      <c r="D20" s="412"/>
      <c r="E20" s="418">
        <v>0</v>
      </c>
      <c r="F20" s="412"/>
      <c r="G20" s="418">
        <v>0</v>
      </c>
      <c r="H20" s="412"/>
      <c r="I20" s="418">
        <v>0</v>
      </c>
      <c r="J20" s="412"/>
      <c r="K20" s="418">
        <v>0</v>
      </c>
      <c r="L20" s="412"/>
      <c r="M20" s="418">
        <v>0</v>
      </c>
      <c r="N20" s="412"/>
      <c r="O20" s="418">
        <v>0</v>
      </c>
      <c r="P20" s="412"/>
      <c r="Q20" s="418">
        <v>0</v>
      </c>
      <c r="R20" s="412"/>
      <c r="S20" s="418">
        <v>0</v>
      </c>
      <c r="T20" s="412"/>
      <c r="U20" s="418">
        <v>0</v>
      </c>
      <c r="V20" s="412"/>
      <c r="W20" s="418">
        <v>0</v>
      </c>
      <c r="X20" s="412"/>
      <c r="Y20" s="418">
        <v>0</v>
      </c>
      <c r="Z20" s="412"/>
      <c r="AA20" s="418">
        <v>0</v>
      </c>
      <c r="AB20" s="412"/>
      <c r="AC20" s="418">
        <v>0</v>
      </c>
      <c r="AD20" s="412"/>
      <c r="AE20" s="167">
        <v>0</v>
      </c>
      <c r="AF20" s="412"/>
      <c r="AG20" s="167">
        <v>0</v>
      </c>
      <c r="AH20" s="412"/>
      <c r="AI20" s="167">
        <v>0</v>
      </c>
      <c r="AJ20" s="412"/>
      <c r="AK20" s="167">
        <v>0</v>
      </c>
      <c r="AL20" s="412"/>
      <c r="AM20" s="167">
        <v>0</v>
      </c>
      <c r="AN20" s="412"/>
      <c r="AO20" s="167">
        <v>0</v>
      </c>
      <c r="AP20" s="412"/>
      <c r="AQ20" s="167">
        <v>0</v>
      </c>
      <c r="AR20" s="412"/>
      <c r="AS20" s="167">
        <v>0</v>
      </c>
      <c r="AT20" s="412"/>
      <c r="AU20" s="418">
        <v>0</v>
      </c>
      <c r="AV20" s="412"/>
      <c r="AW20" s="167">
        <v>0</v>
      </c>
      <c r="AX20" s="412"/>
      <c r="AY20" s="167">
        <v>0</v>
      </c>
      <c r="AZ20" s="412"/>
      <c r="BA20" s="167">
        <v>0</v>
      </c>
      <c r="BB20" s="412"/>
      <c r="BC20" s="167">
        <v>0</v>
      </c>
      <c r="BD20" s="412"/>
      <c r="BE20" s="167">
        <v>0</v>
      </c>
      <c r="BF20" s="412"/>
      <c r="BG20" s="167">
        <v>0</v>
      </c>
      <c r="BH20" s="412"/>
      <c r="BI20" s="167">
        <v>0</v>
      </c>
      <c r="BJ20" s="412"/>
      <c r="BK20" s="167">
        <v>0</v>
      </c>
      <c r="BL20" s="412"/>
      <c r="BM20" s="167">
        <v>0</v>
      </c>
      <c r="BN20" s="412"/>
      <c r="BO20" s="167">
        <v>0</v>
      </c>
      <c r="BP20" s="412"/>
      <c r="BQ20" s="167">
        <v>0</v>
      </c>
      <c r="BR20" s="412"/>
      <c r="BS20" s="418">
        <v>0</v>
      </c>
      <c r="BT20" s="412"/>
      <c r="BU20" s="167">
        <v>0</v>
      </c>
      <c r="BV20" s="412"/>
      <c r="BW20" s="167">
        <v>0</v>
      </c>
      <c r="BX20" s="412"/>
      <c r="BY20" s="167">
        <v>0</v>
      </c>
      <c r="BZ20" s="412"/>
      <c r="CA20" s="167">
        <v>0</v>
      </c>
      <c r="CB20" s="412"/>
      <c r="CC20" s="167">
        <v>0</v>
      </c>
      <c r="CD20" s="412"/>
      <c r="CE20" s="167">
        <v>0</v>
      </c>
      <c r="CF20" s="412"/>
      <c r="CG20" s="167">
        <v>0</v>
      </c>
      <c r="CH20" s="412"/>
      <c r="CI20" s="167">
        <v>0</v>
      </c>
      <c r="CJ20" s="412"/>
      <c r="CK20" s="167">
        <v>0</v>
      </c>
      <c r="CL20" s="412"/>
      <c r="CM20" s="167">
        <v>0</v>
      </c>
      <c r="CN20" s="412"/>
      <c r="CO20" s="167">
        <v>0</v>
      </c>
      <c r="CP20" s="412"/>
      <c r="CQ20" s="167">
        <v>220421.47</v>
      </c>
      <c r="CR20" s="412"/>
      <c r="CS20" s="167">
        <v>220421.47</v>
      </c>
      <c r="CT20" s="177"/>
      <c r="CU20" s="167">
        <v>220421.47</v>
      </c>
      <c r="CV20" s="177"/>
      <c r="CW20" s="167">
        <v>220421.47</v>
      </c>
      <c r="CX20" s="177"/>
      <c r="CY20" s="167">
        <v>220421.47</v>
      </c>
      <c r="CZ20" s="177"/>
      <c r="DA20" s="167">
        <v>220421.47</v>
      </c>
      <c r="DB20" s="177"/>
      <c r="DC20" s="166">
        <v>220421.47</v>
      </c>
      <c r="DD20" s="177"/>
      <c r="DE20" s="166">
        <v>220421.47</v>
      </c>
      <c r="DF20" s="177"/>
      <c r="DG20" s="166">
        <v>220421.47</v>
      </c>
      <c r="DH20" s="177"/>
      <c r="DI20" s="166">
        <v>220421.47</v>
      </c>
      <c r="DJ20" s="177"/>
      <c r="DK20" s="166">
        <v>220421.47</v>
      </c>
      <c r="DL20" s="177"/>
      <c r="DM20" s="166">
        <v>220421.47</v>
      </c>
      <c r="DN20" s="177"/>
      <c r="DO20" s="166">
        <v>569400</v>
      </c>
      <c r="DP20" s="177"/>
      <c r="DQ20" s="166"/>
      <c r="DR20" s="177"/>
      <c r="DS20" s="166"/>
      <c r="DT20" s="177"/>
      <c r="DU20" s="166"/>
      <c r="DV20" s="177"/>
      <c r="DW20" s="166"/>
      <c r="DX20" s="177"/>
      <c r="DY20" s="166"/>
      <c r="DZ20" s="177"/>
      <c r="EA20" s="166"/>
      <c r="EB20" s="177"/>
      <c r="EC20" s="166"/>
      <c r="ED20" s="177"/>
      <c r="EE20" s="166"/>
      <c r="EF20" s="177"/>
      <c r="EG20" s="167"/>
      <c r="EH20" s="177"/>
      <c r="EI20" s="167"/>
      <c r="EJ20" s="177"/>
      <c r="EK20" s="167"/>
      <c r="EL20" s="177"/>
      <c r="EM20" s="167"/>
      <c r="EN20" s="177"/>
      <c r="EO20" s="167"/>
      <c r="EP20" s="177"/>
      <c r="EQ20" s="166"/>
      <c r="ER20" s="177"/>
      <c r="ES20" s="166"/>
      <c r="ET20" s="177"/>
      <c r="EU20" s="166"/>
      <c r="EV20" s="177"/>
      <c r="EW20" s="166"/>
      <c r="EX20" s="177"/>
      <c r="EY20" s="166"/>
      <c r="EZ20" s="177"/>
      <c r="FA20" s="166"/>
      <c r="FB20" s="177"/>
      <c r="FC20" s="166"/>
      <c r="FD20" s="177"/>
      <c r="FE20" s="166"/>
      <c r="FF20" s="177"/>
      <c r="FG20" s="166"/>
      <c r="FH20" s="177"/>
      <c r="FI20" s="166"/>
      <c r="FJ20" s="177"/>
      <c r="FK20" s="166"/>
      <c r="FL20" s="177"/>
      <c r="FM20" s="166"/>
      <c r="FN20" s="177"/>
      <c r="FO20" s="166"/>
      <c r="FP20" s="177"/>
      <c r="FQ20" s="166"/>
      <c r="FR20" s="177"/>
      <c r="FS20" s="166"/>
      <c r="FT20" s="177"/>
      <c r="FU20" s="166"/>
      <c r="FV20" s="177"/>
      <c r="FW20" s="166"/>
      <c r="FX20" s="177"/>
      <c r="FY20" s="166"/>
      <c r="FZ20" s="177"/>
      <c r="GA20" s="166"/>
      <c r="GB20" s="177"/>
      <c r="GC20" s="166"/>
      <c r="GD20" s="177"/>
      <c r="GE20" s="166"/>
      <c r="GF20" s="177"/>
      <c r="GG20" s="166"/>
      <c r="GH20" s="166"/>
      <c r="GI20" s="166"/>
      <c r="GJ20" s="166"/>
      <c r="GK20" s="166"/>
      <c r="GL20" s="166"/>
      <c r="GM20" s="166"/>
      <c r="GN20" s="166"/>
      <c r="GO20" s="166"/>
      <c r="GP20" s="166"/>
      <c r="GQ20" s="166"/>
    </row>
    <row r="21" spans="1:199" ht="14.25" hidden="1" customHeight="1" outlineLevel="1" collapsed="1">
      <c r="A21" s="158"/>
      <c r="B21" s="177" t="s">
        <v>307</v>
      </c>
      <c r="C21" s="990">
        <v>0</v>
      </c>
      <c r="D21" s="412"/>
      <c r="E21" s="990">
        <v>0</v>
      </c>
      <c r="F21" s="412"/>
      <c r="G21" s="990">
        <v>0</v>
      </c>
      <c r="H21" s="412"/>
      <c r="I21" s="990">
        <v>0</v>
      </c>
      <c r="J21" s="412"/>
      <c r="K21" s="990">
        <v>0</v>
      </c>
      <c r="L21" s="412"/>
      <c r="M21" s="990">
        <v>0</v>
      </c>
      <c r="N21" s="412"/>
      <c r="O21" s="990">
        <v>0</v>
      </c>
      <c r="P21" s="412"/>
      <c r="Q21" s="990">
        <v>0</v>
      </c>
      <c r="R21" s="412"/>
      <c r="S21" s="990">
        <v>0</v>
      </c>
      <c r="T21" s="412"/>
      <c r="U21" s="990">
        <v>0</v>
      </c>
      <c r="V21" s="412"/>
      <c r="W21" s="990">
        <v>0</v>
      </c>
      <c r="X21" s="412"/>
      <c r="Y21" s="990">
        <v>0</v>
      </c>
      <c r="Z21" s="412"/>
      <c r="AA21" s="990">
        <v>0</v>
      </c>
      <c r="AB21" s="412"/>
      <c r="AC21" s="990">
        <v>0</v>
      </c>
      <c r="AD21" s="412"/>
      <c r="AE21" s="451">
        <v>0</v>
      </c>
      <c r="AF21" s="412"/>
      <c r="AG21" s="451">
        <v>0</v>
      </c>
      <c r="AH21" s="412"/>
      <c r="AI21" s="451">
        <v>0</v>
      </c>
      <c r="AJ21" s="412"/>
      <c r="AK21" s="451">
        <v>0</v>
      </c>
      <c r="AL21" s="412"/>
      <c r="AM21" s="451">
        <v>0</v>
      </c>
      <c r="AN21" s="412"/>
      <c r="AO21" s="451">
        <v>0</v>
      </c>
      <c r="AP21" s="412"/>
      <c r="AQ21" s="451">
        <v>0</v>
      </c>
      <c r="AR21" s="412"/>
      <c r="AS21" s="451">
        <v>0</v>
      </c>
      <c r="AT21" s="412"/>
      <c r="AU21" s="990">
        <v>0</v>
      </c>
      <c r="AV21" s="412"/>
      <c r="AW21" s="451">
        <v>0</v>
      </c>
      <c r="AX21" s="412"/>
      <c r="AY21" s="451">
        <v>0</v>
      </c>
      <c r="AZ21" s="412"/>
      <c r="BA21" s="451">
        <v>0</v>
      </c>
      <c r="BB21" s="412"/>
      <c r="BC21" s="451">
        <v>0</v>
      </c>
      <c r="BD21" s="412"/>
      <c r="BE21" s="451">
        <v>0</v>
      </c>
      <c r="BF21" s="412"/>
      <c r="BG21" s="451">
        <v>0</v>
      </c>
      <c r="BH21" s="412"/>
      <c r="BI21" s="451">
        <v>0</v>
      </c>
      <c r="BJ21" s="412"/>
      <c r="BK21" s="451">
        <v>0</v>
      </c>
      <c r="BL21" s="412"/>
      <c r="BM21" s="451">
        <v>0</v>
      </c>
      <c r="BN21" s="412"/>
      <c r="BO21" s="451">
        <v>0</v>
      </c>
      <c r="BP21" s="412"/>
      <c r="BQ21" s="451">
        <v>0</v>
      </c>
      <c r="BR21" s="412"/>
      <c r="BS21" s="990">
        <v>-15104703.6</v>
      </c>
      <c r="BT21" s="412"/>
      <c r="BU21" s="451">
        <v>-15976979.810000001</v>
      </c>
      <c r="BV21" s="412"/>
      <c r="BW21" s="451">
        <v>-16851822.210000001</v>
      </c>
      <c r="BX21" s="412"/>
      <c r="BY21" s="451">
        <v>-16226339.66</v>
      </c>
      <c r="BZ21" s="412"/>
      <c r="CA21" s="451">
        <v>-16183537.810000001</v>
      </c>
      <c r="CB21" s="412"/>
      <c r="CC21" s="451">
        <v>-15620414.41</v>
      </c>
      <c r="CD21" s="412"/>
      <c r="CE21" s="451">
        <v>-15837723.710000001</v>
      </c>
      <c r="CF21" s="412"/>
      <c r="CG21" s="451">
        <v>-13212050.43</v>
      </c>
      <c r="CH21" s="412"/>
      <c r="CI21" s="451">
        <v>-13199623.33</v>
      </c>
      <c r="CJ21" s="412"/>
      <c r="CK21" s="451">
        <v>-11485306.449999999</v>
      </c>
      <c r="CL21" s="412"/>
      <c r="CM21" s="451">
        <v>-9828949</v>
      </c>
      <c r="CN21" s="412"/>
      <c r="CO21" s="451">
        <f>-7851263.13</f>
        <v>-7851263.1299999999</v>
      </c>
      <c r="CP21" s="412"/>
      <c r="CQ21" s="418">
        <v>-6878460.2999999998</v>
      </c>
      <c r="CR21" s="412"/>
      <c r="CS21" s="167">
        <f>-6011776-220421.47</f>
        <v>-6232197.4699999997</v>
      </c>
      <c r="CT21" s="177"/>
      <c r="CU21" s="167">
        <f>-6023274.18+1846695.54-220421.47-640024.6</f>
        <v>-5037024.709999999</v>
      </c>
      <c r="CV21" s="177"/>
      <c r="CW21" s="167">
        <f>-(3640971+220421)</f>
        <v>-3861392</v>
      </c>
      <c r="CX21" s="177"/>
      <c r="CY21" s="167">
        <v>-3065144.3000000003</v>
      </c>
      <c r="CZ21" s="177"/>
      <c r="DA21" s="167">
        <v>-2534287.5600000005</v>
      </c>
      <c r="DB21" s="177"/>
      <c r="DC21" s="166">
        <f>-220421.47-2023505.73</f>
        <v>-2243927.2000000002</v>
      </c>
      <c r="DD21" s="177"/>
      <c r="DE21" s="166">
        <v>-1710038.49</v>
      </c>
      <c r="DF21" s="177"/>
      <c r="DG21" s="166">
        <v>-742135.7</v>
      </c>
      <c r="DH21" s="177"/>
      <c r="DI21" s="166">
        <v>-622829.85</v>
      </c>
      <c r="DJ21" s="177"/>
      <c r="DK21" s="166">
        <v>-441480.74</v>
      </c>
      <c r="DL21" s="177"/>
      <c r="DM21" s="166">
        <v>-435326.42000000004</v>
      </c>
      <c r="DN21" s="177"/>
      <c r="DO21" s="166">
        <v>1889291.32</v>
      </c>
      <c r="DP21" s="177"/>
      <c r="DQ21" s="166"/>
      <c r="DR21" s="177"/>
      <c r="DS21" s="166"/>
      <c r="DT21" s="177"/>
      <c r="DU21" s="166"/>
      <c r="DV21" s="177"/>
      <c r="DW21" s="166"/>
      <c r="DX21" s="177"/>
      <c r="DY21" s="166"/>
      <c r="DZ21" s="177"/>
      <c r="EA21" s="166"/>
      <c r="EB21" s="177"/>
      <c r="EC21" s="166"/>
      <c r="ED21" s="177"/>
      <c r="EE21" s="166"/>
      <c r="EF21" s="177"/>
      <c r="EG21" s="167"/>
      <c r="EH21" s="177"/>
      <c r="EI21" s="167"/>
      <c r="EJ21" s="177"/>
      <c r="EK21" s="167"/>
      <c r="EL21" s="177"/>
      <c r="EM21" s="167"/>
      <c r="EN21" s="177"/>
      <c r="EO21" s="167"/>
      <c r="EP21" s="177"/>
      <c r="EQ21" s="166"/>
      <c r="ER21" s="177"/>
      <c r="ES21" s="166"/>
      <c r="ET21" s="177"/>
      <c r="EU21" s="166"/>
      <c r="EV21" s="177"/>
      <c r="EW21" s="166"/>
      <c r="EX21" s="177"/>
      <c r="EY21" s="166"/>
      <c r="EZ21" s="177"/>
      <c r="FA21" s="166"/>
      <c r="FB21" s="177"/>
      <c r="FC21" s="166"/>
      <c r="FD21" s="177"/>
      <c r="FE21" s="166"/>
      <c r="FF21" s="177"/>
      <c r="FG21" s="166"/>
      <c r="FH21" s="177"/>
      <c r="FI21" s="166"/>
      <c r="FJ21" s="177"/>
      <c r="FK21" s="166"/>
      <c r="FL21" s="177"/>
      <c r="FM21" s="166"/>
      <c r="FN21" s="177"/>
      <c r="FO21" s="166"/>
      <c r="FP21" s="177"/>
      <c r="FQ21" s="166"/>
      <c r="FR21" s="177"/>
      <c r="FS21" s="166"/>
      <c r="FT21" s="177"/>
      <c r="FU21" s="166"/>
      <c r="FV21" s="177"/>
      <c r="FW21" s="166"/>
      <c r="FX21" s="177"/>
      <c r="FY21" s="166"/>
      <c r="FZ21" s="177"/>
      <c r="GA21" s="166"/>
      <c r="GB21" s="177"/>
      <c r="GC21" s="166"/>
      <c r="GD21" s="177"/>
      <c r="GE21" s="166"/>
      <c r="GF21" s="177"/>
      <c r="GG21" s="166"/>
      <c r="GH21" s="166"/>
      <c r="GI21" s="166"/>
      <c r="GJ21" s="166"/>
      <c r="GK21" s="166"/>
      <c r="GL21" s="166"/>
      <c r="GM21" s="166"/>
      <c r="GN21" s="166"/>
      <c r="GO21" s="166"/>
      <c r="GP21" s="166"/>
      <c r="GQ21" s="166"/>
    </row>
    <row r="22" spans="1:199" ht="14.25" hidden="1" customHeight="1" outlineLevel="1">
      <c r="A22" s="158"/>
      <c r="B22" s="177" t="s">
        <v>308</v>
      </c>
      <c r="C22" s="984">
        <v>0</v>
      </c>
      <c r="D22" s="412"/>
      <c r="E22" s="984">
        <v>0</v>
      </c>
      <c r="F22" s="412"/>
      <c r="G22" s="984">
        <v>0</v>
      </c>
      <c r="H22" s="412"/>
      <c r="I22" s="984">
        <v>0</v>
      </c>
      <c r="J22" s="412"/>
      <c r="K22" s="984">
        <v>0</v>
      </c>
      <c r="L22" s="412"/>
      <c r="M22" s="984">
        <v>0</v>
      </c>
      <c r="N22" s="412"/>
      <c r="O22" s="984">
        <v>0</v>
      </c>
      <c r="P22" s="412"/>
      <c r="Q22" s="984">
        <v>0</v>
      </c>
      <c r="R22" s="412"/>
      <c r="S22" s="984">
        <v>0</v>
      </c>
      <c r="T22" s="412"/>
      <c r="U22" s="984">
        <v>0</v>
      </c>
      <c r="V22" s="412"/>
      <c r="W22" s="984">
        <v>0</v>
      </c>
      <c r="X22" s="412"/>
      <c r="Y22" s="984">
        <v>0</v>
      </c>
      <c r="Z22" s="412"/>
      <c r="AA22" s="984">
        <v>0</v>
      </c>
      <c r="AB22" s="412"/>
      <c r="AC22" s="984">
        <v>0.26</v>
      </c>
      <c r="AD22" s="412"/>
      <c r="AE22" s="535">
        <v>0.26</v>
      </c>
      <c r="AF22" s="412"/>
      <c r="AG22" s="535">
        <v>0.26</v>
      </c>
      <c r="AH22" s="412"/>
      <c r="AI22" s="535">
        <v>0.26</v>
      </c>
      <c r="AJ22" s="412"/>
      <c r="AK22" s="535">
        <v>0.26</v>
      </c>
      <c r="AL22" s="412"/>
      <c r="AM22" s="535">
        <v>0.26</v>
      </c>
      <c r="AN22" s="412"/>
      <c r="AO22" s="535">
        <v>0.26</v>
      </c>
      <c r="AP22" s="412"/>
      <c r="AQ22" s="535">
        <v>0.26</v>
      </c>
      <c r="AR22" s="412"/>
      <c r="AS22" s="535">
        <v>0.26</v>
      </c>
      <c r="AT22" s="412"/>
      <c r="AU22" s="990">
        <v>0.26</v>
      </c>
      <c r="AV22" s="412"/>
      <c r="AW22" s="535">
        <v>0.26</v>
      </c>
      <c r="AX22" s="412"/>
      <c r="AY22" s="535">
        <v>0.26</v>
      </c>
      <c r="AZ22" s="412"/>
      <c r="BA22" s="535">
        <v>0.26</v>
      </c>
      <c r="BB22" s="412"/>
      <c r="BC22" s="535">
        <v>0.26</v>
      </c>
      <c r="BD22" s="412"/>
      <c r="BE22" s="535">
        <v>0.26</v>
      </c>
      <c r="BF22" s="412"/>
      <c r="BG22" s="759">
        <v>0.26</v>
      </c>
      <c r="BH22" s="412"/>
      <c r="BI22" s="535">
        <v>0.26</v>
      </c>
      <c r="BJ22" s="412"/>
      <c r="BK22" s="535">
        <v>0.26</v>
      </c>
      <c r="BL22" s="412"/>
      <c r="BM22" s="535">
        <v>0.26</v>
      </c>
      <c r="BN22" s="412"/>
      <c r="BO22" s="535">
        <v>0.26</v>
      </c>
      <c r="BP22" s="412"/>
      <c r="BQ22" s="535">
        <v>0.26</v>
      </c>
      <c r="BR22" s="412"/>
      <c r="BS22" s="984">
        <v>0.26</v>
      </c>
      <c r="BT22" s="412"/>
      <c r="BU22" s="535">
        <v>0.26</v>
      </c>
      <c r="BV22" s="412"/>
      <c r="BW22" s="535">
        <v>0.26</v>
      </c>
      <c r="BX22" s="412"/>
      <c r="BY22" s="535">
        <v>0.26</v>
      </c>
      <c r="BZ22" s="412"/>
      <c r="CA22" s="535">
        <v>0.26</v>
      </c>
      <c r="CB22" s="412"/>
      <c r="CC22" s="535">
        <v>0.26</v>
      </c>
      <c r="CD22" s="412"/>
      <c r="CE22" s="535">
        <v>0.26</v>
      </c>
      <c r="CF22" s="412"/>
      <c r="CG22" s="535">
        <v>-216201.73</v>
      </c>
      <c r="CH22" s="412"/>
      <c r="CI22" s="166">
        <v>79691.92</v>
      </c>
      <c r="CJ22" s="412"/>
      <c r="CK22" s="166">
        <v>79691.92</v>
      </c>
      <c r="CL22" s="412"/>
      <c r="CM22" s="166">
        <v>379691.92</v>
      </c>
      <c r="CN22" s="412"/>
      <c r="CO22" s="166">
        <v>44691.92</v>
      </c>
      <c r="CP22" s="412"/>
      <c r="CQ22" s="166">
        <v>-2832382.63</v>
      </c>
      <c r="CR22" s="412"/>
      <c r="CS22" s="166">
        <v>-416666.38</v>
      </c>
      <c r="CT22" s="177"/>
      <c r="CU22" s="167">
        <v>439600.26</v>
      </c>
      <c r="CV22" s="177"/>
      <c r="CW22" s="167">
        <v>-177725</v>
      </c>
      <c r="CX22" s="177"/>
      <c r="CY22" s="166">
        <v>89600.26</v>
      </c>
      <c r="CZ22" s="177"/>
      <c r="DA22" s="166">
        <v>-303076.74</v>
      </c>
      <c r="DB22" s="177"/>
      <c r="DC22" s="166">
        <v>-1915230.41</v>
      </c>
      <c r="DD22" s="177"/>
      <c r="DE22" s="166">
        <v>17200.259999999998</v>
      </c>
      <c r="DF22" s="177"/>
      <c r="DG22" s="166">
        <v>0</v>
      </c>
      <c r="DH22" s="177"/>
      <c r="DI22" s="166">
        <v>-291421.08</v>
      </c>
      <c r="DJ22" s="177"/>
      <c r="DK22" s="166">
        <v>742199.99</v>
      </c>
      <c r="DL22" s="177"/>
      <c r="DM22" s="166">
        <v>0</v>
      </c>
      <c r="DN22" s="177"/>
      <c r="DO22" s="166">
        <v>-20000</v>
      </c>
      <c r="DP22" s="177"/>
      <c r="DQ22" s="166">
        <v>0</v>
      </c>
      <c r="DR22" s="177"/>
      <c r="DS22" s="166">
        <v>0</v>
      </c>
      <c r="DT22" s="177"/>
      <c r="DU22" s="166">
        <v>0</v>
      </c>
      <c r="DV22" s="177"/>
      <c r="DW22" s="166">
        <v>0</v>
      </c>
      <c r="DX22" s="177"/>
      <c r="DY22" s="166">
        <v>-750000</v>
      </c>
      <c r="DZ22" s="177"/>
      <c r="EA22" s="166">
        <v>0</v>
      </c>
      <c r="EB22" s="177"/>
      <c r="EC22" s="167">
        <v>0</v>
      </c>
      <c r="ED22" s="177"/>
      <c r="EE22" s="167">
        <v>34588</v>
      </c>
      <c r="EF22" s="177"/>
      <c r="EG22" s="167">
        <v>-470000</v>
      </c>
      <c r="EH22" s="177"/>
      <c r="EI22" s="167">
        <v>0</v>
      </c>
      <c r="EJ22" s="177"/>
      <c r="EK22" s="167">
        <v>0</v>
      </c>
      <c r="EL22" s="177"/>
      <c r="EM22" s="167">
        <v>0</v>
      </c>
      <c r="EN22" s="177"/>
      <c r="EO22" s="167">
        <v>-150000</v>
      </c>
      <c r="EP22" s="177"/>
      <c r="EQ22" s="166">
        <v>0</v>
      </c>
      <c r="ER22" s="177"/>
      <c r="ES22" s="166">
        <v>-472410.31</v>
      </c>
      <c r="ET22" s="177"/>
      <c r="EU22" s="166">
        <v>0</v>
      </c>
      <c r="EV22" s="177"/>
      <c r="EW22" s="166">
        <v>0</v>
      </c>
      <c r="EX22" s="177"/>
      <c r="EY22" s="166">
        <v>0</v>
      </c>
      <c r="EZ22" s="177"/>
      <c r="FA22" s="166">
        <v>-6363923.6799999997</v>
      </c>
      <c r="FB22" s="177"/>
      <c r="FC22" s="166">
        <v>138364.21</v>
      </c>
      <c r="FD22" s="177"/>
      <c r="FE22" s="166">
        <v>0</v>
      </c>
      <c r="FF22" s="177"/>
      <c r="FG22" s="166">
        <v>213672.67</v>
      </c>
      <c r="FH22" s="177"/>
      <c r="FI22" s="166">
        <v>19200</v>
      </c>
      <c r="FJ22" s="177"/>
      <c r="FK22" s="166">
        <v>24333.37</v>
      </c>
      <c r="FL22" s="177"/>
      <c r="FM22" s="166">
        <v>248483.45</v>
      </c>
      <c r="FN22" s="177"/>
      <c r="FO22" s="166"/>
      <c r="FP22" s="177"/>
      <c r="FQ22" s="166"/>
      <c r="FR22" s="177"/>
      <c r="FS22" s="166"/>
      <c r="FT22" s="177"/>
      <c r="FU22" s="166"/>
      <c r="FV22" s="177"/>
      <c r="FW22" s="166"/>
      <c r="FX22" s="177"/>
      <c r="FY22" s="166"/>
      <c r="FZ22" s="177"/>
      <c r="GA22" s="166"/>
      <c r="GB22" s="177"/>
      <c r="GC22" s="166"/>
      <c r="GD22" s="177"/>
      <c r="GE22" s="166"/>
      <c r="GF22" s="177"/>
      <c r="GG22" s="166"/>
      <c r="GH22" s="166"/>
      <c r="GI22" s="166"/>
      <c r="GJ22" s="166"/>
      <c r="GK22" s="166"/>
      <c r="GL22" s="166"/>
      <c r="GM22" s="166"/>
      <c r="GN22" s="166"/>
      <c r="GO22" s="166"/>
      <c r="GP22" s="166"/>
      <c r="GQ22" s="166"/>
    </row>
    <row r="23" spans="1:199" ht="14.1" customHeight="1" collapsed="1">
      <c r="A23" s="158"/>
      <c r="B23" s="177" t="s">
        <v>309</v>
      </c>
      <c r="C23" s="418">
        <v>4900000</v>
      </c>
      <c r="D23" s="412"/>
      <c r="E23" s="418">
        <v>4900000</v>
      </c>
      <c r="F23" s="412"/>
      <c r="G23" s="418">
        <v>4900000</v>
      </c>
      <c r="H23" s="412"/>
      <c r="I23" s="418">
        <v>4900000</v>
      </c>
      <c r="J23" s="412"/>
      <c r="K23" s="418">
        <v>4900000</v>
      </c>
      <c r="L23" s="412"/>
      <c r="M23" s="418">
        <v>1900000</v>
      </c>
      <c r="N23" s="412"/>
      <c r="O23" s="418">
        <v>1200000</v>
      </c>
      <c r="P23" s="412"/>
      <c r="Q23" s="418">
        <v>900000</v>
      </c>
      <c r="R23" s="412"/>
      <c r="S23" s="418">
        <v>900000</v>
      </c>
      <c r="T23" s="412"/>
      <c r="U23" s="418">
        <v>-3600000</v>
      </c>
      <c r="V23" s="412"/>
      <c r="W23" s="418">
        <v>0</v>
      </c>
      <c r="X23" s="412"/>
      <c r="Y23" s="418">
        <v>4714109</v>
      </c>
      <c r="Z23" s="412"/>
      <c r="AA23" s="418">
        <v>4714109</v>
      </c>
      <c r="AB23" s="412"/>
      <c r="AC23" s="418">
        <v>6714109</v>
      </c>
      <c r="AD23" s="412"/>
      <c r="AE23" s="167">
        <v>3414109</v>
      </c>
      <c r="AF23" s="412"/>
      <c r="AG23" s="167">
        <v>3414109</v>
      </c>
      <c r="AH23" s="412"/>
      <c r="AI23" s="167">
        <v>500000</v>
      </c>
      <c r="AJ23" s="412"/>
      <c r="AK23" s="167">
        <v>0</v>
      </c>
      <c r="AL23" s="412"/>
      <c r="AM23" s="167">
        <v>0</v>
      </c>
      <c r="AN23" s="412"/>
      <c r="AO23" s="167">
        <v>0</v>
      </c>
      <c r="AP23" s="412"/>
      <c r="AQ23" s="167">
        <v>0</v>
      </c>
      <c r="AR23" s="412"/>
      <c r="AS23" s="167">
        <v>0</v>
      </c>
      <c r="AT23" s="412"/>
      <c r="AU23" s="418">
        <v>0</v>
      </c>
      <c r="AV23" s="412"/>
      <c r="AW23" s="167">
        <v>0</v>
      </c>
      <c r="AX23" s="412"/>
      <c r="AY23" s="167">
        <v>0</v>
      </c>
      <c r="AZ23" s="412"/>
      <c r="BA23" s="167">
        <v>0</v>
      </c>
      <c r="BB23" s="412"/>
      <c r="BC23" s="167">
        <v>0</v>
      </c>
      <c r="BD23" s="412"/>
      <c r="BE23" s="167">
        <v>0</v>
      </c>
      <c r="BF23" s="412"/>
      <c r="BG23" s="167">
        <v>0</v>
      </c>
      <c r="BH23" s="412"/>
      <c r="BI23" s="167">
        <v>0</v>
      </c>
      <c r="BJ23" s="412"/>
      <c r="BK23" s="167">
        <v>0</v>
      </c>
      <c r="BL23" s="412"/>
      <c r="BM23" s="167">
        <v>0</v>
      </c>
      <c r="BN23" s="412"/>
      <c r="BO23" s="167">
        <v>0</v>
      </c>
      <c r="BP23" s="412"/>
      <c r="BQ23" s="167">
        <v>0</v>
      </c>
      <c r="BR23" s="412"/>
      <c r="BS23" s="418">
        <v>0</v>
      </c>
      <c r="BT23" s="412"/>
      <c r="BU23" s="167">
        <v>0</v>
      </c>
      <c r="BV23" s="412"/>
      <c r="BW23" s="167">
        <v>0</v>
      </c>
      <c r="BX23" s="412"/>
      <c r="BY23" s="167">
        <v>0</v>
      </c>
      <c r="BZ23" s="412"/>
      <c r="CA23" s="167">
        <v>0</v>
      </c>
      <c r="CB23" s="412"/>
      <c r="CC23" s="167">
        <v>0</v>
      </c>
      <c r="CD23" s="412"/>
      <c r="CE23" s="167">
        <v>0</v>
      </c>
      <c r="CF23" s="412"/>
      <c r="CG23" s="167">
        <v>0</v>
      </c>
      <c r="CH23" s="412"/>
      <c r="CI23" s="167">
        <v>0</v>
      </c>
      <c r="CJ23" s="412"/>
      <c r="CK23" s="167">
        <v>0</v>
      </c>
      <c r="CL23" s="412"/>
      <c r="CM23" s="167">
        <v>0</v>
      </c>
      <c r="CN23" s="412"/>
      <c r="CO23" s="167">
        <v>0</v>
      </c>
      <c r="CP23" s="412"/>
      <c r="CQ23" s="167">
        <v>0</v>
      </c>
      <c r="CR23" s="412"/>
      <c r="CS23" s="167">
        <v>0</v>
      </c>
      <c r="CT23" s="177"/>
      <c r="CU23" s="167">
        <v>0</v>
      </c>
      <c r="CV23" s="177"/>
      <c r="CW23" s="167">
        <v>0</v>
      </c>
      <c r="CX23" s="177"/>
      <c r="CY23" s="166">
        <v>0</v>
      </c>
      <c r="CZ23" s="177"/>
      <c r="DA23" s="166">
        <v>0</v>
      </c>
      <c r="DB23" s="177"/>
      <c r="DC23" s="166">
        <v>0</v>
      </c>
      <c r="DD23" s="177"/>
      <c r="DE23" s="166">
        <v>0</v>
      </c>
      <c r="DF23" s="177"/>
      <c r="DG23" s="166">
        <v>0</v>
      </c>
      <c r="DH23" s="177"/>
      <c r="DI23" s="166">
        <v>0</v>
      </c>
      <c r="DJ23" s="177"/>
      <c r="DK23" s="166">
        <v>0</v>
      </c>
      <c r="DL23" s="177"/>
      <c r="DM23" s="166">
        <v>0</v>
      </c>
      <c r="DN23" s="177"/>
      <c r="DO23" s="166">
        <v>0</v>
      </c>
      <c r="DP23" s="177"/>
      <c r="DQ23" s="166">
        <v>0</v>
      </c>
      <c r="DR23" s="177"/>
      <c r="DS23" s="166">
        <v>0</v>
      </c>
      <c r="DT23" s="177"/>
      <c r="DU23" s="166">
        <v>0</v>
      </c>
      <c r="DV23" s="177"/>
      <c r="DW23" s="166">
        <v>0</v>
      </c>
      <c r="DX23" s="177"/>
      <c r="DY23" s="166">
        <v>0</v>
      </c>
      <c r="DZ23" s="177"/>
      <c r="EA23" s="166">
        <v>0</v>
      </c>
      <c r="EB23" s="177"/>
      <c r="EC23" s="167">
        <v>0</v>
      </c>
      <c r="ED23" s="177"/>
      <c r="EE23" s="167">
        <v>56122</v>
      </c>
      <c r="EF23" s="177"/>
      <c r="EG23" s="167">
        <v>0</v>
      </c>
      <c r="EH23" s="177"/>
      <c r="EI23" s="167">
        <v>0</v>
      </c>
      <c r="EJ23" s="177"/>
      <c r="EK23" s="167">
        <v>0</v>
      </c>
      <c r="EL23" s="177"/>
      <c r="EM23" s="167">
        <v>0</v>
      </c>
      <c r="EN23" s="177"/>
      <c r="EO23" s="167">
        <v>0</v>
      </c>
      <c r="EP23" s="177"/>
      <c r="EQ23" s="166">
        <v>0</v>
      </c>
      <c r="ER23" s="177"/>
      <c r="ES23" s="166">
        <v>0</v>
      </c>
      <c r="ET23" s="177"/>
      <c r="EU23" s="166">
        <v>0</v>
      </c>
      <c r="EV23" s="177"/>
      <c r="EW23" s="166">
        <v>0</v>
      </c>
      <c r="EX23" s="177"/>
      <c r="EY23" s="166">
        <v>0</v>
      </c>
      <c r="EZ23" s="177"/>
      <c r="FA23" s="166">
        <v>0</v>
      </c>
      <c r="FB23" s="177"/>
      <c r="FC23" s="166">
        <v>0</v>
      </c>
      <c r="FD23" s="177"/>
      <c r="FE23" s="166">
        <v>0</v>
      </c>
      <c r="FF23" s="177"/>
      <c r="FG23" s="166">
        <v>0</v>
      </c>
      <c r="FH23" s="177"/>
      <c r="FI23" s="166">
        <v>0</v>
      </c>
      <c r="FJ23" s="177"/>
      <c r="FK23" s="166">
        <v>0</v>
      </c>
      <c r="FL23" s="177"/>
      <c r="FM23" s="166">
        <v>0</v>
      </c>
      <c r="FN23" s="177"/>
      <c r="FO23" s="166">
        <v>0</v>
      </c>
      <c r="FP23" s="177"/>
      <c r="FQ23" s="166">
        <v>0</v>
      </c>
      <c r="FR23" s="177"/>
      <c r="FS23" s="166">
        <v>0</v>
      </c>
      <c r="FT23" s="177"/>
      <c r="FU23" s="166">
        <v>0</v>
      </c>
      <c r="FV23" s="177"/>
      <c r="FW23" s="166">
        <v>0</v>
      </c>
      <c r="FX23" s="177"/>
      <c r="FY23" s="166">
        <v>0</v>
      </c>
      <c r="FZ23" s="177"/>
      <c r="GA23" s="166">
        <v>0</v>
      </c>
      <c r="GB23" s="177"/>
      <c r="GC23" s="166">
        <v>9000</v>
      </c>
      <c r="GD23" s="177"/>
      <c r="GE23" s="179">
        <v>0</v>
      </c>
      <c r="GF23" s="177"/>
      <c r="GG23" s="179">
        <v>0</v>
      </c>
      <c r="GH23" s="166"/>
      <c r="GI23" s="179">
        <v>0</v>
      </c>
      <c r="GJ23" s="166"/>
      <c r="GK23" s="179">
        <v>0</v>
      </c>
      <c r="GL23" s="166"/>
      <c r="GM23" s="166">
        <v>0</v>
      </c>
      <c r="GN23" s="166"/>
      <c r="GO23" s="166">
        <v>0</v>
      </c>
      <c r="GP23" s="166"/>
      <c r="GQ23" s="166">
        <v>24825</v>
      </c>
    </row>
    <row r="24" spans="1:199" ht="14.25" customHeight="1">
      <c r="A24" s="158"/>
      <c r="B24" s="177" t="s">
        <v>310</v>
      </c>
      <c r="C24" s="984">
        <v>3390537.07</v>
      </c>
      <c r="D24" s="412"/>
      <c r="E24" s="984">
        <v>3167807.14</v>
      </c>
      <c r="F24" s="412"/>
      <c r="G24" s="984">
        <v>3191053.5</v>
      </c>
      <c r="H24" s="412"/>
      <c r="I24" s="984">
        <v>3539042.23</v>
      </c>
      <c r="J24" s="412"/>
      <c r="K24" s="984">
        <v>3035007.22</v>
      </c>
      <c r="L24" s="412"/>
      <c r="M24" s="984">
        <v>3327471.72</v>
      </c>
      <c r="N24" s="412"/>
      <c r="O24" s="984">
        <v>2416165.73</v>
      </c>
      <c r="P24" s="412"/>
      <c r="Q24" s="984">
        <v>3133599.8</v>
      </c>
      <c r="R24" s="412"/>
      <c r="S24" s="984">
        <v>2514554.89</v>
      </c>
      <c r="T24" s="412"/>
      <c r="U24" s="984">
        <v>2527795.84</v>
      </c>
      <c r="V24" s="412"/>
      <c r="W24" s="984">
        <v>3843753.75</v>
      </c>
      <c r="X24" s="412"/>
      <c r="Y24" s="984">
        <v>18902061.030000001</v>
      </c>
      <c r="Z24" s="412"/>
      <c r="AA24" s="984">
        <v>18725883</v>
      </c>
      <c r="AB24" s="412"/>
      <c r="AC24" s="984">
        <v>17494091.07</v>
      </c>
      <c r="AD24" s="412"/>
      <c r="AE24" s="535">
        <v>18104010.129999999</v>
      </c>
      <c r="AF24" s="412"/>
      <c r="AG24" s="535">
        <v>16403528.560000001</v>
      </c>
      <c r="AH24" s="412"/>
      <c r="AI24" s="535">
        <v>18078573.350000001</v>
      </c>
      <c r="AJ24" s="412"/>
      <c r="AK24" s="535">
        <v>17773961.020000078</v>
      </c>
      <c r="AL24" s="412"/>
      <c r="AM24" s="535">
        <v>19297238.620000001</v>
      </c>
      <c r="AN24" s="412"/>
      <c r="AO24" s="535">
        <v>14013274.73</v>
      </c>
      <c r="AP24" s="412"/>
      <c r="AQ24" s="535">
        <v>14407625.77</v>
      </c>
      <c r="AR24" s="412"/>
      <c r="AS24" s="535">
        <v>14226363.41</v>
      </c>
      <c r="AT24" s="412"/>
      <c r="AU24" s="984">
        <v>1587897.16</v>
      </c>
      <c r="AV24" s="412"/>
      <c r="AW24" s="535">
        <v>9368084.8900000006</v>
      </c>
      <c r="AX24" s="412"/>
      <c r="AY24" s="535">
        <v>9400653.1199999992</v>
      </c>
      <c r="AZ24" s="412"/>
      <c r="BA24" s="535">
        <v>9829052.1400000006</v>
      </c>
      <c r="BB24" s="412"/>
      <c r="BC24" s="535">
        <v>8756110.5800000001</v>
      </c>
      <c r="BD24" s="412"/>
      <c r="BE24" s="535">
        <v>9306603.1699999999</v>
      </c>
      <c r="BF24" s="412"/>
      <c r="BG24" s="759">
        <v>9047587.0299999993</v>
      </c>
      <c r="BH24" s="412"/>
      <c r="BI24" s="535">
        <v>8408406.0500000007</v>
      </c>
      <c r="BJ24" s="412"/>
      <c r="BK24" s="535">
        <v>8209091.5899999999</v>
      </c>
      <c r="BL24" s="412"/>
      <c r="BM24" s="535">
        <v>5764599.46</v>
      </c>
      <c r="BN24" s="412"/>
      <c r="BO24" s="535">
        <v>6242148.9000000004</v>
      </c>
      <c r="BP24" s="412"/>
      <c r="BQ24" s="535">
        <v>5509592</v>
      </c>
      <c r="BR24" s="412"/>
      <c r="BS24" s="984">
        <v>630533.77</v>
      </c>
      <c r="BT24" s="412"/>
      <c r="BU24" s="535">
        <v>8589778.6199999992</v>
      </c>
      <c r="BV24" s="412"/>
      <c r="BW24" s="166">
        <v>8906114.3499999996</v>
      </c>
      <c r="BX24" s="412"/>
      <c r="BY24" s="166">
        <v>9720545.8100000005</v>
      </c>
      <c r="BZ24" s="412"/>
      <c r="CA24" s="166">
        <v>8870594.5999999996</v>
      </c>
      <c r="CB24" s="412"/>
      <c r="CC24" s="166">
        <v>9219939.4900000002</v>
      </c>
      <c r="CD24" s="412"/>
      <c r="CE24" s="166">
        <v>8628174.9399999995</v>
      </c>
      <c r="CF24" s="412"/>
      <c r="CG24" s="166">
        <v>8498770.8100000005</v>
      </c>
      <c r="CH24" s="412"/>
      <c r="CI24" s="166">
        <v>8296129.5800000001</v>
      </c>
      <c r="CJ24" s="412"/>
      <c r="CK24" s="166">
        <v>6519677.5499999998</v>
      </c>
      <c r="CL24" s="412"/>
      <c r="CM24" s="166">
        <v>6452650.3899999997</v>
      </c>
      <c r="CN24" s="412"/>
      <c r="CO24" s="166">
        <v>5794218.0800000001</v>
      </c>
      <c r="CP24" s="412"/>
      <c r="CQ24" s="166">
        <v>4967276.67</v>
      </c>
      <c r="CR24" s="412"/>
      <c r="CS24" s="166">
        <v>214116.93</v>
      </c>
      <c r="CT24" s="177"/>
      <c r="CU24" s="167">
        <v>166632.37</v>
      </c>
      <c r="CV24" s="177"/>
      <c r="CW24" s="167">
        <v>126213</v>
      </c>
      <c r="CX24" s="177"/>
      <c r="CY24" s="166">
        <v>69835.92</v>
      </c>
      <c r="CZ24" s="177"/>
      <c r="DA24" s="166">
        <v>41201.589999999997</v>
      </c>
      <c r="DB24" s="177"/>
      <c r="DC24" s="166">
        <v>0</v>
      </c>
      <c r="DD24" s="177"/>
      <c r="DE24" s="166">
        <v>0</v>
      </c>
      <c r="DF24" s="177"/>
      <c r="DG24" s="166">
        <v>0</v>
      </c>
      <c r="DH24" s="177"/>
      <c r="DI24" s="166">
        <v>0</v>
      </c>
      <c r="DJ24" s="177"/>
      <c r="DK24" s="166">
        <v>0</v>
      </c>
      <c r="DL24" s="177"/>
      <c r="DM24" s="166">
        <v>0</v>
      </c>
      <c r="DN24" s="177"/>
      <c r="DO24" s="166">
        <v>0</v>
      </c>
      <c r="DP24" s="177"/>
      <c r="DQ24" s="166">
        <v>0</v>
      </c>
      <c r="DR24" s="177"/>
      <c r="DS24" s="166">
        <v>0</v>
      </c>
      <c r="DT24" s="177"/>
      <c r="DU24" s="166">
        <v>0</v>
      </c>
      <c r="DV24" s="177"/>
      <c r="DW24" s="166">
        <v>0</v>
      </c>
      <c r="DX24" s="177"/>
      <c r="DY24" s="166">
        <v>0</v>
      </c>
      <c r="DZ24" s="177"/>
      <c r="EA24" s="166">
        <v>0</v>
      </c>
      <c r="EB24" s="177"/>
      <c r="EC24" s="167">
        <v>0</v>
      </c>
      <c r="ED24" s="177"/>
      <c r="EE24" s="167">
        <v>0</v>
      </c>
      <c r="EF24" s="177"/>
      <c r="EG24" s="167">
        <v>0</v>
      </c>
      <c r="EH24" s="177"/>
      <c r="EI24" s="167">
        <v>0</v>
      </c>
      <c r="EJ24" s="177"/>
      <c r="EK24" s="167">
        <v>1000</v>
      </c>
      <c r="EL24" s="177"/>
      <c r="EM24" s="167">
        <v>0</v>
      </c>
      <c r="EN24" s="177"/>
      <c r="EO24" s="167">
        <v>0</v>
      </c>
      <c r="EP24" s="177"/>
      <c r="EQ24" s="166">
        <v>0</v>
      </c>
      <c r="ER24" s="177"/>
      <c r="ES24" s="166">
        <v>0</v>
      </c>
      <c r="ET24" s="177"/>
      <c r="EU24" s="166">
        <v>0</v>
      </c>
      <c r="EV24" s="177"/>
      <c r="EW24" s="166">
        <v>0</v>
      </c>
      <c r="EX24" s="177"/>
      <c r="EY24" s="166">
        <v>0</v>
      </c>
      <c r="EZ24" s="177"/>
      <c r="FA24" s="166">
        <v>0</v>
      </c>
      <c r="FB24" s="177"/>
      <c r="FC24" s="166">
        <v>0</v>
      </c>
      <c r="FD24" s="177"/>
      <c r="FE24" s="166">
        <v>0</v>
      </c>
      <c r="FF24" s="177"/>
      <c r="FG24" s="166">
        <v>0</v>
      </c>
      <c r="FH24" s="177"/>
      <c r="FI24" s="166">
        <v>0</v>
      </c>
      <c r="FJ24" s="177"/>
      <c r="FK24" s="166">
        <v>0</v>
      </c>
      <c r="FL24" s="177"/>
      <c r="FM24" s="166">
        <v>600</v>
      </c>
      <c r="FN24" s="177"/>
      <c r="FO24" s="166">
        <v>600</v>
      </c>
      <c r="FP24" s="177"/>
      <c r="FQ24" s="166">
        <v>1200</v>
      </c>
      <c r="FR24" s="177"/>
      <c r="FS24" s="166">
        <v>0</v>
      </c>
      <c r="FT24" s="177"/>
      <c r="FU24" s="166">
        <v>600</v>
      </c>
      <c r="FV24" s="177"/>
      <c r="FW24" s="166">
        <v>0</v>
      </c>
      <c r="FX24" s="177"/>
      <c r="FY24" s="166">
        <v>8871.2900000000009</v>
      </c>
      <c r="FZ24" s="177"/>
      <c r="GA24" s="166">
        <v>0</v>
      </c>
      <c r="GB24" s="177"/>
      <c r="GC24" s="166">
        <v>1150</v>
      </c>
      <c r="GD24" s="177"/>
      <c r="GE24" s="166">
        <v>575</v>
      </c>
      <c r="GF24" s="177"/>
      <c r="GG24" s="166">
        <v>575</v>
      </c>
      <c r="GH24" s="166"/>
      <c r="GI24" s="166">
        <v>0</v>
      </c>
      <c r="GJ24" s="177"/>
      <c r="GK24" s="166">
        <v>0</v>
      </c>
      <c r="GL24" s="166"/>
      <c r="GM24" s="166">
        <v>0</v>
      </c>
      <c r="GN24" s="166"/>
      <c r="GO24" s="166">
        <v>0</v>
      </c>
      <c r="GP24" s="166"/>
      <c r="GQ24" s="166">
        <v>0</v>
      </c>
    </row>
    <row r="25" spans="1:199" ht="14.25" customHeight="1">
      <c r="A25" s="446"/>
      <c r="B25" s="760" t="s">
        <v>659</v>
      </c>
      <c r="C25" s="984">
        <v>249375.3</v>
      </c>
      <c r="D25" s="412"/>
      <c r="E25" s="984">
        <v>151334.87</v>
      </c>
      <c r="F25" s="412"/>
      <c r="G25" s="984">
        <v>-19156.04</v>
      </c>
      <c r="H25" s="412"/>
      <c r="I25" s="984">
        <v>312129.48</v>
      </c>
      <c r="J25" s="412"/>
      <c r="K25" s="984">
        <v>62902.61</v>
      </c>
      <c r="L25" s="412"/>
      <c r="M25" s="984">
        <v>-119244.01</v>
      </c>
      <c r="N25" s="412"/>
      <c r="O25" s="984">
        <v>119751.7</v>
      </c>
      <c r="P25" s="412"/>
      <c r="Q25" s="984">
        <v>-11073.86</v>
      </c>
      <c r="R25" s="412"/>
      <c r="S25" s="984">
        <v>4710.75</v>
      </c>
      <c r="T25" s="412"/>
      <c r="U25" s="984">
        <v>89073.63</v>
      </c>
      <c r="V25" s="412"/>
      <c r="W25" s="984">
        <v>124032.39</v>
      </c>
      <c r="X25" s="412"/>
      <c r="Y25" s="984">
        <v>62942.6</v>
      </c>
      <c r="Z25" s="412"/>
      <c r="AA25" s="984">
        <v>-144494</v>
      </c>
      <c r="AB25" s="412"/>
      <c r="AC25" s="984">
        <v>178390.35</v>
      </c>
      <c r="AD25" s="412"/>
      <c r="AE25" s="759">
        <v>115787.05</v>
      </c>
      <c r="AF25" s="412"/>
      <c r="AG25" s="759">
        <v>80285.56</v>
      </c>
      <c r="AH25" s="412"/>
      <c r="AI25" s="759">
        <v>-47004.61</v>
      </c>
      <c r="AJ25" s="412"/>
      <c r="AK25" s="759">
        <v>4979197.9000000004</v>
      </c>
      <c r="AL25" s="412"/>
      <c r="AM25" s="759">
        <v>4938454.33</v>
      </c>
      <c r="AN25" s="412"/>
      <c r="AO25" s="759">
        <v>4887291.88</v>
      </c>
      <c r="AP25" s="412"/>
      <c r="AQ25" s="759">
        <v>4833413.3600000003</v>
      </c>
      <c r="AR25" s="412"/>
      <c r="AS25" s="759">
        <v>4643577.67</v>
      </c>
      <c r="AT25" s="412"/>
      <c r="AU25" s="838">
        <v>4629108.5199999996</v>
      </c>
      <c r="AV25" s="412"/>
      <c r="AW25" s="759">
        <v>4429035.09</v>
      </c>
      <c r="AX25" s="412"/>
      <c r="AY25" s="759">
        <v>4524588.04</v>
      </c>
      <c r="AZ25" s="412"/>
      <c r="BA25" s="759">
        <v>4502110.6900000004</v>
      </c>
      <c r="BB25" s="412"/>
      <c r="BC25" s="759">
        <v>4420019.2699999996</v>
      </c>
      <c r="BD25" s="412"/>
      <c r="BE25" s="759">
        <v>3960012.76</v>
      </c>
      <c r="BF25" s="412"/>
      <c r="BG25" s="759">
        <v>3297823.7</v>
      </c>
      <c r="BH25" s="412"/>
      <c r="BI25" s="759">
        <v>2663095.6</v>
      </c>
      <c r="BJ25" s="412"/>
      <c r="BK25" s="759">
        <v>2433718.08</v>
      </c>
      <c r="BL25" s="412"/>
      <c r="BM25" s="759">
        <v>2354229.7799999998</v>
      </c>
      <c r="BN25" s="412"/>
      <c r="BO25" s="759">
        <v>2229103.7000000002</v>
      </c>
      <c r="BP25" s="412"/>
      <c r="BQ25" s="759">
        <v>2061653.61</v>
      </c>
      <c r="BR25" s="412"/>
      <c r="BS25" s="838">
        <v>0</v>
      </c>
      <c r="BT25" s="412"/>
      <c r="BU25" s="759">
        <v>0</v>
      </c>
      <c r="BV25" s="412"/>
      <c r="BW25" s="448"/>
      <c r="BX25" s="412"/>
      <c r="BY25" s="448"/>
      <c r="BZ25" s="412"/>
      <c r="CA25" s="448"/>
      <c r="CB25" s="412"/>
      <c r="CC25" s="448"/>
      <c r="CD25" s="412"/>
      <c r="CE25" s="448"/>
      <c r="CF25" s="412"/>
      <c r="CG25" s="448"/>
      <c r="CH25" s="412"/>
      <c r="CI25" s="448"/>
      <c r="CJ25" s="412"/>
      <c r="CK25" s="448"/>
      <c r="CL25" s="412"/>
      <c r="CM25" s="448"/>
      <c r="CN25" s="412"/>
      <c r="CO25" s="448"/>
      <c r="CP25" s="412"/>
      <c r="CQ25" s="448"/>
      <c r="CR25" s="412"/>
      <c r="CS25" s="448"/>
      <c r="CT25" s="412"/>
      <c r="CU25" s="167"/>
      <c r="CV25" s="412"/>
      <c r="CW25" s="167"/>
      <c r="CX25" s="412"/>
      <c r="CY25" s="448"/>
      <c r="CZ25" s="412"/>
      <c r="DA25" s="448"/>
      <c r="DB25" s="412"/>
      <c r="DC25" s="448"/>
      <c r="DD25" s="412"/>
      <c r="DE25" s="448"/>
      <c r="DF25" s="412"/>
      <c r="DG25" s="448"/>
      <c r="DH25" s="412"/>
      <c r="DI25" s="448"/>
      <c r="DJ25" s="412"/>
      <c r="DK25" s="448"/>
      <c r="DL25" s="412"/>
      <c r="DM25" s="448"/>
      <c r="DN25" s="412"/>
      <c r="DO25" s="448"/>
      <c r="DP25" s="412"/>
      <c r="DQ25" s="448"/>
      <c r="DR25" s="412"/>
      <c r="DS25" s="448"/>
      <c r="DT25" s="412"/>
      <c r="DU25" s="448"/>
      <c r="DV25" s="412"/>
      <c r="DW25" s="448"/>
      <c r="DX25" s="412"/>
      <c r="DY25" s="448"/>
      <c r="DZ25" s="412"/>
      <c r="EA25" s="448"/>
      <c r="EB25" s="412"/>
      <c r="EC25" s="167"/>
      <c r="ED25" s="412"/>
      <c r="EE25" s="167"/>
      <c r="EF25" s="412"/>
      <c r="EG25" s="167"/>
      <c r="EH25" s="412"/>
      <c r="EI25" s="167"/>
      <c r="EJ25" s="412"/>
      <c r="EK25" s="167"/>
      <c r="EL25" s="412"/>
      <c r="EM25" s="167"/>
      <c r="EN25" s="412"/>
      <c r="EO25" s="167"/>
      <c r="EP25" s="412"/>
      <c r="EQ25" s="448"/>
      <c r="ER25" s="412"/>
      <c r="ES25" s="448"/>
      <c r="ET25" s="412"/>
      <c r="EU25" s="448"/>
      <c r="EV25" s="412"/>
      <c r="EW25" s="448"/>
      <c r="EX25" s="412"/>
      <c r="EY25" s="448"/>
      <c r="EZ25" s="412"/>
      <c r="FA25" s="448"/>
      <c r="FB25" s="412"/>
      <c r="FC25" s="448"/>
      <c r="FD25" s="412"/>
      <c r="FE25" s="448"/>
      <c r="FF25" s="412"/>
      <c r="FG25" s="448"/>
      <c r="FH25" s="412"/>
      <c r="FI25" s="448"/>
      <c r="FJ25" s="412"/>
      <c r="FK25" s="448"/>
      <c r="FL25" s="412"/>
      <c r="FM25" s="448"/>
      <c r="FN25" s="412"/>
      <c r="FO25" s="448"/>
      <c r="FP25" s="412"/>
      <c r="FQ25" s="448"/>
      <c r="FR25" s="412"/>
      <c r="FS25" s="448"/>
      <c r="FT25" s="412"/>
      <c r="FU25" s="448"/>
      <c r="FV25" s="412"/>
      <c r="FW25" s="448"/>
      <c r="FX25" s="412"/>
      <c r="FY25" s="448"/>
      <c r="FZ25" s="412"/>
      <c r="GA25" s="448"/>
      <c r="GB25" s="412"/>
      <c r="GC25" s="448"/>
      <c r="GD25" s="412"/>
      <c r="GE25" s="448"/>
      <c r="GF25" s="412"/>
      <c r="GG25" s="448"/>
      <c r="GH25" s="448"/>
      <c r="GI25" s="448"/>
      <c r="GJ25" s="412"/>
      <c r="GK25" s="448"/>
      <c r="GL25" s="448"/>
      <c r="GM25" s="448"/>
      <c r="GN25" s="448"/>
      <c r="GO25" s="448"/>
      <c r="GP25" s="448"/>
      <c r="GQ25" s="448"/>
    </row>
    <row r="26" spans="1:199" ht="14.25" customHeight="1">
      <c r="A26" s="446"/>
      <c r="B26" s="760" t="s">
        <v>694</v>
      </c>
      <c r="C26" s="838">
        <v>315385.01</v>
      </c>
      <c r="D26" s="412"/>
      <c r="E26" s="838">
        <v>315385.01</v>
      </c>
      <c r="F26" s="412"/>
      <c r="G26" s="838">
        <v>323933.83</v>
      </c>
      <c r="H26" s="412"/>
      <c r="I26" s="838">
        <v>330535.73</v>
      </c>
      <c r="J26" s="412"/>
      <c r="K26" s="838">
        <v>335757.14</v>
      </c>
      <c r="L26" s="412"/>
      <c r="M26" s="838">
        <v>341029.74</v>
      </c>
      <c r="N26" s="412"/>
      <c r="O26" s="838">
        <v>346895.21</v>
      </c>
      <c r="P26" s="412"/>
      <c r="Q26" s="838">
        <v>353191.58</v>
      </c>
      <c r="R26" s="412"/>
      <c r="S26" s="838">
        <v>359692.71</v>
      </c>
      <c r="T26" s="412"/>
      <c r="U26" s="838">
        <v>364965.28</v>
      </c>
      <c r="V26" s="412"/>
      <c r="W26" s="838">
        <v>370596.18</v>
      </c>
      <c r="X26" s="412"/>
      <c r="Y26" s="838">
        <v>377558.62</v>
      </c>
      <c r="Z26" s="412"/>
      <c r="AA26" s="838">
        <v>384930.61</v>
      </c>
      <c r="AB26" s="412"/>
      <c r="AC26" s="838">
        <v>388463.02</v>
      </c>
      <c r="AD26" s="412"/>
      <c r="AE26" s="759">
        <v>398548.31</v>
      </c>
      <c r="AF26" s="412"/>
      <c r="AG26" s="759">
        <v>409708.69</v>
      </c>
      <c r="AH26" s="412"/>
      <c r="AI26" s="759">
        <v>418912.18</v>
      </c>
      <c r="AJ26" s="412"/>
      <c r="AK26" s="759">
        <v>429344.07</v>
      </c>
      <c r="AL26" s="412"/>
      <c r="AM26" s="759">
        <v>442486.21</v>
      </c>
      <c r="AN26" s="412"/>
      <c r="AO26" s="759">
        <v>452252.2</v>
      </c>
      <c r="AP26" s="412"/>
      <c r="AQ26" s="759">
        <v>463143.07</v>
      </c>
      <c r="AR26" s="412"/>
      <c r="AS26" s="759">
        <v>470045.73</v>
      </c>
      <c r="AT26" s="412"/>
      <c r="AU26" s="838">
        <v>477617.21</v>
      </c>
      <c r="AV26" s="412"/>
      <c r="AW26" s="759">
        <v>483859.9</v>
      </c>
      <c r="AX26" s="412"/>
      <c r="AY26" s="759">
        <v>486367.21</v>
      </c>
      <c r="AZ26" s="412"/>
      <c r="BA26" s="759">
        <v>490000.63</v>
      </c>
      <c r="BB26" s="412"/>
      <c r="BC26" s="759">
        <v>0</v>
      </c>
      <c r="BD26" s="412"/>
      <c r="BE26" s="759">
        <v>0</v>
      </c>
      <c r="BF26" s="412"/>
      <c r="BG26" s="759">
        <v>0</v>
      </c>
      <c r="BH26" s="412"/>
      <c r="BI26" s="759">
        <v>0</v>
      </c>
      <c r="BJ26" s="412"/>
      <c r="BK26" s="759">
        <v>0</v>
      </c>
      <c r="BL26" s="412"/>
      <c r="BM26" s="759">
        <v>0</v>
      </c>
      <c r="BN26" s="412"/>
      <c r="BO26" s="759">
        <v>0</v>
      </c>
      <c r="BP26" s="412"/>
      <c r="BQ26" s="759">
        <v>0</v>
      </c>
      <c r="BR26" s="412"/>
      <c r="BS26" s="838">
        <v>0</v>
      </c>
      <c r="BT26" s="412"/>
      <c r="BU26" s="759">
        <v>0</v>
      </c>
      <c r="BV26" s="412"/>
      <c r="BW26" s="448"/>
      <c r="BX26" s="412"/>
      <c r="BY26" s="448"/>
      <c r="BZ26" s="412"/>
      <c r="CA26" s="448"/>
      <c r="CB26" s="412"/>
      <c r="CC26" s="448"/>
      <c r="CD26" s="412"/>
      <c r="CE26" s="448"/>
      <c r="CF26" s="412"/>
      <c r="CG26" s="448"/>
      <c r="CH26" s="412"/>
      <c r="CI26" s="448"/>
      <c r="CJ26" s="412"/>
      <c r="CK26" s="448"/>
      <c r="CL26" s="412"/>
      <c r="CM26" s="448"/>
      <c r="CN26" s="412"/>
      <c r="CO26" s="448"/>
      <c r="CP26" s="412"/>
      <c r="CQ26" s="448"/>
      <c r="CR26" s="412"/>
      <c r="CS26" s="448"/>
      <c r="CT26" s="412"/>
      <c r="CU26" s="167"/>
      <c r="CV26" s="412"/>
      <c r="CW26" s="167"/>
      <c r="CX26" s="412"/>
      <c r="CY26" s="448"/>
      <c r="CZ26" s="412"/>
      <c r="DA26" s="448"/>
      <c r="DB26" s="412"/>
      <c r="DC26" s="448"/>
      <c r="DD26" s="412"/>
      <c r="DE26" s="448"/>
      <c r="DF26" s="412"/>
      <c r="DG26" s="448"/>
      <c r="DH26" s="412"/>
      <c r="DI26" s="448"/>
      <c r="DJ26" s="412"/>
      <c r="DK26" s="448"/>
      <c r="DL26" s="412"/>
      <c r="DM26" s="448"/>
      <c r="DN26" s="412"/>
      <c r="DO26" s="448"/>
      <c r="DP26" s="412"/>
      <c r="DQ26" s="448"/>
      <c r="DR26" s="412"/>
      <c r="DS26" s="448"/>
      <c r="DT26" s="412"/>
      <c r="DU26" s="448"/>
      <c r="DV26" s="412"/>
      <c r="DW26" s="448"/>
      <c r="DX26" s="412"/>
      <c r="DY26" s="448"/>
      <c r="DZ26" s="412"/>
      <c r="EA26" s="448"/>
      <c r="EB26" s="412"/>
      <c r="EC26" s="167"/>
      <c r="ED26" s="412"/>
      <c r="EE26" s="167"/>
      <c r="EF26" s="412"/>
      <c r="EG26" s="167"/>
      <c r="EH26" s="412"/>
      <c r="EI26" s="167"/>
      <c r="EJ26" s="412"/>
      <c r="EK26" s="167"/>
      <c r="EL26" s="412"/>
      <c r="EM26" s="167"/>
      <c r="EN26" s="412"/>
      <c r="EO26" s="167"/>
      <c r="EP26" s="412"/>
      <c r="EQ26" s="448"/>
      <c r="ER26" s="412"/>
      <c r="ES26" s="448"/>
      <c r="ET26" s="412"/>
      <c r="EU26" s="448"/>
      <c r="EV26" s="412"/>
      <c r="EW26" s="448"/>
      <c r="EX26" s="412"/>
      <c r="EY26" s="448"/>
      <c r="EZ26" s="412"/>
      <c r="FA26" s="448"/>
      <c r="FB26" s="412"/>
      <c r="FC26" s="448"/>
      <c r="FD26" s="412"/>
      <c r="FE26" s="448"/>
      <c r="FF26" s="412"/>
      <c r="FG26" s="448"/>
      <c r="FH26" s="412"/>
      <c r="FI26" s="448"/>
      <c r="FJ26" s="412"/>
      <c r="FK26" s="448"/>
      <c r="FL26" s="412"/>
      <c r="FM26" s="448"/>
      <c r="FN26" s="412"/>
      <c r="FO26" s="448"/>
      <c r="FP26" s="412"/>
      <c r="FQ26" s="448"/>
      <c r="FR26" s="412"/>
      <c r="FS26" s="448"/>
      <c r="FT26" s="412"/>
      <c r="FU26" s="448"/>
      <c r="FV26" s="412"/>
      <c r="FW26" s="448"/>
      <c r="FX26" s="412"/>
      <c r="FY26" s="448"/>
      <c r="FZ26" s="412"/>
      <c r="GA26" s="448"/>
      <c r="GB26" s="412"/>
      <c r="GC26" s="448"/>
      <c r="GD26" s="412"/>
      <c r="GE26" s="448"/>
      <c r="GF26" s="412"/>
      <c r="GG26" s="448"/>
      <c r="GH26" s="448"/>
      <c r="GI26" s="448"/>
      <c r="GJ26" s="412"/>
      <c r="GK26" s="448"/>
      <c r="GL26" s="448"/>
      <c r="GM26" s="448"/>
      <c r="GN26" s="448"/>
      <c r="GO26" s="448"/>
      <c r="GP26" s="448"/>
      <c r="GQ26" s="448"/>
    </row>
    <row r="27" spans="1:199" ht="14.25" hidden="1" customHeight="1" outlineLevel="1">
      <c r="A27" s="446"/>
      <c r="B27" s="760" t="s">
        <v>323</v>
      </c>
      <c r="C27" s="981">
        <v>0</v>
      </c>
      <c r="D27" s="412"/>
      <c r="E27" s="981">
        <v>0</v>
      </c>
      <c r="F27" s="412"/>
      <c r="G27" s="981">
        <v>0</v>
      </c>
      <c r="H27" s="412"/>
      <c r="I27" s="981">
        <v>0</v>
      </c>
      <c r="J27" s="412"/>
      <c r="K27" s="981">
        <v>0</v>
      </c>
      <c r="L27" s="412"/>
      <c r="M27" s="981">
        <v>0</v>
      </c>
      <c r="N27" s="412"/>
      <c r="O27" s="981">
        <v>0</v>
      </c>
      <c r="P27" s="412"/>
      <c r="Q27" s="981">
        <v>0</v>
      </c>
      <c r="R27" s="412"/>
      <c r="S27" s="981">
        <v>0</v>
      </c>
      <c r="T27" s="412"/>
      <c r="U27" s="981">
        <v>0</v>
      </c>
      <c r="V27" s="412"/>
      <c r="W27" s="838">
        <v>0</v>
      </c>
      <c r="X27" s="412"/>
      <c r="Y27" s="981">
        <v>0</v>
      </c>
      <c r="Z27" s="412"/>
      <c r="AA27" s="981">
        <v>0</v>
      </c>
      <c r="AB27" s="412"/>
      <c r="AC27" s="981">
        <v>0</v>
      </c>
      <c r="AD27" s="412"/>
      <c r="AE27" s="759">
        <v>0</v>
      </c>
      <c r="AF27" s="412"/>
      <c r="AG27" s="759">
        <v>0</v>
      </c>
      <c r="AH27" s="412"/>
      <c r="AI27" s="759">
        <v>0</v>
      </c>
      <c r="AJ27" s="412"/>
      <c r="AK27" s="759">
        <v>0</v>
      </c>
      <c r="AL27" s="412"/>
      <c r="AM27" s="759">
        <v>0</v>
      </c>
      <c r="AN27" s="412"/>
      <c r="AO27" s="759">
        <v>0</v>
      </c>
      <c r="AP27" s="412"/>
      <c r="AQ27" s="759">
        <v>0</v>
      </c>
      <c r="AR27" s="412"/>
      <c r="AS27" s="759">
        <v>0</v>
      </c>
      <c r="AT27" s="412"/>
      <c r="AU27" s="838">
        <v>0</v>
      </c>
      <c r="AV27" s="412"/>
      <c r="AW27" s="759">
        <v>0</v>
      </c>
      <c r="AX27" s="412"/>
      <c r="AY27" s="759">
        <v>0</v>
      </c>
      <c r="AZ27" s="412"/>
      <c r="BA27" s="759">
        <v>0</v>
      </c>
      <c r="BB27" s="412"/>
      <c r="BC27" s="759">
        <v>0</v>
      </c>
      <c r="BD27" s="412"/>
      <c r="BE27" s="759">
        <v>0</v>
      </c>
      <c r="BF27" s="412"/>
      <c r="BG27" s="759">
        <v>0</v>
      </c>
      <c r="BH27" s="412"/>
      <c r="BI27" s="759">
        <v>0</v>
      </c>
      <c r="BJ27" s="412"/>
      <c r="BK27" s="759">
        <v>0</v>
      </c>
      <c r="BL27" s="412"/>
      <c r="BM27" s="759">
        <v>0</v>
      </c>
      <c r="BN27" s="412"/>
      <c r="BO27" s="759">
        <v>440072.86</v>
      </c>
      <c r="BP27" s="412"/>
      <c r="BQ27" s="759">
        <v>893078.86</v>
      </c>
      <c r="BR27" s="412"/>
      <c r="BS27" s="838"/>
      <c r="BT27" s="412"/>
      <c r="BU27" s="759"/>
      <c r="BV27" s="412"/>
      <c r="BW27" s="448"/>
      <c r="BX27" s="412"/>
      <c r="BY27" s="448"/>
      <c r="BZ27" s="412"/>
      <c r="CA27" s="448"/>
      <c r="CB27" s="412"/>
      <c r="CC27" s="448"/>
      <c r="CD27" s="412"/>
      <c r="CE27" s="448"/>
      <c r="CF27" s="412"/>
      <c r="CG27" s="448"/>
      <c r="CH27" s="412"/>
      <c r="CI27" s="448"/>
      <c r="CJ27" s="412"/>
      <c r="CK27" s="448"/>
      <c r="CL27" s="412"/>
      <c r="CM27" s="448"/>
      <c r="CN27" s="412"/>
      <c r="CO27" s="448"/>
      <c r="CP27" s="412"/>
      <c r="CQ27" s="448"/>
      <c r="CR27" s="412"/>
      <c r="CS27" s="448"/>
      <c r="CT27" s="412"/>
      <c r="CU27" s="167"/>
      <c r="CV27" s="412"/>
      <c r="CW27" s="167"/>
      <c r="CX27" s="412"/>
      <c r="CY27" s="448"/>
      <c r="CZ27" s="412"/>
      <c r="DA27" s="448"/>
      <c r="DB27" s="412"/>
      <c r="DC27" s="448"/>
      <c r="DD27" s="412"/>
      <c r="DE27" s="448"/>
      <c r="DF27" s="412"/>
      <c r="DG27" s="448"/>
      <c r="DH27" s="412"/>
      <c r="DI27" s="448"/>
      <c r="DJ27" s="412"/>
      <c r="DK27" s="448"/>
      <c r="DL27" s="412"/>
      <c r="DM27" s="448"/>
      <c r="DN27" s="412"/>
      <c r="DO27" s="448"/>
      <c r="DP27" s="412"/>
      <c r="DQ27" s="448"/>
      <c r="DR27" s="412"/>
      <c r="DS27" s="448"/>
      <c r="DT27" s="412"/>
      <c r="DU27" s="448"/>
      <c r="DV27" s="412"/>
      <c r="DW27" s="448"/>
      <c r="DX27" s="412"/>
      <c r="DY27" s="448"/>
      <c r="DZ27" s="412"/>
      <c r="EA27" s="448"/>
      <c r="EB27" s="412"/>
      <c r="EC27" s="167"/>
      <c r="ED27" s="412"/>
      <c r="EE27" s="167"/>
      <c r="EF27" s="412"/>
      <c r="EG27" s="167"/>
      <c r="EH27" s="412"/>
      <c r="EI27" s="167"/>
      <c r="EJ27" s="412"/>
      <c r="EK27" s="167"/>
      <c r="EL27" s="412"/>
      <c r="EM27" s="167"/>
      <c r="EN27" s="412"/>
      <c r="EO27" s="167"/>
      <c r="EP27" s="412"/>
      <c r="EQ27" s="448"/>
      <c r="ER27" s="412"/>
      <c r="ES27" s="448"/>
      <c r="ET27" s="412"/>
      <c r="EU27" s="448"/>
      <c r="EV27" s="412"/>
      <c r="EW27" s="448"/>
      <c r="EX27" s="412"/>
      <c r="EY27" s="448"/>
      <c r="EZ27" s="412"/>
      <c r="FA27" s="448"/>
      <c r="FB27" s="412"/>
      <c r="FC27" s="448"/>
      <c r="FD27" s="412"/>
      <c r="FE27" s="448"/>
      <c r="FF27" s="412"/>
      <c r="FG27" s="448"/>
      <c r="FH27" s="412"/>
      <c r="FI27" s="448"/>
      <c r="FJ27" s="412"/>
      <c r="FK27" s="448"/>
      <c r="FL27" s="412"/>
      <c r="FM27" s="448"/>
      <c r="FN27" s="412"/>
      <c r="FO27" s="448"/>
      <c r="FP27" s="412"/>
      <c r="FQ27" s="448"/>
      <c r="FR27" s="412"/>
      <c r="FS27" s="448"/>
      <c r="FT27" s="412"/>
      <c r="FU27" s="448"/>
      <c r="FV27" s="412"/>
      <c r="FW27" s="448"/>
      <c r="FX27" s="412"/>
      <c r="FY27" s="448"/>
      <c r="FZ27" s="412"/>
      <c r="GA27" s="448"/>
      <c r="GB27" s="412"/>
      <c r="GC27" s="448"/>
      <c r="GD27" s="412"/>
      <c r="GE27" s="448"/>
      <c r="GF27" s="412"/>
      <c r="GG27" s="448"/>
      <c r="GH27" s="448"/>
      <c r="GI27" s="448"/>
      <c r="GJ27" s="412"/>
      <c r="GK27" s="448"/>
      <c r="GL27" s="448"/>
      <c r="GM27" s="448"/>
      <c r="GN27" s="448"/>
      <c r="GO27" s="448"/>
      <c r="GP27" s="448"/>
      <c r="GQ27" s="448"/>
    </row>
    <row r="28" spans="1:199" ht="14.25" customHeight="1" collapsed="1" thickBot="1">
      <c r="A28" s="158"/>
      <c r="B28" s="177" t="s">
        <v>311</v>
      </c>
      <c r="C28" s="418">
        <v>31585.65</v>
      </c>
      <c r="D28" s="412"/>
      <c r="E28" s="418">
        <v>42206.65</v>
      </c>
      <c r="F28" s="412"/>
      <c r="G28" s="418">
        <v>42543.65</v>
      </c>
      <c r="H28" s="412"/>
      <c r="I28" s="418">
        <v>19363.740000000002</v>
      </c>
      <c r="J28" s="412"/>
      <c r="K28" s="418">
        <v>14715.17</v>
      </c>
      <c r="L28" s="412"/>
      <c r="M28" s="418">
        <v>14450.15</v>
      </c>
      <c r="N28" s="412"/>
      <c r="O28" s="418">
        <v>1097.8</v>
      </c>
      <c r="P28" s="412"/>
      <c r="Q28" s="418">
        <v>4847.3999999999996</v>
      </c>
      <c r="R28" s="412"/>
      <c r="S28" s="418">
        <v>112.39</v>
      </c>
      <c r="T28" s="412"/>
      <c r="U28" s="418">
        <v>9859.77</v>
      </c>
      <c r="V28" s="412"/>
      <c r="W28" s="418">
        <v>3928.97</v>
      </c>
      <c r="X28" s="412"/>
      <c r="Y28" s="418">
        <v>2699.84</v>
      </c>
      <c r="Z28" s="412"/>
      <c r="AA28" s="418">
        <v>4388.74</v>
      </c>
      <c r="AB28" s="412"/>
      <c r="AC28" s="418">
        <v>8623.36</v>
      </c>
      <c r="AD28" s="412"/>
      <c r="AE28" s="167">
        <v>1746.88</v>
      </c>
      <c r="AF28" s="412"/>
      <c r="AG28" s="167">
        <v>6666.98</v>
      </c>
      <c r="AH28" s="412"/>
      <c r="AI28" s="167">
        <v>787.63</v>
      </c>
      <c r="AJ28" s="412"/>
      <c r="AK28" s="167">
        <v>3786.2</v>
      </c>
      <c r="AL28" s="412"/>
      <c r="AM28" s="167">
        <v>0</v>
      </c>
      <c r="AN28" s="412"/>
      <c r="AO28" s="167">
        <v>3571.99</v>
      </c>
      <c r="AP28" s="412"/>
      <c r="AQ28" s="167">
        <v>855.66</v>
      </c>
      <c r="AR28" s="412"/>
      <c r="AS28" s="167">
        <v>9957.8700000000008</v>
      </c>
      <c r="AT28" s="412"/>
      <c r="AU28" s="418">
        <v>1004.77</v>
      </c>
      <c r="AV28" s="412"/>
      <c r="AW28" s="167">
        <v>3817.26</v>
      </c>
      <c r="AX28" s="412"/>
      <c r="AY28" s="167">
        <v>2384.88</v>
      </c>
      <c r="AZ28" s="412"/>
      <c r="BA28" s="167">
        <v>3177.49</v>
      </c>
      <c r="BB28" s="412"/>
      <c r="BC28" s="167">
        <v>928.37</v>
      </c>
      <c r="BD28" s="412"/>
      <c r="BE28" s="167">
        <v>4604.67</v>
      </c>
      <c r="BF28" s="412"/>
      <c r="BG28" s="167">
        <v>4907.32</v>
      </c>
      <c r="BH28" s="412"/>
      <c r="BI28" s="167">
        <v>574.52</v>
      </c>
      <c r="BJ28" s="412"/>
      <c r="BK28" s="167">
        <v>3260.5</v>
      </c>
      <c r="BL28" s="412"/>
      <c r="BM28" s="167">
        <v>5822.08</v>
      </c>
      <c r="BN28" s="412"/>
      <c r="BO28" s="167">
        <v>1188.8800000000001</v>
      </c>
      <c r="BP28" s="412"/>
      <c r="BQ28" s="167">
        <v>294.56</v>
      </c>
      <c r="BR28" s="412"/>
      <c r="BS28" s="418">
        <v>0</v>
      </c>
      <c r="BT28" s="412"/>
      <c r="BU28" s="167">
        <v>0</v>
      </c>
      <c r="BV28" s="412"/>
      <c r="BW28" s="167">
        <v>0</v>
      </c>
      <c r="BX28" s="412"/>
      <c r="BY28" s="167">
        <v>684.59</v>
      </c>
      <c r="BZ28" s="412"/>
      <c r="CA28" s="167">
        <v>714.45</v>
      </c>
      <c r="CB28" s="412"/>
      <c r="CC28" s="167">
        <v>1049.8900000000001</v>
      </c>
      <c r="CD28" s="412"/>
      <c r="CE28" s="167">
        <v>2094.86</v>
      </c>
      <c r="CF28" s="412"/>
      <c r="CG28" s="167">
        <v>2094.86</v>
      </c>
      <c r="CH28" s="412"/>
      <c r="CI28" s="167">
        <v>2223.7600000000002</v>
      </c>
      <c r="CJ28" s="412"/>
      <c r="CK28" s="167">
        <v>435.31</v>
      </c>
      <c r="CL28" s="412"/>
      <c r="CM28" s="167">
        <v>1392.73</v>
      </c>
      <c r="CN28" s="412"/>
      <c r="CO28" s="167">
        <v>1150.18</v>
      </c>
      <c r="CP28" s="412"/>
      <c r="CQ28" s="167">
        <v>1285.18</v>
      </c>
      <c r="CR28" s="412"/>
      <c r="CS28" s="167">
        <v>0</v>
      </c>
      <c r="CT28" s="177"/>
      <c r="CU28" s="167">
        <v>0</v>
      </c>
      <c r="CV28" s="177"/>
      <c r="CW28" s="167">
        <v>0</v>
      </c>
      <c r="CX28" s="177"/>
      <c r="CY28" s="167">
        <v>810.7</v>
      </c>
      <c r="CZ28" s="177"/>
      <c r="DA28" s="167">
        <v>810.7</v>
      </c>
      <c r="DB28" s="177"/>
      <c r="DC28" s="167">
        <v>810.7</v>
      </c>
      <c r="DD28" s="177"/>
      <c r="DE28" s="167">
        <v>810.7</v>
      </c>
      <c r="DF28" s="177"/>
      <c r="DG28" s="167">
        <v>810.7</v>
      </c>
      <c r="DH28" s="177"/>
      <c r="DI28" s="167">
        <v>810.7</v>
      </c>
      <c r="DJ28" s="177"/>
      <c r="DK28" s="167">
        <v>810.7</v>
      </c>
      <c r="DL28" s="177"/>
      <c r="DM28" s="167">
        <v>810.7</v>
      </c>
      <c r="DN28" s="177"/>
      <c r="DO28" s="167">
        <v>810.7</v>
      </c>
      <c r="DP28" s="177"/>
      <c r="DQ28" s="167">
        <v>810.7</v>
      </c>
      <c r="DR28" s="177"/>
      <c r="DS28" s="167">
        <v>810.7</v>
      </c>
      <c r="DT28" s="177"/>
      <c r="DU28" s="167">
        <v>810.7</v>
      </c>
      <c r="DV28" s="177"/>
      <c r="DW28" s="167">
        <v>810.7</v>
      </c>
      <c r="DX28" s="177"/>
      <c r="DY28" s="167">
        <v>810.7</v>
      </c>
      <c r="DZ28" s="177"/>
      <c r="EA28" s="167">
        <v>810.7</v>
      </c>
      <c r="EB28" s="177"/>
      <c r="EC28" s="167">
        <v>810.7</v>
      </c>
      <c r="ED28" s="177"/>
      <c r="EE28" s="167">
        <v>810.7</v>
      </c>
      <c r="EF28" s="177"/>
      <c r="EG28" s="167">
        <v>1529.69</v>
      </c>
      <c r="EH28" s="177"/>
      <c r="EI28" s="167">
        <v>-40470.31</v>
      </c>
      <c r="EJ28" s="177"/>
      <c r="EK28" s="167">
        <v>1529.69</v>
      </c>
      <c r="EL28" s="177"/>
      <c r="EM28" s="167">
        <v>129.69</v>
      </c>
      <c r="EN28" s="177"/>
      <c r="EO28" s="167">
        <v>792.19</v>
      </c>
      <c r="EP28" s="177"/>
      <c r="EQ28" s="166">
        <v>278.89</v>
      </c>
      <c r="ER28" s="177"/>
      <c r="ES28" s="166">
        <v>1553.5</v>
      </c>
      <c r="ET28" s="177"/>
      <c r="EU28" s="166">
        <v>815</v>
      </c>
      <c r="EV28" s="177"/>
      <c r="EW28" s="166">
        <v>-50</v>
      </c>
      <c r="EX28" s="177"/>
      <c r="EY28" s="166">
        <v>445.6</v>
      </c>
      <c r="EZ28" s="177"/>
      <c r="FA28" s="166">
        <v>327.87</v>
      </c>
      <c r="FB28" s="177"/>
      <c r="FC28" s="166">
        <v>1175.27</v>
      </c>
      <c r="FD28" s="177"/>
      <c r="FE28" s="166">
        <v>2000</v>
      </c>
      <c r="FF28" s="177"/>
      <c r="FG28" s="166">
        <v>1000</v>
      </c>
      <c r="FH28" s="177"/>
      <c r="FI28" s="166"/>
      <c r="FJ28" s="177"/>
      <c r="FK28" s="166"/>
      <c r="FL28" s="177"/>
      <c r="FM28" s="166"/>
      <c r="FN28" s="177"/>
      <c r="FO28" s="166"/>
      <c r="FP28" s="177"/>
      <c r="FQ28" s="166"/>
      <c r="FR28" s="177"/>
      <c r="FS28" s="166"/>
      <c r="FT28" s="177"/>
      <c r="FU28" s="166"/>
      <c r="FV28" s="177"/>
      <c r="FW28" s="166"/>
      <c r="FX28" s="177"/>
      <c r="FY28" s="166"/>
      <c r="FZ28" s="177"/>
      <c r="GA28" s="166"/>
      <c r="GB28" s="177"/>
      <c r="GC28" s="166"/>
      <c r="GD28" s="177"/>
      <c r="GE28" s="166"/>
      <c r="GF28" s="177"/>
      <c r="GG28" s="166"/>
      <c r="GH28" s="166"/>
      <c r="GI28" s="166"/>
      <c r="GJ28" s="177"/>
      <c r="GK28" s="166"/>
      <c r="GL28" s="166"/>
      <c r="GM28" s="166"/>
      <c r="GN28" s="166"/>
      <c r="GO28" s="166"/>
      <c r="GP28" s="166"/>
      <c r="GQ28" s="166"/>
    </row>
    <row r="29" spans="1:199" ht="14.25" customHeight="1" thickBot="1">
      <c r="A29" s="158"/>
      <c r="B29" s="157"/>
      <c r="C29" s="997">
        <f>SUM(C18:C28)</f>
        <v>25462542.920000002</v>
      </c>
      <c r="D29" s="837"/>
      <c r="E29" s="997">
        <f>SUM(E18:E28)</f>
        <v>28713520.970000003</v>
      </c>
      <c r="F29" s="837"/>
      <c r="G29" s="997">
        <f>SUM(G18:G28)</f>
        <v>23887602.729999997</v>
      </c>
      <c r="H29" s="837"/>
      <c r="I29" s="997">
        <f>SUM(I18:I28)</f>
        <v>24404812.579999998</v>
      </c>
      <c r="J29" s="837"/>
      <c r="K29" s="997">
        <f>SUM(K18:K28)</f>
        <v>23857911.630000003</v>
      </c>
      <c r="L29" s="837"/>
      <c r="M29" s="997">
        <f>SUM(M18:M28)</f>
        <v>23020292.469999995</v>
      </c>
      <c r="N29" s="837"/>
      <c r="O29" s="997">
        <f>SUM(O18:O28)</f>
        <v>22610598.210000005</v>
      </c>
      <c r="P29" s="837"/>
      <c r="Q29" s="997">
        <f>SUM(Q18:Q28)</f>
        <v>21287268.52</v>
      </c>
      <c r="R29" s="837"/>
      <c r="S29" s="997">
        <f>SUM(S18:S28)</f>
        <v>15342361.640000002</v>
      </c>
      <c r="T29" s="837"/>
      <c r="U29" s="997">
        <f>SUM(U18:U28)</f>
        <v>13021610.729999999</v>
      </c>
      <c r="V29" s="837"/>
      <c r="W29" s="1181">
        <f>SUM(W18:W28)</f>
        <v>18605004.390000001</v>
      </c>
      <c r="X29" s="837"/>
      <c r="Y29" s="997">
        <v>36451408.400000006</v>
      </c>
      <c r="Z29" s="837"/>
      <c r="AA29" s="997">
        <v>39686129.600000001</v>
      </c>
      <c r="AB29" s="837"/>
      <c r="AC29" s="190">
        <f>SUM(AC18:AC28)</f>
        <v>43965363.360000007</v>
      </c>
      <c r="AD29" s="837"/>
      <c r="AE29" s="190">
        <f>SUM(AE18:AE28)</f>
        <v>33650504.43</v>
      </c>
      <c r="AF29" s="837"/>
      <c r="AG29" s="190">
        <f>SUM(AG18:AG28)</f>
        <v>31832842.830000002</v>
      </c>
      <c r="AH29" s="837"/>
      <c r="AI29" s="190">
        <v>32364273.400000002</v>
      </c>
      <c r="AJ29" s="837"/>
      <c r="AK29" s="190">
        <v>36742134.620000079</v>
      </c>
      <c r="AL29" s="837"/>
      <c r="AM29" s="190">
        <v>35197778.219999999</v>
      </c>
      <c r="AN29" s="410"/>
      <c r="AO29" s="190">
        <v>30247987.919999998</v>
      </c>
      <c r="AP29" s="410"/>
      <c r="AQ29" s="190">
        <v>26079773.82</v>
      </c>
      <c r="AR29" s="410"/>
      <c r="AS29" s="190">
        <v>25871897.609999999</v>
      </c>
      <c r="AT29" s="410"/>
      <c r="AU29" s="987">
        <f>SUM(AU18:AU28)</f>
        <v>13374102.350000001</v>
      </c>
      <c r="AV29" s="410"/>
      <c r="AW29" s="190">
        <v>22503751.399999999</v>
      </c>
      <c r="AX29" s="410"/>
      <c r="AY29" s="190">
        <v>23670620.799999997</v>
      </c>
      <c r="AZ29" s="410"/>
      <c r="BA29" s="190">
        <v>26580914.649999999</v>
      </c>
      <c r="BB29" s="410"/>
      <c r="BC29" s="190">
        <v>18939077.02</v>
      </c>
      <c r="BD29" s="410"/>
      <c r="BE29" s="190">
        <v>19505957.530000001</v>
      </c>
      <c r="BF29" s="410"/>
      <c r="BG29" s="190">
        <v>18322892.029999997</v>
      </c>
      <c r="BH29" s="410"/>
      <c r="BI29" s="190">
        <v>18250412.16</v>
      </c>
      <c r="BJ29" s="410"/>
      <c r="BK29" s="190">
        <v>19260835.789999999</v>
      </c>
      <c r="BL29" s="410"/>
      <c r="BM29" s="190">
        <v>17667399.919999998</v>
      </c>
      <c r="BN29" s="410"/>
      <c r="BO29" s="190">
        <v>16195677.450000001</v>
      </c>
      <c r="BP29" s="410"/>
      <c r="BQ29" s="190">
        <f>SUM(BQ18:BQ28)</f>
        <v>16981677.669999998</v>
      </c>
      <c r="BR29" s="410"/>
      <c r="BS29" s="987">
        <f>SUM(BS18:BS28)</f>
        <v>-6157806.75</v>
      </c>
      <c r="BT29" s="410"/>
      <c r="BU29" s="190">
        <f>SUM(BU18:BU28)</f>
        <v>511426.81999999844</v>
      </c>
      <c r="BV29" s="410"/>
      <c r="BW29" s="171">
        <v>1586292.6999999974</v>
      </c>
      <c r="BX29" s="410"/>
      <c r="BY29" s="171">
        <v>2081594.7100000011</v>
      </c>
      <c r="BZ29" s="410"/>
      <c r="CA29" s="171">
        <v>-727498.63000000198</v>
      </c>
      <c r="CB29" s="410"/>
      <c r="CC29" s="171">
        <v>-2281882.0599999991</v>
      </c>
      <c r="CD29" s="410"/>
      <c r="CE29" s="171">
        <v>-2786210.2000000025</v>
      </c>
      <c r="CF29" s="410"/>
      <c r="CG29" s="171">
        <v>-430289.47999999986</v>
      </c>
      <c r="CH29" s="410"/>
      <c r="CI29" s="171">
        <v>159660.90999999945</v>
      </c>
      <c r="CJ29" s="410"/>
      <c r="CK29" s="171">
        <v>-2375186.5899999994</v>
      </c>
      <c r="CL29" s="410"/>
      <c r="CM29" s="171">
        <f>SUM(CM18:CM28)</f>
        <v>29220.489999999776</v>
      </c>
      <c r="CN29" s="410"/>
      <c r="CO29" s="171">
        <f>SUM(CO18:CO28)</f>
        <v>684055.81999999972</v>
      </c>
      <c r="CP29" s="410"/>
      <c r="CQ29" s="171">
        <f>SUM(CQ18:CQ28)</f>
        <v>-1906555.6400000004</v>
      </c>
      <c r="CR29" s="410"/>
      <c r="CS29" s="171">
        <f>SUM(CS18:CS28)</f>
        <v>-3719476.9799999991</v>
      </c>
      <c r="CT29" s="157"/>
      <c r="CU29" s="171">
        <f>SUM(CU18:CU28)</f>
        <v>-1879008.7399999988</v>
      </c>
      <c r="CV29" s="157"/>
      <c r="CW29" s="171">
        <f>SUM(CW18:CW28)</f>
        <v>-1071105.6599999997</v>
      </c>
      <c r="CX29" s="157"/>
      <c r="CY29" s="171">
        <f>SUM(CY18:CY28)</f>
        <v>-1104117.0500000005</v>
      </c>
      <c r="CZ29" s="157"/>
      <c r="DA29" s="171">
        <f>SUM(DA18:DA28)</f>
        <v>-1046676.7800000008</v>
      </c>
      <c r="DB29" s="157"/>
      <c r="DC29" s="171">
        <f>SUM(DC18:DC28)</f>
        <v>-2207639.65</v>
      </c>
      <c r="DD29" s="157"/>
      <c r="DE29" s="171">
        <f>SUM(DE18:DE28)</f>
        <v>100689.91999999995</v>
      </c>
      <c r="DF29" s="157"/>
      <c r="DG29" s="171">
        <f>SUM(DG18:DG28)</f>
        <v>1546484.85</v>
      </c>
      <c r="DH29" s="157"/>
      <c r="DI29" s="171">
        <f>SUM(DI18:DI28)</f>
        <v>1107245.0799999998</v>
      </c>
      <c r="DJ29" s="157"/>
      <c r="DK29" s="171">
        <f>SUM(DK18:DK28)</f>
        <v>1456716.67</v>
      </c>
      <c r="DL29" s="157"/>
      <c r="DM29" s="171">
        <f>SUM(DM18:DM28)</f>
        <v>1203969.2999999996</v>
      </c>
      <c r="DN29" s="157"/>
      <c r="DO29" s="171">
        <v>3110138.72</v>
      </c>
      <c r="DP29" s="157"/>
      <c r="DQ29" s="171">
        <v>747577.41999999993</v>
      </c>
      <c r="DR29" s="157"/>
      <c r="DS29" s="171">
        <v>705056.8899999999</v>
      </c>
      <c r="DT29" s="157"/>
      <c r="DU29" s="171">
        <v>985570.17999999993</v>
      </c>
      <c r="DV29" s="157"/>
      <c r="DW29" s="171">
        <v>1497176.5599999998</v>
      </c>
      <c r="DX29" s="157"/>
      <c r="DY29" s="171">
        <v>69405.139999999941</v>
      </c>
      <c r="DZ29" s="157"/>
      <c r="EA29" s="171">
        <v>1067934.1399999999</v>
      </c>
      <c r="EB29" s="157"/>
      <c r="EC29" s="171">
        <v>860081.52999999991</v>
      </c>
      <c r="ED29" s="157"/>
      <c r="EE29" s="171">
        <v>1220789.1599999999</v>
      </c>
      <c r="EF29" s="157"/>
      <c r="EG29" s="171">
        <v>872041.31999999983</v>
      </c>
      <c r="EH29" s="157"/>
      <c r="EI29" s="171">
        <v>979783.08000000007</v>
      </c>
      <c r="EJ29" s="157"/>
      <c r="EK29" s="171">
        <v>1278648.0899999999</v>
      </c>
      <c r="EL29" s="157"/>
      <c r="EM29" s="171">
        <v>1269476.3799999999</v>
      </c>
      <c r="EN29" s="157"/>
      <c r="EO29" s="171">
        <v>481510.06</v>
      </c>
      <c r="EP29" s="157"/>
      <c r="EQ29" s="171">
        <v>588272.93000000005</v>
      </c>
      <c r="ER29" s="157"/>
      <c r="ES29" s="171">
        <v>81664.97000000003</v>
      </c>
      <c r="ET29" s="157"/>
      <c r="EU29" s="171">
        <v>545248.17999999993</v>
      </c>
      <c r="EV29" s="157"/>
      <c r="EW29" s="171">
        <v>626549.05000000005</v>
      </c>
      <c r="EX29" s="157"/>
      <c r="EY29" s="171">
        <v>809453.55</v>
      </c>
      <c r="EZ29" s="157"/>
      <c r="FA29" s="171">
        <v>-5494359.3699999992</v>
      </c>
      <c r="FB29" s="157"/>
      <c r="FC29" s="171">
        <v>1066389.46</v>
      </c>
      <c r="FD29" s="157"/>
      <c r="FE29" s="171">
        <v>1020280.13</v>
      </c>
      <c r="FF29" s="157"/>
      <c r="FG29" s="171">
        <v>960486.14</v>
      </c>
      <c r="FH29" s="157"/>
      <c r="FI29" s="171">
        <v>581294.93999999994</v>
      </c>
      <c r="FJ29" s="157"/>
      <c r="FK29" s="171">
        <v>695662.37</v>
      </c>
      <c r="FL29" s="157"/>
      <c r="FM29" s="171">
        <v>823008.82000000007</v>
      </c>
      <c r="FN29" s="157"/>
      <c r="FO29" s="171">
        <v>622750.05000000005</v>
      </c>
      <c r="FP29" s="157"/>
      <c r="FQ29" s="171">
        <v>492937.6</v>
      </c>
      <c r="FR29" s="157"/>
      <c r="FS29" s="171">
        <v>311669.69</v>
      </c>
      <c r="FT29" s="157"/>
      <c r="FU29" s="171">
        <v>280486.45</v>
      </c>
      <c r="FV29" s="157"/>
      <c r="FW29" s="171">
        <v>297766.39</v>
      </c>
      <c r="FX29" s="157"/>
      <c r="FY29" s="171">
        <v>307811.67</v>
      </c>
      <c r="FZ29" s="157"/>
      <c r="GA29" s="171">
        <v>183066.28</v>
      </c>
      <c r="GB29" s="157"/>
      <c r="GC29" s="171">
        <v>214600.27</v>
      </c>
      <c r="GD29" s="157"/>
      <c r="GE29" s="171">
        <v>215557</v>
      </c>
      <c r="GF29" s="157"/>
      <c r="GG29" s="171">
        <v>272732.68</v>
      </c>
      <c r="GH29" s="166"/>
      <c r="GI29" s="171">
        <v>304400.55</v>
      </c>
      <c r="GJ29" s="172"/>
      <c r="GK29" s="171">
        <v>168833.78</v>
      </c>
      <c r="GL29" s="172"/>
      <c r="GM29" s="171">
        <v>181637.41</v>
      </c>
      <c r="GN29" s="172"/>
      <c r="GO29" s="171">
        <v>172359.74</v>
      </c>
      <c r="GP29" s="172"/>
      <c r="GQ29" s="171">
        <v>220877.93</v>
      </c>
    </row>
    <row r="30" spans="1:199" ht="9" customHeight="1" thickBot="1">
      <c r="A30" s="158"/>
      <c r="B30" s="157"/>
      <c r="C30" s="501"/>
      <c r="D30" s="410"/>
      <c r="E30" s="501"/>
      <c r="F30" s="410"/>
      <c r="G30" s="501"/>
      <c r="H30" s="410"/>
      <c r="I30" s="501"/>
      <c r="J30" s="410"/>
      <c r="K30" s="501"/>
      <c r="L30" s="410"/>
      <c r="M30" s="501"/>
      <c r="N30" s="410"/>
      <c r="O30" s="501"/>
      <c r="P30" s="410"/>
      <c r="Q30" s="501"/>
      <c r="R30" s="410"/>
      <c r="S30" s="501"/>
      <c r="T30" s="410"/>
      <c r="U30" s="501"/>
      <c r="V30" s="410"/>
      <c r="W30" s="825"/>
      <c r="X30" s="410"/>
      <c r="Y30" s="501"/>
      <c r="Z30" s="410"/>
      <c r="AA30" s="501"/>
      <c r="AB30" s="410"/>
      <c r="AC30" s="501"/>
      <c r="AD30" s="410"/>
      <c r="AE30" s="501"/>
      <c r="AF30" s="410"/>
      <c r="AG30" s="501"/>
      <c r="AH30" s="410"/>
      <c r="AI30" s="501"/>
      <c r="AJ30" s="410"/>
      <c r="AK30" s="501"/>
      <c r="AL30" s="410"/>
      <c r="AM30" s="501"/>
      <c r="AN30" s="410"/>
      <c r="AO30" s="501"/>
      <c r="AP30" s="410"/>
      <c r="AQ30" s="501"/>
      <c r="AR30" s="410"/>
      <c r="AS30" s="501"/>
      <c r="AT30" s="410"/>
      <c r="AU30" s="825"/>
      <c r="AV30" s="410"/>
      <c r="AW30" s="501"/>
      <c r="AX30" s="410"/>
      <c r="AY30" s="501"/>
      <c r="AZ30" s="410"/>
      <c r="BA30" s="501"/>
      <c r="BB30" s="410"/>
      <c r="BC30" s="501"/>
      <c r="BD30" s="410"/>
      <c r="BE30" s="501"/>
      <c r="BF30" s="410"/>
      <c r="BG30" s="511"/>
      <c r="BH30" s="410"/>
      <c r="BI30" s="501"/>
      <c r="BJ30" s="410"/>
      <c r="BK30" s="501"/>
      <c r="BL30" s="410"/>
      <c r="BM30" s="501"/>
      <c r="BN30" s="410"/>
      <c r="BO30" s="501"/>
      <c r="BP30" s="410"/>
      <c r="BQ30" s="501"/>
      <c r="BR30" s="410"/>
      <c r="BS30" s="825"/>
      <c r="BT30" s="410"/>
      <c r="BU30" s="501"/>
      <c r="BV30" s="410"/>
      <c r="BW30" s="157"/>
      <c r="BX30" s="410"/>
      <c r="BY30" s="157"/>
      <c r="BZ30" s="410"/>
      <c r="CA30" s="157"/>
      <c r="CB30" s="410"/>
      <c r="CC30" s="157"/>
      <c r="CD30" s="410"/>
      <c r="CE30" s="157"/>
      <c r="CF30" s="410"/>
      <c r="CG30" s="157"/>
      <c r="CH30" s="410"/>
      <c r="CI30" s="157"/>
      <c r="CJ30" s="410"/>
      <c r="CK30" s="157"/>
      <c r="CL30" s="410"/>
      <c r="CM30" s="157"/>
      <c r="CN30" s="410"/>
      <c r="CO30" s="157"/>
      <c r="CP30" s="410"/>
      <c r="CQ30" s="157"/>
      <c r="CR30" s="410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157"/>
      <c r="DR30" s="157"/>
      <c r="DS30" s="157"/>
      <c r="DT30" s="157"/>
      <c r="DU30" s="157"/>
      <c r="DV30" s="157"/>
      <c r="DW30" s="157"/>
      <c r="DX30" s="157"/>
      <c r="DY30" s="157"/>
      <c r="DZ30" s="157"/>
      <c r="EA30" s="157"/>
      <c r="EB30" s="157"/>
      <c r="EC30" s="157"/>
      <c r="ED30" s="157"/>
      <c r="EE30" s="157"/>
      <c r="EF30" s="157"/>
      <c r="EG30" s="157"/>
      <c r="EH30" s="157"/>
      <c r="EI30" s="157"/>
      <c r="EJ30" s="157"/>
      <c r="EK30" s="157"/>
      <c r="EL30" s="157"/>
      <c r="EM30" s="157"/>
      <c r="EN30" s="157"/>
      <c r="EO30" s="157"/>
      <c r="EP30" s="157"/>
      <c r="EQ30" s="157"/>
      <c r="ER30" s="157"/>
      <c r="ES30" s="157"/>
      <c r="ET30" s="157"/>
      <c r="EU30" s="157"/>
      <c r="EV30" s="157"/>
      <c r="EW30" s="157"/>
      <c r="EX30" s="157"/>
      <c r="EY30" s="157"/>
      <c r="EZ30" s="157"/>
      <c r="FA30" s="157"/>
      <c r="FB30" s="157"/>
      <c r="FC30" s="157"/>
      <c r="FD30" s="157"/>
      <c r="FE30" s="157"/>
      <c r="FF30" s="157"/>
      <c r="FG30" s="157"/>
      <c r="FH30" s="157"/>
      <c r="FI30" s="157"/>
      <c r="FJ30" s="157"/>
      <c r="FK30" s="157"/>
      <c r="FL30" s="157"/>
      <c r="FM30" s="157"/>
      <c r="FN30" s="157"/>
      <c r="FO30" s="157"/>
      <c r="FP30" s="157"/>
      <c r="FQ30" s="157"/>
      <c r="FR30" s="157"/>
      <c r="FS30" s="157"/>
      <c r="FT30" s="157"/>
      <c r="FU30" s="157"/>
      <c r="FV30" s="157"/>
      <c r="FW30" s="157"/>
      <c r="FX30" s="157"/>
      <c r="FY30" s="157"/>
      <c r="FZ30" s="157"/>
      <c r="GA30" s="157"/>
      <c r="GB30" s="157"/>
      <c r="GC30" s="157"/>
      <c r="GD30" s="157"/>
      <c r="GE30" s="157"/>
      <c r="GF30" s="157"/>
      <c r="GG30" s="157"/>
      <c r="GH30" s="166"/>
      <c r="GI30" s="157"/>
      <c r="GJ30" s="157"/>
      <c r="GK30" s="157"/>
      <c r="GL30" s="157"/>
      <c r="GM30" s="157"/>
      <c r="GN30" s="157"/>
      <c r="GO30" s="157"/>
      <c r="GP30" s="157"/>
      <c r="GQ30" s="157"/>
    </row>
    <row r="31" spans="1:199" ht="14.25" customHeight="1" thickBot="1">
      <c r="A31" s="163">
        <v>3</v>
      </c>
      <c r="B31" s="164" t="s">
        <v>218</v>
      </c>
      <c r="C31" s="639"/>
      <c r="D31" s="411"/>
      <c r="E31" s="639"/>
      <c r="F31" s="411"/>
      <c r="G31" s="639"/>
      <c r="H31" s="411"/>
      <c r="I31" s="639"/>
      <c r="J31" s="411"/>
      <c r="K31" s="639"/>
      <c r="L31" s="411"/>
      <c r="M31" s="639"/>
      <c r="N31" s="411"/>
      <c r="O31" s="639"/>
      <c r="P31" s="411"/>
      <c r="Q31" s="639"/>
      <c r="R31" s="411"/>
      <c r="S31" s="639"/>
      <c r="T31" s="411"/>
      <c r="U31" s="639"/>
      <c r="V31" s="411"/>
      <c r="W31" s="1167"/>
      <c r="X31" s="411"/>
      <c r="Y31" s="639"/>
      <c r="Z31" s="411"/>
      <c r="AA31" s="639"/>
      <c r="AB31" s="411"/>
      <c r="AC31" s="639"/>
      <c r="AD31" s="411"/>
      <c r="AE31" s="639"/>
      <c r="AF31" s="411"/>
      <c r="AG31" s="639"/>
      <c r="AH31" s="411"/>
      <c r="AI31" s="639"/>
      <c r="AJ31" s="411"/>
      <c r="AK31" s="639"/>
      <c r="AL31" s="411"/>
      <c r="AM31" s="639"/>
      <c r="AN31" s="411"/>
      <c r="AO31" s="639"/>
      <c r="AP31" s="411"/>
      <c r="AQ31" s="639"/>
      <c r="AR31" s="411"/>
      <c r="AS31" s="639"/>
      <c r="AT31" s="411"/>
      <c r="AU31" s="1167"/>
      <c r="AV31" s="411"/>
      <c r="AW31" s="639"/>
      <c r="AX31" s="411"/>
      <c r="AY31" s="639"/>
      <c r="AZ31" s="411"/>
      <c r="BA31" s="639"/>
      <c r="BB31" s="411"/>
      <c r="BC31" s="639"/>
      <c r="BD31" s="411"/>
      <c r="BE31" s="639"/>
      <c r="BF31" s="411"/>
      <c r="BG31" s="831"/>
      <c r="BH31" s="411"/>
      <c r="BI31" s="639"/>
      <c r="BJ31" s="411"/>
      <c r="BK31" s="639"/>
      <c r="BL31" s="411"/>
      <c r="BM31" s="639"/>
      <c r="BN31" s="411"/>
      <c r="BO31" s="639"/>
      <c r="BP31" s="411"/>
      <c r="BQ31" s="639"/>
      <c r="BR31" s="411"/>
      <c r="BS31" s="1167"/>
      <c r="BT31" s="411"/>
      <c r="BU31" s="639"/>
      <c r="BV31" s="411"/>
      <c r="BW31" s="164"/>
      <c r="BX31" s="411"/>
      <c r="BY31" s="164"/>
      <c r="BZ31" s="411"/>
      <c r="CA31" s="164"/>
      <c r="CB31" s="411"/>
      <c r="CC31" s="164"/>
      <c r="CD31" s="411"/>
      <c r="CE31" s="164"/>
      <c r="CF31" s="411"/>
      <c r="CG31" s="164"/>
      <c r="CH31" s="411"/>
      <c r="CI31" s="164"/>
      <c r="CJ31" s="411"/>
      <c r="CK31" s="164"/>
      <c r="CL31" s="411"/>
      <c r="CM31" s="164"/>
      <c r="CN31" s="411"/>
      <c r="CO31" s="164"/>
      <c r="CP31" s="411"/>
      <c r="CQ31" s="164"/>
      <c r="CR31" s="411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76"/>
      <c r="GI31" s="164"/>
      <c r="GJ31" s="164"/>
      <c r="GK31" s="164"/>
      <c r="GL31" s="164"/>
      <c r="GM31" s="164"/>
      <c r="GN31" s="164"/>
      <c r="GO31" s="164"/>
      <c r="GP31" s="164"/>
      <c r="GQ31" s="164"/>
    </row>
    <row r="32" spans="1:199" ht="14.25" customHeight="1">
      <c r="A32" s="158"/>
      <c r="B32" s="157" t="s">
        <v>312</v>
      </c>
      <c r="C32" s="991">
        <v>5317563.03</v>
      </c>
      <c r="D32" s="410"/>
      <c r="E32" s="991">
        <v>5440687.8000000007</v>
      </c>
      <c r="F32" s="410"/>
      <c r="G32" s="991">
        <v>5545692.5799999991</v>
      </c>
      <c r="H32" s="410"/>
      <c r="I32" s="991">
        <v>5191342.0200000014</v>
      </c>
      <c r="J32" s="410"/>
      <c r="K32" s="991">
        <v>5231286.83</v>
      </c>
      <c r="L32" s="410"/>
      <c r="M32" s="991">
        <v>5027934.9400000004</v>
      </c>
      <c r="N32" s="410"/>
      <c r="O32" s="991">
        <v>5020969.67</v>
      </c>
      <c r="P32" s="410"/>
      <c r="Q32" s="991">
        <v>4904164.37</v>
      </c>
      <c r="R32" s="410"/>
      <c r="S32" s="991">
        <v>5018603.05</v>
      </c>
      <c r="T32" s="410"/>
      <c r="U32" s="991">
        <v>5045471.04</v>
      </c>
      <c r="V32" s="410"/>
      <c r="W32" s="991">
        <v>5109066.79</v>
      </c>
      <c r="X32" s="410"/>
      <c r="Y32" s="991">
        <v>5160005.49</v>
      </c>
      <c r="Z32" s="410"/>
      <c r="AA32" s="991">
        <v>5143781</v>
      </c>
      <c r="AB32" s="410"/>
      <c r="AC32" s="991">
        <v>4976971.629999999</v>
      </c>
      <c r="AD32" s="410"/>
      <c r="AE32" s="640">
        <v>4818765.22</v>
      </c>
      <c r="AF32" s="410"/>
      <c r="AG32" s="640">
        <v>4760112.5999999996</v>
      </c>
      <c r="AH32" s="410"/>
      <c r="AI32" s="640">
        <v>4524853.9000000004</v>
      </c>
      <c r="AJ32" s="410"/>
      <c r="AK32" s="640">
        <v>4596726.59</v>
      </c>
      <c r="AL32" s="410"/>
      <c r="AM32" s="640">
        <v>4373915.93</v>
      </c>
      <c r="AN32" s="410"/>
      <c r="AO32" s="640">
        <v>3912831.69</v>
      </c>
      <c r="AP32" s="410"/>
      <c r="AQ32" s="640">
        <v>3665070.78</v>
      </c>
      <c r="AR32" s="410"/>
      <c r="AS32" s="640">
        <v>3485561.5</v>
      </c>
      <c r="AT32" s="410"/>
      <c r="AU32" s="991">
        <v>3369569.97</v>
      </c>
      <c r="AV32" s="410"/>
      <c r="AW32" s="640">
        <v>3307105.21</v>
      </c>
      <c r="AX32" s="410"/>
      <c r="AY32" s="640">
        <v>3363712.36</v>
      </c>
      <c r="AZ32" s="410"/>
      <c r="BA32" s="640">
        <v>3445376.52</v>
      </c>
      <c r="BB32" s="410"/>
      <c r="BC32" s="640">
        <v>3380892.58</v>
      </c>
      <c r="BD32" s="410"/>
      <c r="BE32" s="640">
        <v>3347576.82</v>
      </c>
      <c r="BF32" s="410"/>
      <c r="BG32" s="832">
        <v>2978388.77</v>
      </c>
      <c r="BH32" s="410"/>
      <c r="BI32" s="640">
        <v>2714672.93</v>
      </c>
      <c r="BJ32" s="410"/>
      <c r="BK32" s="640">
        <v>2446402.29</v>
      </c>
      <c r="BL32" s="410"/>
      <c r="BM32" s="640">
        <v>2366718.48</v>
      </c>
      <c r="BN32" s="410"/>
      <c r="BO32" s="640">
        <v>2366787.09</v>
      </c>
      <c r="BP32" s="410"/>
      <c r="BQ32" s="640">
        <v>2283672</v>
      </c>
      <c r="BR32" s="410"/>
      <c r="BS32" s="991">
        <v>2217770.39</v>
      </c>
      <c r="BT32" s="410"/>
      <c r="BU32" s="640">
        <v>2231106.15</v>
      </c>
      <c r="BV32" s="410"/>
      <c r="BW32" s="166">
        <v>2216127.7599999998</v>
      </c>
      <c r="BX32" s="410"/>
      <c r="BY32" s="166">
        <v>2198584.2799999998</v>
      </c>
      <c r="BZ32" s="410"/>
      <c r="CA32" s="166">
        <v>2108445.88</v>
      </c>
      <c r="CB32" s="410"/>
      <c r="CC32" s="166">
        <v>1876081.92</v>
      </c>
      <c r="CD32" s="410"/>
      <c r="CE32" s="166">
        <v>1725937.59</v>
      </c>
      <c r="CF32" s="410"/>
      <c r="CG32" s="166">
        <v>1785141.73</v>
      </c>
      <c r="CH32" s="410"/>
      <c r="CI32" s="166">
        <v>1765627.14</v>
      </c>
      <c r="CJ32" s="410"/>
      <c r="CK32" s="166">
        <v>1738502.64</v>
      </c>
      <c r="CL32" s="410"/>
      <c r="CM32" s="166">
        <v>1791576.38</v>
      </c>
      <c r="CN32" s="410"/>
      <c r="CO32" s="166">
        <v>1772127.1</v>
      </c>
      <c r="CP32" s="410"/>
      <c r="CQ32" s="166">
        <v>1768660.88</v>
      </c>
      <c r="CR32" s="410"/>
      <c r="CS32" s="166">
        <v>1791826.9800000002</v>
      </c>
      <c r="CT32" s="157"/>
      <c r="CU32" s="167">
        <v>1394012.1900000002</v>
      </c>
      <c r="CV32" s="157"/>
      <c r="CW32" s="167">
        <v>1263896</v>
      </c>
      <c r="CX32" s="157"/>
      <c r="CY32" s="166">
        <v>1141477.19</v>
      </c>
      <c r="CZ32" s="157"/>
      <c r="DA32" s="166">
        <v>1130694.77</v>
      </c>
      <c r="DB32" s="157"/>
      <c r="DC32" s="166">
        <v>973882.38</v>
      </c>
      <c r="DD32" s="157"/>
      <c r="DE32" s="166">
        <v>866890.95</v>
      </c>
      <c r="DF32" s="157"/>
      <c r="DG32" s="166">
        <v>708875.2</v>
      </c>
      <c r="DH32" s="157"/>
      <c r="DI32" s="166">
        <v>678436.62</v>
      </c>
      <c r="DJ32" s="157"/>
      <c r="DK32" s="166">
        <v>597901.87</v>
      </c>
      <c r="DL32" s="157"/>
      <c r="DM32" s="166">
        <v>617811.43999999994</v>
      </c>
      <c r="DN32" s="157"/>
      <c r="DO32" s="166">
        <v>569499.57999999996</v>
      </c>
      <c r="DP32" s="157"/>
      <c r="DQ32" s="166">
        <v>570661.53</v>
      </c>
      <c r="DR32" s="157"/>
      <c r="DS32" s="166">
        <v>566441.19999999995</v>
      </c>
      <c r="DT32" s="157"/>
      <c r="DU32" s="166">
        <v>585137.4</v>
      </c>
      <c r="DV32" s="157"/>
      <c r="DW32" s="166">
        <v>603833.04</v>
      </c>
      <c r="DX32" s="157"/>
      <c r="DY32" s="166">
        <v>589738.86</v>
      </c>
      <c r="DZ32" s="157"/>
      <c r="EA32" s="166">
        <v>608177.1</v>
      </c>
      <c r="EB32" s="157"/>
      <c r="EC32" s="166">
        <v>619051.41</v>
      </c>
      <c r="ED32" s="157"/>
      <c r="EE32" s="166">
        <v>635645.43999999994</v>
      </c>
      <c r="EF32" s="157"/>
      <c r="EG32" s="167">
        <v>654412.18999999994</v>
      </c>
      <c r="EH32" s="157"/>
      <c r="EI32" s="167">
        <v>673179.26</v>
      </c>
      <c r="EJ32" s="157"/>
      <c r="EK32" s="167">
        <v>684146.27</v>
      </c>
      <c r="EL32" s="157"/>
      <c r="EM32" s="167">
        <v>702750.98</v>
      </c>
      <c r="EN32" s="157"/>
      <c r="EO32" s="167">
        <v>651145.59</v>
      </c>
      <c r="EP32" s="157"/>
      <c r="EQ32" s="166">
        <v>553862.93999999994</v>
      </c>
      <c r="ER32" s="166"/>
      <c r="ES32" s="166">
        <v>569134.24</v>
      </c>
      <c r="ET32" s="166"/>
      <c r="EU32" s="166">
        <v>467939.94999999995</v>
      </c>
      <c r="EV32" s="166"/>
      <c r="EW32" s="166">
        <v>427443.88</v>
      </c>
      <c r="EX32" s="166"/>
      <c r="EY32" s="166">
        <v>371959.46000000008</v>
      </c>
      <c r="EZ32" s="166"/>
      <c r="FA32" s="166">
        <v>346499.13</v>
      </c>
      <c r="FB32" s="166"/>
      <c r="FC32" s="166">
        <v>270194.83</v>
      </c>
      <c r="FD32" s="166"/>
      <c r="FE32" s="166">
        <v>196224.59</v>
      </c>
      <c r="FF32" s="166"/>
      <c r="FG32" s="166">
        <v>183816.13</v>
      </c>
      <c r="FH32" s="166"/>
      <c r="FI32" s="166">
        <v>163356.87</v>
      </c>
      <c r="FJ32" s="166"/>
      <c r="FK32" s="166">
        <v>150078.67000000001</v>
      </c>
      <c r="FL32" s="166"/>
      <c r="FM32" s="166">
        <v>155944.63</v>
      </c>
      <c r="FN32" s="166"/>
      <c r="FO32" s="166">
        <v>161810.57999999999</v>
      </c>
      <c r="FP32" s="166"/>
      <c r="FQ32" s="166">
        <v>167676.60999999999</v>
      </c>
      <c r="FR32" s="157"/>
      <c r="FS32" s="166">
        <v>171882.59000000003</v>
      </c>
      <c r="FT32" s="157"/>
      <c r="FU32" s="166">
        <v>153428.66</v>
      </c>
      <c r="FV32" s="157"/>
      <c r="FW32" s="166">
        <v>158876.1</v>
      </c>
      <c r="FX32" s="157"/>
      <c r="FY32" s="166">
        <v>155605.72999999998</v>
      </c>
      <c r="FZ32" s="157"/>
      <c r="GA32" s="166">
        <v>159606.46</v>
      </c>
      <c r="GB32" s="157"/>
      <c r="GC32" s="166">
        <v>165116.1</v>
      </c>
      <c r="GD32" s="157"/>
      <c r="GE32" s="166">
        <v>162926</v>
      </c>
      <c r="GF32" s="157"/>
      <c r="GG32" s="166">
        <v>151537</v>
      </c>
      <c r="GH32" s="166"/>
      <c r="GI32" s="183">
        <v>129049.68</v>
      </c>
      <c r="GJ32" s="166"/>
      <c r="GK32" s="183">
        <v>118230.27</v>
      </c>
      <c r="GL32" s="166"/>
      <c r="GM32" s="166">
        <v>122174.77</v>
      </c>
      <c r="GN32" s="166"/>
      <c r="GO32" s="166">
        <v>126199.25</v>
      </c>
      <c r="GP32" s="166"/>
      <c r="GQ32" s="166">
        <v>130063.75</v>
      </c>
    </row>
    <row r="33" spans="1:199" ht="14.25" customHeight="1">
      <c r="A33" s="158"/>
      <c r="B33" s="157" t="s">
        <v>313</v>
      </c>
      <c r="C33" s="984">
        <v>2371013.6800000002</v>
      </c>
      <c r="D33" s="410"/>
      <c r="E33" s="984">
        <v>2530181.0099999998</v>
      </c>
      <c r="F33" s="410"/>
      <c r="G33" s="984">
        <v>2689636.84</v>
      </c>
      <c r="H33" s="410"/>
      <c r="I33" s="984">
        <v>2849440.86</v>
      </c>
      <c r="J33" s="410"/>
      <c r="K33" s="984">
        <v>3009244.93</v>
      </c>
      <c r="L33" s="410"/>
      <c r="M33" s="984">
        <v>3126873.22</v>
      </c>
      <c r="N33" s="410"/>
      <c r="O33" s="984">
        <v>3284919.96</v>
      </c>
      <c r="P33" s="410"/>
      <c r="Q33" s="984">
        <v>3442966.68</v>
      </c>
      <c r="R33" s="410"/>
      <c r="S33" s="984">
        <v>3418807.44</v>
      </c>
      <c r="T33" s="410"/>
      <c r="U33" s="984">
        <v>353882.22</v>
      </c>
      <c r="V33" s="410"/>
      <c r="W33" s="984">
        <v>370653.91</v>
      </c>
      <c r="X33" s="410"/>
      <c r="Y33" s="984">
        <v>341067.19</v>
      </c>
      <c r="Z33" s="410"/>
      <c r="AA33" s="984">
        <v>365332</v>
      </c>
      <c r="AB33" s="410"/>
      <c r="AC33" s="984">
        <v>389596.77</v>
      </c>
      <c r="AD33" s="410"/>
      <c r="AE33" s="535">
        <v>413861.57</v>
      </c>
      <c r="AF33" s="410"/>
      <c r="AG33" s="535">
        <v>337933.39</v>
      </c>
      <c r="AH33" s="410"/>
      <c r="AI33" s="535">
        <v>359812.63</v>
      </c>
      <c r="AJ33" s="410"/>
      <c r="AK33" s="535">
        <v>381691.86</v>
      </c>
      <c r="AL33" s="410"/>
      <c r="AM33" s="535">
        <v>403571.14</v>
      </c>
      <c r="AN33" s="410"/>
      <c r="AO33" s="535">
        <v>430328.01</v>
      </c>
      <c r="AP33" s="410"/>
      <c r="AQ33" s="535">
        <v>457084.89</v>
      </c>
      <c r="AR33" s="410"/>
      <c r="AS33" s="535">
        <v>483841.78</v>
      </c>
      <c r="AT33" s="410"/>
      <c r="AU33" s="984">
        <v>510598.7</v>
      </c>
      <c r="AV33" s="410"/>
      <c r="AW33" s="535">
        <v>537355.61</v>
      </c>
      <c r="AX33" s="410"/>
      <c r="AY33" s="535">
        <v>564112.52</v>
      </c>
      <c r="AZ33" s="410"/>
      <c r="BA33" s="535">
        <v>590869.39</v>
      </c>
      <c r="BB33" s="410"/>
      <c r="BC33" s="535">
        <v>602055.68999999994</v>
      </c>
      <c r="BD33" s="410"/>
      <c r="BE33" s="535">
        <v>610960.56999999995</v>
      </c>
      <c r="BF33" s="410"/>
      <c r="BG33" s="759">
        <v>636615.43999999994</v>
      </c>
      <c r="BH33" s="410"/>
      <c r="BI33" s="535">
        <v>633708.41</v>
      </c>
      <c r="BJ33" s="410"/>
      <c r="BK33" s="535">
        <v>684710.36</v>
      </c>
      <c r="BL33" s="410"/>
      <c r="BM33" s="535">
        <v>267885.09999999998</v>
      </c>
      <c r="BN33" s="410"/>
      <c r="BO33" s="535">
        <v>282499.68</v>
      </c>
      <c r="BP33" s="410"/>
      <c r="BQ33" s="535">
        <v>297114</v>
      </c>
      <c r="BR33" s="410"/>
      <c r="BS33" s="984">
        <v>311728.84999999998</v>
      </c>
      <c r="BT33" s="410"/>
      <c r="BU33" s="535">
        <v>326343.44</v>
      </c>
      <c r="BV33" s="410"/>
      <c r="BW33" s="166">
        <v>340958.03</v>
      </c>
      <c r="BX33" s="410"/>
      <c r="BY33" s="166">
        <v>355572.61</v>
      </c>
      <c r="BZ33" s="410"/>
      <c r="CA33" s="166">
        <v>370187.18</v>
      </c>
      <c r="CB33" s="410"/>
      <c r="CC33" s="166">
        <v>384801.77</v>
      </c>
      <c r="CD33" s="410"/>
      <c r="CE33" s="166">
        <v>399416.35</v>
      </c>
      <c r="CF33" s="410"/>
      <c r="CG33" s="166">
        <v>432345.65</v>
      </c>
      <c r="CH33" s="410"/>
      <c r="CI33" s="166">
        <v>465659.69</v>
      </c>
      <c r="CJ33" s="410"/>
      <c r="CK33" s="166">
        <v>490033.4</v>
      </c>
      <c r="CL33" s="410"/>
      <c r="CM33" s="166">
        <v>522989.84</v>
      </c>
      <c r="CN33" s="410"/>
      <c r="CO33" s="166">
        <v>555946.27</v>
      </c>
      <c r="CP33" s="410"/>
      <c r="CQ33" s="166">
        <v>569640.22</v>
      </c>
      <c r="CR33" s="410"/>
      <c r="CS33" s="166">
        <v>1070808.57</v>
      </c>
      <c r="CT33" s="157"/>
      <c r="CU33" s="167">
        <v>1094028.0900000001</v>
      </c>
      <c r="CV33" s="157"/>
      <c r="CW33" s="167">
        <v>878218</v>
      </c>
      <c r="CX33" s="157"/>
      <c r="CY33" s="166">
        <v>331251.03000000003</v>
      </c>
      <c r="CZ33" s="157"/>
      <c r="DA33" s="166">
        <v>354470.54</v>
      </c>
      <c r="DB33" s="157"/>
      <c r="DC33" s="166">
        <v>377690.04</v>
      </c>
      <c r="DD33" s="157"/>
      <c r="DE33" s="166">
        <v>396292.37</v>
      </c>
      <c r="DF33" s="157"/>
      <c r="DG33" s="166">
        <v>419127.11</v>
      </c>
      <c r="DH33" s="157"/>
      <c r="DI33" s="166">
        <v>363650.22</v>
      </c>
      <c r="DJ33" s="157"/>
      <c r="DK33" s="166">
        <v>293035.27</v>
      </c>
      <c r="DL33" s="157"/>
      <c r="DM33" s="166">
        <v>311349.98</v>
      </c>
      <c r="DN33" s="157"/>
      <c r="DO33" s="166">
        <v>329664.68</v>
      </c>
      <c r="DP33" s="157"/>
      <c r="DQ33" s="166">
        <v>347979.38</v>
      </c>
      <c r="DR33" s="157"/>
      <c r="DS33" s="166">
        <v>366294.09</v>
      </c>
      <c r="DT33" s="157"/>
      <c r="DU33" s="166">
        <v>384608.79</v>
      </c>
      <c r="DV33" s="157"/>
      <c r="DW33" s="166">
        <v>402923.5</v>
      </c>
      <c r="DX33" s="157"/>
      <c r="DY33" s="166">
        <v>421238.2</v>
      </c>
      <c r="DZ33" s="157"/>
      <c r="EA33" s="166">
        <v>439552.9</v>
      </c>
      <c r="EB33" s="157"/>
      <c r="EC33" s="166">
        <v>457867.61</v>
      </c>
      <c r="ED33" s="157"/>
      <c r="EE33" s="166">
        <v>476182.31</v>
      </c>
      <c r="EF33" s="157"/>
      <c r="EG33" s="167">
        <v>494497.02</v>
      </c>
      <c r="EH33" s="157"/>
      <c r="EI33" s="167">
        <v>512811.72</v>
      </c>
      <c r="EJ33" s="157"/>
      <c r="EK33" s="167">
        <v>531126.43000000005</v>
      </c>
      <c r="EL33" s="157"/>
      <c r="EM33" s="167">
        <v>549441.13</v>
      </c>
      <c r="EN33" s="157"/>
      <c r="EO33" s="167">
        <v>567755.82999999996</v>
      </c>
      <c r="EP33" s="157"/>
      <c r="EQ33" s="166">
        <v>586070.53</v>
      </c>
      <c r="ER33" s="166"/>
      <c r="ES33" s="166">
        <v>604385.24</v>
      </c>
      <c r="ET33" s="166"/>
      <c r="EU33" s="166">
        <v>622699.93999999994</v>
      </c>
      <c r="EV33" s="166"/>
      <c r="EW33" s="166">
        <v>641014.65</v>
      </c>
      <c r="EX33" s="166"/>
      <c r="EY33" s="166">
        <v>659329.35</v>
      </c>
      <c r="EZ33" s="166"/>
      <c r="FA33" s="166">
        <v>887711.02</v>
      </c>
      <c r="FB33" s="166"/>
      <c r="FC33" s="166">
        <v>694639.58</v>
      </c>
      <c r="FD33" s="166"/>
      <c r="FE33" s="166">
        <v>694639.58</v>
      </c>
      <c r="FF33" s="166"/>
      <c r="FG33" s="166">
        <v>0</v>
      </c>
      <c r="FH33" s="166"/>
      <c r="FI33" s="166">
        <v>0</v>
      </c>
      <c r="FJ33" s="166"/>
      <c r="FK33" s="166">
        <v>0</v>
      </c>
      <c r="FL33" s="166"/>
      <c r="FM33" s="166">
        <v>0</v>
      </c>
      <c r="FN33" s="166"/>
      <c r="FO33" s="166">
        <v>0</v>
      </c>
      <c r="FP33" s="166"/>
      <c r="FQ33" s="166">
        <v>3680.8</v>
      </c>
      <c r="FR33" s="157"/>
      <c r="FS33" s="166">
        <v>7361.6100000000006</v>
      </c>
      <c r="FT33" s="157"/>
      <c r="FU33" s="166">
        <v>11042.4</v>
      </c>
      <c r="FV33" s="157"/>
      <c r="FW33" s="166">
        <v>14723.2</v>
      </c>
      <c r="FX33" s="157"/>
      <c r="FY33" s="166">
        <v>18404.000000000004</v>
      </c>
      <c r="FZ33" s="157"/>
      <c r="GA33" s="166">
        <v>22084.81</v>
      </c>
      <c r="GB33" s="157"/>
      <c r="GC33" s="166">
        <v>25765.61</v>
      </c>
      <c r="GD33" s="157"/>
      <c r="GE33" s="166">
        <v>29447</v>
      </c>
      <c r="GF33" s="157"/>
      <c r="GG33" s="166">
        <v>33127.21</v>
      </c>
      <c r="GH33" s="166"/>
      <c r="GI33" s="166">
        <v>36808.01</v>
      </c>
      <c r="GJ33" s="166"/>
      <c r="GK33" s="183">
        <v>40488.82</v>
      </c>
      <c r="GL33" s="166"/>
      <c r="GM33" s="166">
        <v>53382.12</v>
      </c>
      <c r="GN33" s="166"/>
      <c r="GO33" s="166">
        <v>13323.75</v>
      </c>
      <c r="GP33" s="166"/>
      <c r="GQ33" s="166">
        <v>14535</v>
      </c>
    </row>
    <row r="34" spans="1:199" ht="14.25" customHeight="1" thickBot="1">
      <c r="A34" s="158"/>
      <c r="B34" s="157" t="s">
        <v>314</v>
      </c>
      <c r="C34" s="984">
        <v>2206432.4500000002</v>
      </c>
      <c r="D34" s="410"/>
      <c r="E34" s="984">
        <v>2235582.6</v>
      </c>
      <c r="F34" s="410"/>
      <c r="G34" s="984">
        <v>2264543.48</v>
      </c>
      <c r="H34" s="410"/>
      <c r="I34" s="984">
        <v>2292678.54</v>
      </c>
      <c r="J34" s="410"/>
      <c r="K34" s="984">
        <v>2199881.9300000002</v>
      </c>
      <c r="L34" s="410"/>
      <c r="M34" s="984">
        <v>2226225.2799999998</v>
      </c>
      <c r="N34" s="410"/>
      <c r="O34" s="984">
        <v>2253974.14</v>
      </c>
      <c r="P34" s="410"/>
      <c r="Q34" s="984">
        <v>2285613.31</v>
      </c>
      <c r="R34" s="410"/>
      <c r="S34" s="984">
        <v>2289264.14</v>
      </c>
      <c r="T34" s="410"/>
      <c r="U34" s="984">
        <v>1845577.43</v>
      </c>
      <c r="V34" s="410"/>
      <c r="W34" s="984">
        <v>1838370.5</v>
      </c>
      <c r="X34" s="410"/>
      <c r="Y34" s="984">
        <v>1861940.85</v>
      </c>
      <c r="Z34" s="410"/>
      <c r="AA34" s="984">
        <v>1859696</v>
      </c>
      <c r="AB34" s="410"/>
      <c r="AC34" s="984">
        <v>1596236</v>
      </c>
      <c r="AD34" s="410"/>
      <c r="AE34" s="535">
        <v>1618182.26</v>
      </c>
      <c r="AF34" s="410"/>
      <c r="AG34" s="535">
        <v>1583990.63</v>
      </c>
      <c r="AH34" s="410"/>
      <c r="AI34" s="535">
        <v>1594608.9</v>
      </c>
      <c r="AJ34" s="410"/>
      <c r="AK34" s="535">
        <v>1611595.41</v>
      </c>
      <c r="AL34" s="410"/>
      <c r="AM34" s="535">
        <v>1620740.03</v>
      </c>
      <c r="AN34" s="410"/>
      <c r="AO34" s="535">
        <v>1637422.42</v>
      </c>
      <c r="AP34" s="410"/>
      <c r="AQ34" s="535">
        <v>1657645.44</v>
      </c>
      <c r="AR34" s="410"/>
      <c r="AS34" s="535">
        <v>1678609.77</v>
      </c>
      <c r="AT34" s="410"/>
      <c r="AU34" s="984">
        <v>1675651.97</v>
      </c>
      <c r="AV34" s="410"/>
      <c r="AW34" s="535">
        <v>1633096.71</v>
      </c>
      <c r="AX34" s="410"/>
      <c r="AY34" s="535">
        <v>1662044.32</v>
      </c>
      <c r="AZ34" s="410"/>
      <c r="BA34" s="535">
        <v>1682503.04</v>
      </c>
      <c r="BB34" s="410"/>
      <c r="BC34" s="535">
        <v>1665723.85</v>
      </c>
      <c r="BD34" s="410"/>
      <c r="BE34" s="535">
        <v>1681046.83</v>
      </c>
      <c r="BF34" s="410"/>
      <c r="BG34" s="759">
        <v>1687690.95</v>
      </c>
      <c r="BH34" s="410"/>
      <c r="BI34" s="535">
        <v>1708468.84</v>
      </c>
      <c r="BJ34" s="410"/>
      <c r="BK34" s="535">
        <v>1091483.94</v>
      </c>
      <c r="BL34" s="410"/>
      <c r="BM34" s="535">
        <v>1051366.9099999999</v>
      </c>
      <c r="BN34" s="410"/>
      <c r="BO34" s="535">
        <v>1000223.82</v>
      </c>
      <c r="BP34" s="410"/>
      <c r="BQ34" s="535">
        <v>933941</v>
      </c>
      <c r="BR34" s="410"/>
      <c r="BS34" s="984">
        <v>900739.96</v>
      </c>
      <c r="BT34" s="410"/>
      <c r="BU34" s="535">
        <v>882858.19</v>
      </c>
      <c r="BV34" s="410"/>
      <c r="BW34" s="166">
        <v>881994.21</v>
      </c>
      <c r="BX34" s="410"/>
      <c r="BY34" s="166">
        <v>892760.62</v>
      </c>
      <c r="BZ34" s="410"/>
      <c r="CA34" s="166">
        <v>903527.92</v>
      </c>
      <c r="CB34" s="410"/>
      <c r="CC34" s="166">
        <v>827081.89</v>
      </c>
      <c r="CD34" s="410"/>
      <c r="CE34" s="166">
        <v>834724.37</v>
      </c>
      <c r="CF34" s="410"/>
      <c r="CG34" s="166">
        <v>844140.79</v>
      </c>
      <c r="CH34" s="410"/>
      <c r="CI34" s="166">
        <v>852995.35</v>
      </c>
      <c r="CJ34" s="410"/>
      <c r="CK34" s="166">
        <v>850804.1</v>
      </c>
      <c r="CL34" s="410"/>
      <c r="CM34" s="166">
        <v>826722.22</v>
      </c>
      <c r="CN34" s="410"/>
      <c r="CO34" s="166">
        <v>822418.55</v>
      </c>
      <c r="CP34" s="410"/>
      <c r="CQ34" s="166">
        <v>815099.84</v>
      </c>
      <c r="CR34" s="410"/>
      <c r="CS34" s="166">
        <v>416043.27</v>
      </c>
      <c r="CT34" s="157"/>
      <c r="CU34" s="167">
        <v>421512.73</v>
      </c>
      <c r="CV34" s="157"/>
      <c r="CW34" s="167">
        <v>424839</v>
      </c>
      <c r="CX34" s="157"/>
      <c r="CY34" s="166">
        <v>424962.55</v>
      </c>
      <c r="CZ34" s="157"/>
      <c r="DA34" s="166">
        <v>430344.37</v>
      </c>
      <c r="DB34" s="157"/>
      <c r="DC34" s="166">
        <v>435726.1</v>
      </c>
      <c r="DD34" s="157"/>
      <c r="DE34" s="166">
        <v>441108.35</v>
      </c>
      <c r="DF34" s="157"/>
      <c r="DG34" s="166">
        <v>445891.13</v>
      </c>
      <c r="DH34" s="157"/>
      <c r="DI34" s="166">
        <v>452759.87</v>
      </c>
      <c r="DJ34" s="157"/>
      <c r="DK34" s="166">
        <v>458159.38</v>
      </c>
      <c r="DL34" s="157"/>
      <c r="DM34" s="166">
        <v>463559.37</v>
      </c>
      <c r="DN34" s="157"/>
      <c r="DO34" s="166">
        <v>468958.83</v>
      </c>
      <c r="DP34" s="157"/>
      <c r="DQ34" s="166">
        <v>474358.84</v>
      </c>
      <c r="DR34" s="157"/>
      <c r="DS34" s="166">
        <v>479758.38</v>
      </c>
      <c r="DT34" s="157"/>
      <c r="DU34" s="166">
        <v>485157.59</v>
      </c>
      <c r="DV34" s="157"/>
      <c r="DW34" s="166">
        <v>490577.65</v>
      </c>
      <c r="DX34" s="157"/>
      <c r="DY34" s="166">
        <v>495957.09</v>
      </c>
      <c r="DZ34" s="157"/>
      <c r="EA34" s="166">
        <v>501356.45</v>
      </c>
      <c r="EB34" s="157"/>
      <c r="EC34" s="166">
        <v>506756.34</v>
      </c>
      <c r="ED34" s="157"/>
      <c r="EE34" s="166">
        <v>512155.73</v>
      </c>
      <c r="EF34" s="157"/>
      <c r="EG34" s="167">
        <v>517555.04</v>
      </c>
      <c r="EH34" s="157"/>
      <c r="EI34" s="167">
        <v>522954.55</v>
      </c>
      <c r="EJ34" s="157"/>
      <c r="EK34" s="167">
        <v>528354.54</v>
      </c>
      <c r="EL34" s="157"/>
      <c r="EM34" s="167">
        <v>533754</v>
      </c>
      <c r="EN34" s="157"/>
      <c r="EO34" s="167">
        <v>539153.26</v>
      </c>
      <c r="EP34" s="157"/>
      <c r="EQ34" s="166">
        <v>537028.84</v>
      </c>
      <c r="ER34" s="166"/>
      <c r="ES34" s="166">
        <v>542013.67999999993</v>
      </c>
      <c r="ET34" s="166"/>
      <c r="EU34" s="166">
        <v>505531.47</v>
      </c>
      <c r="EV34" s="166"/>
      <c r="EW34" s="166">
        <v>450903.50999999995</v>
      </c>
      <c r="EX34" s="166"/>
      <c r="EY34" s="166">
        <v>455382.19</v>
      </c>
      <c r="EZ34" s="166"/>
      <c r="FA34" s="166">
        <v>70247.149999999994</v>
      </c>
      <c r="FB34" s="166"/>
      <c r="FC34" s="166">
        <v>72057.97</v>
      </c>
      <c r="FD34" s="166"/>
      <c r="FE34" s="166">
        <v>73356.759999999995</v>
      </c>
      <c r="FF34" s="166"/>
      <c r="FG34" s="166">
        <v>73899.649999999994</v>
      </c>
      <c r="FH34" s="166"/>
      <c r="FI34" s="166">
        <v>67257.14</v>
      </c>
      <c r="FJ34" s="166"/>
      <c r="FK34" s="166">
        <v>68417.45</v>
      </c>
      <c r="FL34" s="166"/>
      <c r="FM34" s="166">
        <v>69577.75</v>
      </c>
      <c r="FN34" s="166"/>
      <c r="FO34" s="166">
        <v>70737.98</v>
      </c>
      <c r="FP34" s="166"/>
      <c r="FQ34" s="166">
        <v>71898.28</v>
      </c>
      <c r="FR34" s="157"/>
      <c r="FS34" s="166">
        <v>73058.549999999988</v>
      </c>
      <c r="FT34" s="157"/>
      <c r="FU34" s="166">
        <v>74218.820000000007</v>
      </c>
      <c r="FV34" s="157"/>
      <c r="FW34" s="166">
        <v>75544.23</v>
      </c>
      <c r="FX34" s="157"/>
      <c r="FY34" s="166">
        <v>76869.7</v>
      </c>
      <c r="FZ34" s="157"/>
      <c r="GA34" s="166">
        <v>76028.14</v>
      </c>
      <c r="GB34" s="157"/>
      <c r="GC34" s="166">
        <v>77335.5</v>
      </c>
      <c r="GD34" s="157"/>
      <c r="GE34" s="166">
        <v>78643</v>
      </c>
      <c r="GF34" s="157"/>
      <c r="GG34" s="166">
        <v>74250.259999999995</v>
      </c>
      <c r="GH34" s="166"/>
      <c r="GI34" s="183">
        <v>73040.179999999993</v>
      </c>
      <c r="GJ34" s="166"/>
      <c r="GK34" s="183">
        <v>65012.47</v>
      </c>
      <c r="GL34" s="166"/>
      <c r="GM34" s="166">
        <v>67269.34</v>
      </c>
      <c r="GN34" s="166"/>
      <c r="GO34" s="166">
        <v>68377.570000000007</v>
      </c>
      <c r="GP34" s="166"/>
      <c r="GQ34" s="166">
        <v>69485.789999999994</v>
      </c>
    </row>
    <row r="35" spans="1:199" ht="14.25" customHeight="1" thickBot="1">
      <c r="A35" s="158"/>
      <c r="B35" s="157"/>
      <c r="C35" s="190">
        <f>SUM(C32:C34)</f>
        <v>9895009.1600000001</v>
      </c>
      <c r="D35" s="410"/>
      <c r="E35" s="190">
        <f>SUM(E32:E34)</f>
        <v>10206451.41</v>
      </c>
      <c r="F35" s="410"/>
      <c r="G35" s="190">
        <f>SUM(G32:G34)</f>
        <v>10499872.899999999</v>
      </c>
      <c r="H35" s="410"/>
      <c r="I35" s="190">
        <f>SUM(I32:I34)</f>
        <v>10333461.420000002</v>
      </c>
      <c r="J35" s="410"/>
      <c r="K35" s="190">
        <f>SUM(K32:K34)</f>
        <v>10440413.689999999</v>
      </c>
      <c r="L35" s="410"/>
      <c r="M35" s="190">
        <f>SUM(M32:M34)</f>
        <v>10381033.439999999</v>
      </c>
      <c r="N35" s="410"/>
      <c r="O35" s="190">
        <v>10559863.77</v>
      </c>
      <c r="P35" s="410"/>
      <c r="Q35" s="190">
        <v>10632744.360000001</v>
      </c>
      <c r="R35" s="410"/>
      <c r="S35" s="190">
        <v>10726674.630000001</v>
      </c>
      <c r="T35" s="410"/>
      <c r="U35" s="190">
        <v>7244930.6899999995</v>
      </c>
      <c r="V35" s="410"/>
      <c r="W35" s="987">
        <v>7318091.2000000002</v>
      </c>
      <c r="X35" s="410"/>
      <c r="Y35" s="190">
        <v>7363013.5300000012</v>
      </c>
      <c r="Z35" s="410"/>
      <c r="AA35" s="190">
        <v>7368809</v>
      </c>
      <c r="AB35" s="410"/>
      <c r="AC35" s="190">
        <f>SUM(AC32:AC34)</f>
        <v>6962804.3999999985</v>
      </c>
      <c r="AD35" s="410"/>
      <c r="AE35" s="190">
        <f>SUM(AE32:AE34)</f>
        <v>6850809.0499999998</v>
      </c>
      <c r="AF35" s="410"/>
      <c r="AG35" s="190">
        <f>SUM(AG32:AG34)</f>
        <v>6682036.6199999992</v>
      </c>
      <c r="AH35" s="410"/>
      <c r="AI35" s="190">
        <v>6479275.4299999997</v>
      </c>
      <c r="AJ35" s="410"/>
      <c r="AK35" s="190">
        <v>6590013.8600000003</v>
      </c>
      <c r="AL35" s="410"/>
      <c r="AM35" s="190">
        <v>6398227.0999999996</v>
      </c>
      <c r="AN35" s="410"/>
      <c r="AO35" s="190">
        <v>5980582.1200000001</v>
      </c>
      <c r="AP35" s="410"/>
      <c r="AQ35" s="190">
        <v>5779801.1099999994</v>
      </c>
      <c r="AR35" s="410"/>
      <c r="AS35" s="190">
        <v>5648013.0500000007</v>
      </c>
      <c r="AT35" s="410"/>
      <c r="AU35" s="987">
        <v>5555820.6400000006</v>
      </c>
      <c r="AV35" s="410"/>
      <c r="AW35" s="190">
        <v>5477557.5299999993</v>
      </c>
      <c r="AX35" s="410"/>
      <c r="AY35" s="190">
        <v>5589869.2000000002</v>
      </c>
      <c r="AZ35" s="410"/>
      <c r="BA35" s="190">
        <v>5718748.9500000002</v>
      </c>
      <c r="BB35" s="410"/>
      <c r="BC35" s="190">
        <v>5648672.1200000001</v>
      </c>
      <c r="BD35" s="410"/>
      <c r="BE35" s="190">
        <v>5639584.2199999997</v>
      </c>
      <c r="BF35" s="410"/>
      <c r="BG35" s="190">
        <v>5302695.16</v>
      </c>
      <c r="BH35" s="410"/>
      <c r="BI35" s="190">
        <v>5056850.1800000006</v>
      </c>
      <c r="BJ35" s="410"/>
      <c r="BK35" s="190">
        <v>4222596.59</v>
      </c>
      <c r="BL35" s="410"/>
      <c r="BM35" s="190">
        <v>3685970.49</v>
      </c>
      <c r="BN35" s="410"/>
      <c r="BO35" s="190">
        <v>3649510.59</v>
      </c>
      <c r="BP35" s="410"/>
      <c r="BQ35" s="190">
        <f>SUM(BQ32:BQ34)</f>
        <v>3514727</v>
      </c>
      <c r="BR35" s="410"/>
      <c r="BS35" s="987">
        <v>3430239.2</v>
      </c>
      <c r="BT35" s="410"/>
      <c r="BU35" s="190">
        <f>SUM(BU32:BU34)</f>
        <v>3440307.78</v>
      </c>
      <c r="BV35" s="410"/>
      <c r="BW35" s="171">
        <v>3439080</v>
      </c>
      <c r="BX35" s="410"/>
      <c r="BY35" s="171">
        <v>3446917.51</v>
      </c>
      <c r="BZ35" s="410"/>
      <c r="CA35" s="171">
        <v>3382160.98</v>
      </c>
      <c r="CB35" s="410"/>
      <c r="CC35" s="171">
        <v>3087965.58</v>
      </c>
      <c r="CD35" s="410"/>
      <c r="CE35" s="171">
        <v>2960078.31</v>
      </c>
      <c r="CF35" s="410"/>
      <c r="CG35" s="171">
        <v>3061628.17</v>
      </c>
      <c r="CH35" s="410"/>
      <c r="CI35" s="171">
        <v>3084282.18</v>
      </c>
      <c r="CJ35" s="410"/>
      <c r="CK35" s="171">
        <v>3079340.14</v>
      </c>
      <c r="CL35" s="410"/>
      <c r="CM35" s="171">
        <f>SUM(CM32:CM34)</f>
        <v>3141288.4399999995</v>
      </c>
      <c r="CN35" s="410"/>
      <c r="CO35" s="171">
        <f>SUM(CO32:CO34)</f>
        <v>3150491.92</v>
      </c>
      <c r="CP35" s="410"/>
      <c r="CQ35" s="171">
        <f>SUM(CQ32:CQ34)</f>
        <v>3153400.9399999995</v>
      </c>
      <c r="CR35" s="410"/>
      <c r="CS35" s="171">
        <f>SUM(CS32:CS34)</f>
        <v>3278678.8200000003</v>
      </c>
      <c r="CT35" s="157"/>
      <c r="CU35" s="171">
        <f>SUM(CU32:CU34)</f>
        <v>2909553.0100000002</v>
      </c>
      <c r="CV35" s="157"/>
      <c r="CW35" s="171">
        <f>SUM(CW32:CW34)</f>
        <v>2566953</v>
      </c>
      <c r="CX35" s="157"/>
      <c r="CY35" s="171">
        <f>SUM(CY32:CY34)</f>
        <v>1897690.77</v>
      </c>
      <c r="CZ35" s="157"/>
      <c r="DA35" s="171">
        <f>SUM(DA32:DA34)</f>
        <v>1915509.6800000002</v>
      </c>
      <c r="DB35" s="157"/>
      <c r="DC35" s="171">
        <f>SUM(DC32:DC34)</f>
        <v>1787298.52</v>
      </c>
      <c r="DD35" s="157"/>
      <c r="DE35" s="171">
        <f>SUM(DE32:DE34)</f>
        <v>1704291.67</v>
      </c>
      <c r="DF35" s="157"/>
      <c r="DG35" s="171">
        <f>SUM(DG32:DG34)</f>
        <v>1573893.44</v>
      </c>
      <c r="DH35" s="157"/>
      <c r="DI35" s="171">
        <f>SUM(DI32:DI34)</f>
        <v>1494846.71</v>
      </c>
      <c r="DJ35" s="157"/>
      <c r="DK35" s="171">
        <f>SUM(DK32:DK34)</f>
        <v>1349096.52</v>
      </c>
      <c r="DL35" s="157"/>
      <c r="DM35" s="171">
        <f>SUM(DM32:DM34)</f>
        <v>1392720.79</v>
      </c>
      <c r="DN35" s="157"/>
      <c r="DO35" s="171">
        <v>1368123.09</v>
      </c>
      <c r="DP35" s="157"/>
      <c r="DQ35" s="171">
        <v>1392999.75</v>
      </c>
      <c r="DR35" s="157"/>
      <c r="DS35" s="171">
        <v>1412493.67</v>
      </c>
      <c r="DT35" s="157"/>
      <c r="DU35" s="171">
        <v>1454903.78</v>
      </c>
      <c r="DV35" s="157"/>
      <c r="DW35" s="171">
        <v>1497334.19</v>
      </c>
      <c r="DX35" s="157"/>
      <c r="DY35" s="171">
        <v>1506934.1500000001</v>
      </c>
      <c r="DZ35" s="157"/>
      <c r="EA35" s="171">
        <v>1549086.45</v>
      </c>
      <c r="EB35" s="157"/>
      <c r="EC35" s="171">
        <v>1583675.36</v>
      </c>
      <c r="ED35" s="157"/>
      <c r="EE35" s="171">
        <v>1623983.48</v>
      </c>
      <c r="EF35" s="157"/>
      <c r="EG35" s="171">
        <v>1666464.25</v>
      </c>
      <c r="EH35" s="157"/>
      <c r="EI35" s="171">
        <v>1708945.53</v>
      </c>
      <c r="EJ35" s="157"/>
      <c r="EK35" s="171">
        <v>1743627.2400000002</v>
      </c>
      <c r="EL35" s="157"/>
      <c r="EM35" s="171">
        <v>1785946.1099999999</v>
      </c>
      <c r="EN35" s="157"/>
      <c r="EO35" s="171">
        <v>1758054.68</v>
      </c>
      <c r="EP35" s="157"/>
      <c r="EQ35" s="171">
        <v>1676962.31</v>
      </c>
      <c r="ER35" s="157"/>
      <c r="ES35" s="171">
        <v>1715533.16</v>
      </c>
      <c r="ET35" s="157"/>
      <c r="EU35" s="171">
        <v>1596171.3599999999</v>
      </c>
      <c r="EV35" s="157"/>
      <c r="EW35" s="171">
        <v>1519362.04</v>
      </c>
      <c r="EX35" s="157"/>
      <c r="EY35" s="171">
        <v>1486671</v>
      </c>
      <c r="EZ35" s="157"/>
      <c r="FA35" s="171">
        <v>1304457.2999999998</v>
      </c>
      <c r="FB35" s="157"/>
      <c r="FC35" s="171">
        <v>1036892.3799999999</v>
      </c>
      <c r="FD35" s="157"/>
      <c r="FE35" s="171">
        <v>964220.92999999993</v>
      </c>
      <c r="FF35" s="157"/>
      <c r="FG35" s="171">
        <v>257715.78</v>
      </c>
      <c r="FH35" s="157"/>
      <c r="FI35" s="171">
        <v>230614.01</v>
      </c>
      <c r="FJ35" s="157"/>
      <c r="FK35" s="171">
        <v>218496.12</v>
      </c>
      <c r="FL35" s="157"/>
      <c r="FM35" s="171">
        <v>225522.38</v>
      </c>
      <c r="FN35" s="157"/>
      <c r="FO35" s="171">
        <v>232548.56</v>
      </c>
      <c r="FP35" s="157"/>
      <c r="FQ35" s="171">
        <v>243255.68999999997</v>
      </c>
      <c r="FR35" s="157"/>
      <c r="FS35" s="171">
        <v>252302.75</v>
      </c>
      <c r="FT35" s="157"/>
      <c r="FU35" s="171">
        <v>238689.88</v>
      </c>
      <c r="FV35" s="157"/>
      <c r="FW35" s="171">
        <v>249143.53000000003</v>
      </c>
      <c r="FX35" s="157"/>
      <c r="FY35" s="171">
        <v>250879.43</v>
      </c>
      <c r="FZ35" s="157"/>
      <c r="GA35" s="171">
        <v>257719.40999999997</v>
      </c>
      <c r="GB35" s="157"/>
      <c r="GC35" s="171">
        <v>268217.21000000002</v>
      </c>
      <c r="GD35" s="157"/>
      <c r="GE35" s="171">
        <v>271016</v>
      </c>
      <c r="GF35" s="157"/>
      <c r="GG35" s="171">
        <v>258914.46999999997</v>
      </c>
      <c r="GH35" s="166"/>
      <c r="GI35" s="171">
        <v>238897.87</v>
      </c>
      <c r="GJ35" s="172"/>
      <c r="GK35" s="171">
        <v>223731.56</v>
      </c>
      <c r="GL35" s="172"/>
      <c r="GM35" s="171">
        <v>242826.23</v>
      </c>
      <c r="GN35" s="172"/>
      <c r="GO35" s="171">
        <v>207900.57</v>
      </c>
      <c r="GP35" s="172"/>
      <c r="GQ35" s="171">
        <v>214084.53999999998</v>
      </c>
    </row>
    <row r="36" spans="1:199" ht="9" customHeight="1" thickBot="1">
      <c r="A36" s="158"/>
      <c r="B36" s="157"/>
      <c r="C36" s="501"/>
      <c r="D36" s="410"/>
      <c r="E36" s="501"/>
      <c r="F36" s="410"/>
      <c r="G36" s="501"/>
      <c r="H36" s="410"/>
      <c r="I36" s="501"/>
      <c r="J36" s="410"/>
      <c r="K36" s="501"/>
      <c r="L36" s="410"/>
      <c r="M36" s="501"/>
      <c r="N36" s="410"/>
      <c r="O36" s="501"/>
      <c r="P36" s="410"/>
      <c r="Q36" s="501"/>
      <c r="R36" s="410"/>
      <c r="S36" s="501"/>
      <c r="T36" s="410"/>
      <c r="U36" s="501"/>
      <c r="V36" s="410"/>
      <c r="W36" s="825"/>
      <c r="X36" s="410"/>
      <c r="Y36" s="501"/>
      <c r="Z36" s="410"/>
      <c r="AA36" s="501"/>
      <c r="AB36" s="410"/>
      <c r="AC36" s="501"/>
      <c r="AD36" s="410"/>
      <c r="AE36" s="501"/>
      <c r="AF36" s="410"/>
      <c r="AG36" s="501"/>
      <c r="AH36" s="410"/>
      <c r="AI36" s="501"/>
      <c r="AJ36" s="410"/>
      <c r="AK36" s="501"/>
      <c r="AL36" s="410"/>
      <c r="AM36" s="501"/>
      <c r="AN36" s="410"/>
      <c r="AO36" s="501"/>
      <c r="AP36" s="410"/>
      <c r="AQ36" s="501"/>
      <c r="AR36" s="410"/>
      <c r="AS36" s="501"/>
      <c r="AT36" s="410"/>
      <c r="AU36" s="825"/>
      <c r="AV36" s="410"/>
      <c r="AW36" s="501"/>
      <c r="AX36" s="410"/>
      <c r="AY36" s="501"/>
      <c r="AZ36" s="410"/>
      <c r="BA36" s="501"/>
      <c r="BB36" s="410"/>
      <c r="BC36" s="501"/>
      <c r="BD36" s="410"/>
      <c r="BE36" s="501"/>
      <c r="BF36" s="410"/>
      <c r="BG36" s="511"/>
      <c r="BH36" s="410"/>
      <c r="BI36" s="501"/>
      <c r="BJ36" s="410"/>
      <c r="BK36" s="501"/>
      <c r="BL36" s="410"/>
      <c r="BM36" s="501"/>
      <c r="BN36" s="410"/>
      <c r="BO36" s="501"/>
      <c r="BP36" s="410"/>
      <c r="BQ36" s="501"/>
      <c r="BR36" s="410"/>
      <c r="BS36" s="825"/>
      <c r="BT36" s="410"/>
      <c r="BU36" s="501"/>
      <c r="BV36" s="410"/>
      <c r="BW36" s="157"/>
      <c r="BX36" s="410"/>
      <c r="BY36" s="157"/>
      <c r="BZ36" s="410"/>
      <c r="CA36" s="157"/>
      <c r="CB36" s="410"/>
      <c r="CC36" s="157"/>
      <c r="CD36" s="410"/>
      <c r="CE36" s="157"/>
      <c r="CF36" s="410"/>
      <c r="CG36" s="157"/>
      <c r="CH36" s="410"/>
      <c r="CI36" s="157"/>
      <c r="CJ36" s="410"/>
      <c r="CK36" s="157"/>
      <c r="CL36" s="410"/>
      <c r="CM36" s="157"/>
      <c r="CN36" s="410"/>
      <c r="CO36" s="157"/>
      <c r="CP36" s="410"/>
      <c r="CQ36" s="157"/>
      <c r="CR36" s="410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157"/>
      <c r="DQ36" s="157"/>
      <c r="DR36" s="157"/>
      <c r="DS36" s="157"/>
      <c r="DT36" s="157"/>
      <c r="DU36" s="157"/>
      <c r="DV36" s="157"/>
      <c r="DW36" s="157"/>
      <c r="DX36" s="157"/>
      <c r="DY36" s="157"/>
      <c r="DZ36" s="157"/>
      <c r="EA36" s="157"/>
      <c r="EB36" s="157"/>
      <c r="EC36" s="157"/>
      <c r="ED36" s="157"/>
      <c r="EE36" s="157"/>
      <c r="EF36" s="157"/>
      <c r="EG36" s="157"/>
      <c r="EH36" s="157"/>
      <c r="EI36" s="157"/>
      <c r="EJ36" s="157"/>
      <c r="EK36" s="157"/>
      <c r="EL36" s="157"/>
      <c r="EM36" s="157"/>
      <c r="EN36" s="157"/>
      <c r="EO36" s="157"/>
      <c r="EP36" s="157"/>
      <c r="EQ36" s="157"/>
      <c r="ER36" s="157"/>
      <c r="ES36" s="157"/>
      <c r="ET36" s="157"/>
      <c r="EU36" s="157"/>
      <c r="EV36" s="157"/>
      <c r="EW36" s="157"/>
      <c r="EX36" s="157"/>
      <c r="EY36" s="157"/>
      <c r="EZ36" s="157"/>
      <c r="FA36" s="157"/>
      <c r="FB36" s="157"/>
      <c r="FC36" s="157"/>
      <c r="FD36" s="157"/>
      <c r="FE36" s="157"/>
      <c r="FF36" s="157"/>
      <c r="FG36" s="157"/>
      <c r="FH36" s="157"/>
      <c r="FI36" s="157"/>
      <c r="FJ36" s="157"/>
      <c r="FK36" s="157"/>
      <c r="FL36" s="157"/>
      <c r="FM36" s="157"/>
      <c r="FN36" s="157"/>
      <c r="FO36" s="157"/>
      <c r="FP36" s="157"/>
      <c r="FQ36" s="157"/>
      <c r="FR36" s="157"/>
      <c r="FS36" s="157"/>
      <c r="FT36" s="157"/>
      <c r="FU36" s="157"/>
      <c r="FV36" s="157"/>
      <c r="FW36" s="157"/>
      <c r="FX36" s="157"/>
      <c r="FY36" s="157"/>
      <c r="FZ36" s="157"/>
      <c r="GA36" s="157"/>
      <c r="GB36" s="157"/>
      <c r="GC36" s="157"/>
      <c r="GD36" s="157"/>
      <c r="GE36" s="157"/>
      <c r="GF36" s="157"/>
      <c r="GG36" s="157"/>
      <c r="GH36" s="166"/>
      <c r="GI36" s="157"/>
      <c r="GJ36" s="157"/>
      <c r="GK36" s="157"/>
      <c r="GL36" s="157"/>
      <c r="GM36" s="157"/>
      <c r="GN36" s="157"/>
      <c r="GO36" s="157"/>
      <c r="GP36" s="157"/>
      <c r="GQ36" s="157"/>
    </row>
    <row r="37" spans="1:199" ht="14.25" customHeight="1" thickBot="1">
      <c r="A37" s="163">
        <v>4</v>
      </c>
      <c r="B37" s="164" t="s">
        <v>145</v>
      </c>
      <c r="C37" s="992"/>
      <c r="D37" s="176"/>
      <c r="E37" s="992"/>
      <c r="F37" s="176"/>
      <c r="G37" s="992"/>
      <c r="H37" s="176"/>
      <c r="I37" s="992"/>
      <c r="J37" s="176"/>
      <c r="K37" s="992"/>
      <c r="L37" s="176"/>
      <c r="M37" s="992"/>
      <c r="N37" s="176"/>
      <c r="O37" s="992"/>
      <c r="P37" s="176"/>
      <c r="Q37" s="992"/>
      <c r="R37" s="176"/>
      <c r="S37" s="992"/>
      <c r="T37" s="176"/>
      <c r="U37" s="992"/>
      <c r="V37" s="176"/>
      <c r="W37" s="992"/>
      <c r="X37" s="176"/>
      <c r="Y37" s="992"/>
      <c r="Z37" s="176"/>
      <c r="AA37" s="992"/>
      <c r="AB37" s="176"/>
      <c r="AC37" s="992"/>
      <c r="AD37" s="176"/>
      <c r="AE37" s="641"/>
      <c r="AF37" s="176"/>
      <c r="AG37" s="641"/>
      <c r="AH37" s="176"/>
      <c r="AI37" s="641"/>
      <c r="AJ37" s="176"/>
      <c r="AK37" s="641"/>
      <c r="AL37" s="176"/>
      <c r="AM37" s="641"/>
      <c r="AN37" s="176"/>
      <c r="AO37" s="641"/>
      <c r="AP37" s="176"/>
      <c r="AQ37" s="641"/>
      <c r="AR37" s="176"/>
      <c r="AS37" s="641"/>
      <c r="AT37" s="176"/>
      <c r="AU37" s="992"/>
      <c r="AV37" s="176"/>
      <c r="AW37" s="641"/>
      <c r="AX37" s="176"/>
      <c r="AY37" s="641"/>
      <c r="AZ37" s="176"/>
      <c r="BA37" s="641"/>
      <c r="BB37" s="176"/>
      <c r="BC37" s="641"/>
      <c r="BD37" s="176"/>
      <c r="BE37" s="641"/>
      <c r="BF37" s="176"/>
      <c r="BG37" s="828"/>
      <c r="BH37" s="176"/>
      <c r="BI37" s="641"/>
      <c r="BJ37" s="176"/>
      <c r="BK37" s="641"/>
      <c r="BL37" s="176"/>
      <c r="BM37" s="641"/>
      <c r="BN37" s="176"/>
      <c r="BO37" s="641"/>
      <c r="BP37" s="176"/>
      <c r="BQ37" s="641"/>
      <c r="BR37" s="176"/>
      <c r="BS37" s="992"/>
      <c r="BT37" s="176"/>
      <c r="BU37" s="641"/>
      <c r="BV37" s="176"/>
      <c r="BW37" s="176"/>
      <c r="BX37" s="176"/>
      <c r="BY37" s="176"/>
      <c r="BZ37" s="176"/>
      <c r="CA37" s="176"/>
      <c r="CB37" s="176"/>
      <c r="CC37" s="176"/>
      <c r="CD37" s="176"/>
      <c r="CE37" s="176"/>
      <c r="CF37" s="176"/>
      <c r="CG37" s="176"/>
      <c r="CH37" s="176"/>
      <c r="CI37" s="176"/>
      <c r="CJ37" s="411"/>
      <c r="CK37" s="176"/>
      <c r="CL37" s="411"/>
      <c r="CM37" s="176"/>
      <c r="CN37" s="411"/>
      <c r="CO37" s="176"/>
      <c r="CP37" s="411"/>
      <c r="CQ37" s="176"/>
      <c r="CR37" s="411"/>
      <c r="CS37" s="176"/>
      <c r="CT37" s="164"/>
      <c r="CU37" s="176"/>
      <c r="CV37" s="164"/>
      <c r="CW37" s="164"/>
      <c r="CX37" s="164"/>
      <c r="CY37" s="164"/>
      <c r="CZ37" s="164"/>
      <c r="DA37" s="164"/>
      <c r="DB37" s="164"/>
      <c r="DC37" s="164"/>
      <c r="DD37" s="164"/>
      <c r="DE37" s="164"/>
      <c r="DF37" s="164"/>
      <c r="DG37" s="164"/>
      <c r="DH37" s="164"/>
      <c r="DI37" s="164"/>
      <c r="DJ37" s="164"/>
      <c r="DK37" s="164"/>
      <c r="DL37" s="164"/>
      <c r="DM37" s="164"/>
      <c r="DN37" s="164"/>
      <c r="DO37" s="164"/>
      <c r="DP37" s="164"/>
      <c r="DQ37" s="164"/>
      <c r="DR37" s="164"/>
      <c r="DS37" s="164"/>
      <c r="DT37" s="164"/>
      <c r="DU37" s="164"/>
      <c r="DV37" s="164"/>
      <c r="DW37" s="164"/>
      <c r="DX37" s="164"/>
      <c r="DY37" s="164"/>
      <c r="DZ37" s="164"/>
      <c r="EA37" s="164"/>
      <c r="EB37" s="164"/>
      <c r="EC37" s="164"/>
      <c r="ED37" s="164"/>
      <c r="EE37" s="164"/>
      <c r="EF37" s="164"/>
      <c r="EG37" s="164"/>
      <c r="EH37" s="164"/>
      <c r="EI37" s="164"/>
      <c r="EJ37" s="164"/>
      <c r="EK37" s="164"/>
      <c r="EL37" s="164"/>
      <c r="EM37" s="164"/>
      <c r="EN37" s="164"/>
      <c r="EO37" s="164"/>
      <c r="EP37" s="164"/>
      <c r="EQ37" s="164"/>
      <c r="ER37" s="164"/>
      <c r="ES37" s="164"/>
      <c r="ET37" s="164"/>
      <c r="EU37" s="164"/>
      <c r="EV37" s="164"/>
      <c r="EW37" s="164"/>
      <c r="EX37" s="164"/>
      <c r="EY37" s="164"/>
      <c r="EZ37" s="164"/>
      <c r="FA37" s="164"/>
      <c r="FB37" s="164"/>
      <c r="FC37" s="164"/>
      <c r="FD37" s="164"/>
      <c r="FE37" s="164"/>
      <c r="FF37" s="164"/>
      <c r="FG37" s="164"/>
      <c r="FH37" s="164"/>
      <c r="FI37" s="164"/>
      <c r="FJ37" s="164"/>
      <c r="FK37" s="164"/>
      <c r="FL37" s="164"/>
      <c r="FM37" s="164"/>
      <c r="FN37" s="164"/>
      <c r="FO37" s="164"/>
      <c r="FP37" s="164"/>
      <c r="FQ37" s="164"/>
      <c r="FR37" s="164"/>
      <c r="FS37" s="164"/>
      <c r="FT37" s="164"/>
      <c r="FU37" s="164"/>
      <c r="FV37" s="164"/>
      <c r="FW37" s="164"/>
      <c r="FX37" s="164"/>
      <c r="FY37" s="164"/>
      <c r="FZ37" s="164"/>
      <c r="GA37" s="164"/>
      <c r="GB37" s="164"/>
      <c r="GC37" s="164"/>
      <c r="GD37" s="164"/>
      <c r="GE37" s="164"/>
      <c r="GF37" s="164"/>
      <c r="GG37" s="164"/>
      <c r="GH37" s="176"/>
      <c r="GI37" s="164"/>
      <c r="GJ37" s="164"/>
      <c r="GK37" s="164"/>
      <c r="GL37" s="164"/>
      <c r="GM37" s="164"/>
      <c r="GN37" s="164"/>
      <c r="GO37" s="164"/>
      <c r="GP37" s="164"/>
      <c r="GQ37" s="164"/>
    </row>
    <row r="38" spans="1:199" ht="14.25" customHeight="1" thickBot="1">
      <c r="A38" s="158"/>
      <c r="B38" s="157" t="s">
        <v>145</v>
      </c>
      <c r="C38" s="989">
        <f>SUM(C39:C40)</f>
        <v>243719885.13</v>
      </c>
      <c r="D38" s="448"/>
      <c r="E38" s="989">
        <f>SUM(E39:E40)</f>
        <v>240249341.21000001</v>
      </c>
      <c r="F38" s="448"/>
      <c r="G38" s="989">
        <f>SUM(G39:G40)</f>
        <v>236876444.79000002</v>
      </c>
      <c r="H38" s="448"/>
      <c r="I38" s="989">
        <f>SUM(I39:I40)</f>
        <v>233144951.15000001</v>
      </c>
      <c r="J38" s="448"/>
      <c r="K38" s="989">
        <f>SUM(K39:K40)</f>
        <v>229492961.88999999</v>
      </c>
      <c r="L38" s="448"/>
      <c r="M38" s="989">
        <f>SUM(M39:M40)</f>
        <v>225523168.09</v>
      </c>
      <c r="N38" s="448"/>
      <c r="O38" s="989">
        <v>220818284.55000001</v>
      </c>
      <c r="P38" s="448"/>
      <c r="Q38" s="989">
        <f>SUM(Q39:Q40)</f>
        <v>216521451.74000001</v>
      </c>
      <c r="R38" s="448"/>
      <c r="S38" s="989">
        <f>SUM(S39:S40)</f>
        <v>211982882.13</v>
      </c>
      <c r="T38" s="448"/>
      <c r="U38" s="989">
        <f>SUM(U39:U40)</f>
        <v>206935012.41000003</v>
      </c>
      <c r="V38" s="448"/>
      <c r="W38" s="989">
        <v>201666415.27000001</v>
      </c>
      <c r="X38" s="448"/>
      <c r="Y38" s="989">
        <v>197993335.94</v>
      </c>
      <c r="Z38" s="448"/>
      <c r="AA38" s="989">
        <v>193419717</v>
      </c>
      <c r="AB38" s="448"/>
      <c r="AC38" s="989">
        <f>SUM(AC39:AC40)</f>
        <v>189652752.28</v>
      </c>
      <c r="AD38" s="448"/>
      <c r="AE38" s="638">
        <f>SUM(AE39:AE40)</f>
        <v>184298431.86000001</v>
      </c>
      <c r="AF38" s="448"/>
      <c r="AG38" s="638">
        <f>SUM(AG39:AG40)</f>
        <v>179925516.44999999</v>
      </c>
      <c r="AH38" s="448"/>
      <c r="AI38" s="638">
        <v>175371993.75999999</v>
      </c>
      <c r="AJ38" s="448"/>
      <c r="AK38" s="638">
        <v>170448593.31999999</v>
      </c>
      <c r="AL38" s="448"/>
      <c r="AM38" s="638">
        <v>165211885.85000002</v>
      </c>
      <c r="AN38" s="448"/>
      <c r="AO38" s="638">
        <v>159143181.31</v>
      </c>
      <c r="AP38" s="448"/>
      <c r="AQ38" s="638">
        <v>151845881.75</v>
      </c>
      <c r="AR38" s="448"/>
      <c r="AS38" s="638">
        <v>145783116</v>
      </c>
      <c r="AT38" s="448"/>
      <c r="AU38" s="989">
        <v>140711030.56999999</v>
      </c>
      <c r="AV38" s="410"/>
      <c r="AW38" s="638">
        <v>135816474.53</v>
      </c>
      <c r="AX38" s="410"/>
      <c r="AY38" s="638">
        <v>130873904.81</v>
      </c>
      <c r="AZ38" s="410"/>
      <c r="BA38" s="638">
        <v>126839835.34999999</v>
      </c>
      <c r="BB38" s="410"/>
      <c r="BC38" s="638">
        <v>121238517.2</v>
      </c>
      <c r="BD38" s="410"/>
      <c r="BE38" s="638">
        <v>115964821.8</v>
      </c>
      <c r="BF38" s="410"/>
      <c r="BG38" s="830">
        <v>111307714.02</v>
      </c>
      <c r="BH38" s="410"/>
      <c r="BI38" s="638">
        <v>107435220.78999999</v>
      </c>
      <c r="BJ38" s="410"/>
      <c r="BK38" s="638">
        <v>104471077.31999999</v>
      </c>
      <c r="BL38" s="410"/>
      <c r="BM38" s="638">
        <v>101025542.83000001</v>
      </c>
      <c r="BN38" s="410"/>
      <c r="BO38" s="638">
        <v>96543518.739999995</v>
      </c>
      <c r="BP38" s="410"/>
      <c r="BQ38" s="638">
        <f>SUM(BQ39:BQ40)</f>
        <v>92663889.230000004</v>
      </c>
      <c r="BR38" s="410"/>
      <c r="BS38" s="989">
        <v>88727261.060000002</v>
      </c>
      <c r="BT38" s="410"/>
      <c r="BU38" s="638">
        <f>SUM(BU39:BU40)</f>
        <v>83685634.200000003</v>
      </c>
      <c r="BV38" s="410"/>
      <c r="BW38" s="172">
        <v>78915819.230000004</v>
      </c>
      <c r="BX38" s="410"/>
      <c r="BY38" s="172">
        <v>75612645.370000005</v>
      </c>
      <c r="BZ38" s="410"/>
      <c r="CA38" s="172">
        <v>71400475.489999995</v>
      </c>
      <c r="CB38" s="410"/>
      <c r="CC38" s="172">
        <v>67022955.030000001</v>
      </c>
      <c r="CD38" s="410"/>
      <c r="CE38" s="172">
        <v>62603791.009999998</v>
      </c>
      <c r="CF38" s="410"/>
      <c r="CG38" s="172">
        <v>58440631.030000001</v>
      </c>
      <c r="CH38" s="410"/>
      <c r="CI38" s="172">
        <v>54568890.82</v>
      </c>
      <c r="CJ38" s="410"/>
      <c r="CK38" s="172">
        <v>51398241</v>
      </c>
      <c r="CL38" s="410"/>
      <c r="CM38" s="172">
        <f>SUM(CM39:CM40)</f>
        <v>43737340.039999999</v>
      </c>
      <c r="CN38" s="410"/>
      <c r="CO38" s="172">
        <v>41061883.649999999</v>
      </c>
      <c r="CP38" s="410"/>
      <c r="CQ38" s="172">
        <v>38811348.850000001</v>
      </c>
      <c r="CR38" s="410"/>
      <c r="CS38" s="172">
        <v>36084236.849999994</v>
      </c>
      <c r="CT38" s="157"/>
      <c r="CU38" s="184">
        <v>35307630.659999996</v>
      </c>
      <c r="CV38" s="157"/>
      <c r="CW38" s="184">
        <v>32620504</v>
      </c>
      <c r="CX38" s="157"/>
      <c r="CY38" s="172">
        <v>30209806.879999999</v>
      </c>
      <c r="CZ38" s="157"/>
      <c r="DA38" s="172">
        <v>28381128.82</v>
      </c>
      <c r="DB38" s="157"/>
      <c r="DC38" s="172">
        <v>25870093.640000001</v>
      </c>
      <c r="DD38" s="157"/>
      <c r="DE38" s="172">
        <v>24719196.559999999</v>
      </c>
      <c r="DF38" s="157"/>
      <c r="DG38" s="172">
        <v>23260616.170000002</v>
      </c>
      <c r="DH38" s="157"/>
      <c r="DI38" s="172">
        <v>22376595.800000001</v>
      </c>
      <c r="DJ38" s="157"/>
      <c r="DK38" s="172">
        <v>21474044.329999998</v>
      </c>
      <c r="DL38" s="157"/>
      <c r="DM38" s="172">
        <v>20450141.66</v>
      </c>
      <c r="DN38" s="157"/>
      <c r="DO38" s="172">
        <v>19550369.579999998</v>
      </c>
      <c r="DP38" s="157"/>
      <c r="DQ38" s="172">
        <v>18337475.210000001</v>
      </c>
      <c r="DR38" s="157"/>
      <c r="DS38" s="172">
        <v>15307605.939999999</v>
      </c>
      <c r="DT38" s="157"/>
      <c r="DU38" s="172">
        <v>14658096</v>
      </c>
      <c r="DV38" s="157"/>
      <c r="DW38" s="172">
        <v>14042893.98</v>
      </c>
      <c r="DX38" s="157"/>
      <c r="DY38" s="172">
        <v>13551775.57</v>
      </c>
      <c r="DZ38" s="157"/>
      <c r="EA38" s="172">
        <v>12949933.119999999</v>
      </c>
      <c r="EB38" s="157"/>
      <c r="EC38" s="172">
        <v>12323481.109999999</v>
      </c>
      <c r="ED38" s="157"/>
      <c r="EE38" s="172">
        <v>11821447.77</v>
      </c>
      <c r="EF38" s="157"/>
      <c r="EG38" s="172">
        <v>11113705.6</v>
      </c>
      <c r="EH38" s="157"/>
      <c r="EI38" s="172">
        <v>10446801.51</v>
      </c>
      <c r="EJ38" s="157"/>
      <c r="EK38" s="172">
        <v>9818326.7200000007</v>
      </c>
      <c r="EL38" s="157"/>
      <c r="EM38" s="172">
        <v>9169258.2599999998</v>
      </c>
      <c r="EN38" s="157"/>
      <c r="EO38" s="172">
        <v>8818624.1099999994</v>
      </c>
      <c r="EP38" s="157"/>
      <c r="EQ38" s="172">
        <v>8485966.7699999996</v>
      </c>
      <c r="ER38" s="157"/>
      <c r="ES38" s="172">
        <v>8147211.29</v>
      </c>
      <c r="ET38" s="157"/>
      <c r="EU38" s="172">
        <v>7843565.5099999998</v>
      </c>
      <c r="EV38" s="157"/>
      <c r="EW38" s="172">
        <v>7543940.3499999996</v>
      </c>
      <c r="EX38" s="157"/>
      <c r="EY38" s="172">
        <v>7249951.3600000003</v>
      </c>
      <c r="EZ38" s="157"/>
      <c r="FA38" s="172">
        <v>6907979.3399999999</v>
      </c>
      <c r="FB38" s="157"/>
      <c r="FC38" s="172">
        <v>6604711.8099999996</v>
      </c>
      <c r="FD38" s="157"/>
      <c r="FE38" s="172">
        <v>6417919.1500000004</v>
      </c>
      <c r="FF38" s="157"/>
      <c r="FG38" s="172">
        <v>6275150.3399999999</v>
      </c>
      <c r="FH38" s="157"/>
      <c r="FI38" s="172">
        <v>6128325.4699999997</v>
      </c>
      <c r="FJ38" s="157"/>
      <c r="FK38" s="172">
        <v>5976412.0300000003</v>
      </c>
      <c r="FL38" s="157"/>
      <c r="FM38" s="172">
        <v>5864773.5599999996</v>
      </c>
      <c r="FN38" s="157"/>
      <c r="FO38" s="172">
        <v>5748939.4100000001</v>
      </c>
      <c r="FP38" s="157"/>
      <c r="FQ38" s="172">
        <v>5553258.0199999996</v>
      </c>
      <c r="FR38" s="157"/>
      <c r="FS38" s="172">
        <v>5398684.7999999998</v>
      </c>
      <c r="FT38" s="157"/>
      <c r="FU38" s="172">
        <v>5198742.53</v>
      </c>
      <c r="FV38" s="157"/>
      <c r="FW38" s="172">
        <v>5052423.1100000003</v>
      </c>
      <c r="FX38" s="157"/>
      <c r="FY38" s="172">
        <v>4860832.1499999994</v>
      </c>
      <c r="FZ38" s="157"/>
      <c r="GA38" s="172">
        <v>4639370.41</v>
      </c>
      <c r="GB38" s="157"/>
      <c r="GC38" s="172">
        <v>4435762.7300000004</v>
      </c>
      <c r="GD38" s="157"/>
      <c r="GE38" s="172">
        <v>4189326</v>
      </c>
      <c r="GF38" s="157"/>
      <c r="GG38" s="172">
        <v>4047618.99</v>
      </c>
      <c r="GH38" s="157"/>
      <c r="GI38" s="172">
        <v>3896351.25</v>
      </c>
      <c r="GJ38" s="157"/>
      <c r="GK38" s="172">
        <v>3726322.34</v>
      </c>
      <c r="GL38" s="157"/>
      <c r="GM38" s="172">
        <v>3530295.23</v>
      </c>
      <c r="GN38" s="157"/>
      <c r="GO38" s="172">
        <v>3339391.37</v>
      </c>
      <c r="GP38" s="157"/>
      <c r="GQ38" s="172">
        <v>3163886.88</v>
      </c>
    </row>
    <row r="39" spans="1:199" ht="14.25" customHeight="1">
      <c r="A39" s="158"/>
      <c r="B39" s="185" t="s">
        <v>315</v>
      </c>
      <c r="C39" s="419">
        <v>88074781.930000007</v>
      </c>
      <c r="D39" s="795"/>
      <c r="E39" s="419">
        <v>86064685.030000001</v>
      </c>
      <c r="F39" s="795"/>
      <c r="G39" s="419">
        <v>84099184.24000001</v>
      </c>
      <c r="H39" s="795"/>
      <c r="I39" s="419">
        <v>82390081.349999994</v>
      </c>
      <c r="J39" s="795"/>
      <c r="K39" s="419">
        <v>80572408.189999998</v>
      </c>
      <c r="L39" s="795"/>
      <c r="M39" s="419">
        <v>78654449.870000005</v>
      </c>
      <c r="N39" s="795"/>
      <c r="O39" s="419">
        <v>76204659.609999999</v>
      </c>
      <c r="P39" s="795"/>
      <c r="Q39" s="419">
        <v>73490483.879999995</v>
      </c>
      <c r="R39" s="795"/>
      <c r="S39" s="419">
        <v>70886692.299999997</v>
      </c>
      <c r="T39" s="795"/>
      <c r="U39" s="419">
        <v>68661485.299999997</v>
      </c>
      <c r="V39" s="795"/>
      <c r="W39" s="419">
        <v>65847677</v>
      </c>
      <c r="X39" s="795"/>
      <c r="Y39" s="419">
        <v>63938563.600000001</v>
      </c>
      <c r="Z39" s="795"/>
      <c r="AA39" s="419">
        <v>61698089</v>
      </c>
      <c r="AB39" s="795"/>
      <c r="AC39" s="419">
        <v>60066750.710000001</v>
      </c>
      <c r="AD39" s="795"/>
      <c r="AE39" s="186">
        <v>57105529.189999998</v>
      </c>
      <c r="AF39" s="795"/>
      <c r="AG39" s="186">
        <v>56335337.630000003</v>
      </c>
      <c r="AH39" s="795"/>
      <c r="AI39" s="186">
        <v>55045655.880000003</v>
      </c>
      <c r="AJ39" s="795"/>
      <c r="AK39" s="186">
        <v>53769340.140000001</v>
      </c>
      <c r="AL39" s="795"/>
      <c r="AM39" s="186">
        <v>51833162.700000003</v>
      </c>
      <c r="AN39" s="795"/>
      <c r="AO39" s="186">
        <v>52142878.880000003</v>
      </c>
      <c r="AP39" s="795"/>
      <c r="AQ39" s="186">
        <v>52533790.359999999</v>
      </c>
      <c r="AR39" s="795"/>
      <c r="AS39" s="186">
        <v>46006458</v>
      </c>
      <c r="AT39" s="795"/>
      <c r="AU39" s="419">
        <v>45794503.810000002</v>
      </c>
      <c r="AV39" s="795"/>
      <c r="AW39" s="186">
        <v>44932036.640000001</v>
      </c>
      <c r="AX39" s="795"/>
      <c r="AY39" s="186">
        <v>43708692.32</v>
      </c>
      <c r="AZ39" s="795"/>
      <c r="BA39" s="186">
        <v>42759727.600000001</v>
      </c>
      <c r="BB39" s="795"/>
      <c r="BC39" s="186">
        <v>41705159.200000003</v>
      </c>
      <c r="BD39" s="795"/>
      <c r="BE39" s="186">
        <f>BE38-BE40</f>
        <v>40343995.799999997</v>
      </c>
      <c r="BF39" s="795"/>
      <c r="BG39" s="186">
        <f>BG38-BG40</f>
        <v>39203674.019999996</v>
      </c>
      <c r="BH39" s="795"/>
      <c r="BI39" s="186">
        <v>33850890.959999993</v>
      </c>
      <c r="BJ39" s="795"/>
      <c r="BK39" s="186">
        <v>34119480.569999993</v>
      </c>
      <c r="BL39" s="795"/>
      <c r="BM39" s="186">
        <v>34131320.110000014</v>
      </c>
      <c r="BN39" s="413"/>
      <c r="BO39" s="186">
        <f>BO38-BO40</f>
        <v>32748405.149457142</v>
      </c>
      <c r="BP39" s="413"/>
      <c r="BQ39" s="186">
        <f>92663889.23-BQ40</f>
        <v>31711281.802050129</v>
      </c>
      <c r="BR39" s="413"/>
      <c r="BS39" s="419">
        <v>30689127.980000004</v>
      </c>
      <c r="BT39" s="413"/>
      <c r="BU39" s="186">
        <f>83685634.2-BU40</f>
        <v>29478291.773987949</v>
      </c>
      <c r="BV39" s="413"/>
      <c r="BW39" s="419">
        <v>24985031.536617525</v>
      </c>
      <c r="BX39" s="413"/>
      <c r="BY39" s="419">
        <v>24152483.430275157</v>
      </c>
      <c r="BZ39" s="413"/>
      <c r="CA39" s="419">
        <v>26413129.181600958</v>
      </c>
      <c r="CB39" s="413"/>
      <c r="CC39" s="419">
        <v>24901878.82</v>
      </c>
      <c r="CD39" s="413"/>
      <c r="CE39" s="419">
        <v>24320050.512305059</v>
      </c>
      <c r="CF39" s="413"/>
      <c r="CG39" s="419">
        <v>23617995.402140535</v>
      </c>
      <c r="CH39" s="413"/>
      <c r="CI39" s="419">
        <v>23126644.460000001</v>
      </c>
      <c r="CJ39" s="413"/>
      <c r="CK39" s="419">
        <v>22738212</v>
      </c>
      <c r="CL39" s="413"/>
      <c r="CM39" s="419">
        <f>43737340.04-CM40</f>
        <v>22071021.01482496</v>
      </c>
      <c r="CN39" s="413"/>
      <c r="CO39" s="419">
        <f>CO38-CO40</f>
        <v>21703953.459554531</v>
      </c>
      <c r="CP39" s="413"/>
      <c r="CQ39" s="419">
        <f>CQ38-CQ40</f>
        <v>21271432.225823522</v>
      </c>
      <c r="CR39" s="413"/>
      <c r="CS39" s="186">
        <f>CS38-CS40</f>
        <v>20984491.74552884</v>
      </c>
      <c r="CT39" s="157"/>
      <c r="CU39" s="186">
        <f>CW39</f>
        <v>20222117.548301905</v>
      </c>
      <c r="CV39" s="157"/>
      <c r="CW39" s="187">
        <v>20222117.548301905</v>
      </c>
      <c r="CX39" s="157"/>
      <c r="CY39" s="187">
        <f>CY38-CY40</f>
        <v>19650507.538301904</v>
      </c>
      <c r="CZ39" s="157"/>
      <c r="DA39" s="187">
        <f>DA38-DA40</f>
        <v>19004665.009551905</v>
      </c>
      <c r="DB39" s="157"/>
      <c r="DC39" s="187">
        <f>DC38-DC40</f>
        <v>18311435.782311209</v>
      </c>
      <c r="DD39" s="157"/>
      <c r="DE39" s="187">
        <f>DE38-DE40</f>
        <v>17901139.784305334</v>
      </c>
      <c r="DF39" s="157"/>
      <c r="DG39" s="187">
        <f>DG38-DG40</f>
        <v>17594786.278515864</v>
      </c>
      <c r="DH39" s="157"/>
      <c r="DI39" s="187">
        <f>DI38-DI40</f>
        <v>17338714.108515862</v>
      </c>
      <c r="DJ39" s="157"/>
      <c r="DK39" s="187">
        <f>DK38-DK40</f>
        <v>17077563.258888885</v>
      </c>
      <c r="DL39" s="157"/>
      <c r="DM39" s="187">
        <f>DM38-DM40</f>
        <v>16654380.948888889</v>
      </c>
      <c r="DN39" s="157"/>
      <c r="DO39" s="187">
        <v>16209991.199999999</v>
      </c>
      <c r="DP39" s="157"/>
      <c r="DQ39" s="187">
        <v>15719641.830000002</v>
      </c>
      <c r="DR39" s="157"/>
      <c r="DS39" s="187">
        <v>15166465.939999999</v>
      </c>
      <c r="DT39" s="157"/>
      <c r="DU39" s="187">
        <v>14619546</v>
      </c>
      <c r="DV39" s="157"/>
      <c r="DW39" s="187">
        <v>14042893.98</v>
      </c>
      <c r="DX39" s="157"/>
      <c r="DY39" s="187">
        <v>13551775.57</v>
      </c>
      <c r="DZ39" s="157"/>
      <c r="EA39" s="187">
        <v>12949933.119999999</v>
      </c>
      <c r="EB39" s="157"/>
      <c r="EC39" s="187">
        <v>12323481.109999999</v>
      </c>
      <c r="ED39" s="157"/>
      <c r="EE39" s="187">
        <v>11821447.77</v>
      </c>
      <c r="EF39" s="157"/>
      <c r="EG39" s="187">
        <v>11113705.6</v>
      </c>
      <c r="EH39" s="157"/>
      <c r="EI39" s="187">
        <v>10446801.51</v>
      </c>
      <c r="EJ39" s="157"/>
      <c r="EK39" s="187">
        <v>9818326.7200000007</v>
      </c>
      <c r="EL39" s="157"/>
      <c r="EM39" s="187">
        <v>9169258.2599999998</v>
      </c>
      <c r="EN39" s="157"/>
      <c r="EO39" s="187">
        <v>8818624.1099999994</v>
      </c>
      <c r="EP39" s="157"/>
      <c r="EQ39" s="187">
        <v>8485966.7699999996</v>
      </c>
      <c r="ER39" s="157"/>
      <c r="ES39" s="187">
        <v>8147211.29</v>
      </c>
      <c r="ET39" s="157"/>
      <c r="EU39" s="187">
        <v>7843565.5099999998</v>
      </c>
      <c r="EV39" s="157"/>
      <c r="EW39" s="187">
        <v>7543940.3499999996</v>
      </c>
      <c r="EX39" s="157"/>
      <c r="EY39" s="187">
        <v>7249951.3600000003</v>
      </c>
      <c r="EZ39" s="157"/>
      <c r="FA39" s="187">
        <v>6907979.3399999999</v>
      </c>
      <c r="FB39" s="157"/>
      <c r="FC39" s="187">
        <v>6604711.8099999996</v>
      </c>
      <c r="FD39" s="157"/>
      <c r="FE39" s="187">
        <v>6417919.1500000004</v>
      </c>
      <c r="FF39" s="157"/>
      <c r="FG39" s="187">
        <v>6275150.3399999999</v>
      </c>
      <c r="FH39" s="157"/>
      <c r="FI39" s="187">
        <v>6128325.4699999997</v>
      </c>
      <c r="FJ39" s="157"/>
      <c r="FK39" s="187">
        <v>5976412.0300000003</v>
      </c>
      <c r="FL39" s="157"/>
      <c r="FM39" s="187">
        <v>5864773.5599999996</v>
      </c>
      <c r="FN39" s="157"/>
      <c r="FO39" s="187">
        <v>5748939.4100000001</v>
      </c>
      <c r="FP39" s="157"/>
      <c r="FQ39" s="187">
        <v>5553258.0199999996</v>
      </c>
      <c r="FR39" s="157"/>
      <c r="FS39" s="187">
        <v>5398684.7999999998</v>
      </c>
      <c r="FT39" s="157"/>
      <c r="FU39" s="187">
        <v>5198742.53</v>
      </c>
      <c r="FV39" s="157"/>
      <c r="FW39" s="187">
        <v>5052423.1100000003</v>
      </c>
      <c r="FX39" s="157"/>
      <c r="FY39" s="187">
        <v>4860832.1499999994</v>
      </c>
      <c r="FZ39" s="157"/>
      <c r="GA39" s="187">
        <v>4639370.41</v>
      </c>
      <c r="GB39" s="157"/>
      <c r="GC39" s="187">
        <v>4435762.7300000004</v>
      </c>
      <c r="GD39" s="157"/>
      <c r="GE39" s="187">
        <v>4189326</v>
      </c>
      <c r="GF39" s="157"/>
      <c r="GG39" s="187">
        <v>4047618.99</v>
      </c>
      <c r="GH39" s="157"/>
      <c r="GI39" s="187">
        <v>3896351.25</v>
      </c>
      <c r="GJ39" s="157"/>
      <c r="GK39" s="187">
        <v>3726322.34</v>
      </c>
      <c r="GL39" s="157"/>
      <c r="GM39" s="187">
        <v>3530295.23</v>
      </c>
      <c r="GN39" s="157"/>
      <c r="GO39" s="187">
        <v>3339391.37</v>
      </c>
      <c r="GP39" s="157"/>
      <c r="GQ39" s="187">
        <v>3163886.88</v>
      </c>
    </row>
    <row r="40" spans="1:199" ht="14.25" customHeight="1" thickBot="1">
      <c r="A40" s="158"/>
      <c r="B40" s="185" t="s">
        <v>316</v>
      </c>
      <c r="C40" s="570">
        <v>155645103.19999999</v>
      </c>
      <c r="D40" s="795"/>
      <c r="E40" s="570">
        <v>154184656.18000001</v>
      </c>
      <c r="F40" s="795"/>
      <c r="G40" s="570">
        <v>152777260.55000001</v>
      </c>
      <c r="H40" s="795"/>
      <c r="I40" s="570">
        <v>150754869.80000001</v>
      </c>
      <c r="J40" s="795"/>
      <c r="K40" s="570">
        <v>148920553.69999999</v>
      </c>
      <c r="L40" s="795"/>
      <c r="M40" s="570">
        <v>146868718.22</v>
      </c>
      <c r="N40" s="795"/>
      <c r="O40" s="570">
        <v>144613624.94</v>
      </c>
      <c r="P40" s="795"/>
      <c r="Q40" s="570">
        <v>143030967.86000001</v>
      </c>
      <c r="R40" s="795"/>
      <c r="S40" s="570">
        <v>141096189.83000001</v>
      </c>
      <c r="T40" s="795"/>
      <c r="U40" s="570">
        <v>138273527.11000001</v>
      </c>
      <c r="V40" s="795"/>
      <c r="W40" s="570">
        <v>135818738.27000001</v>
      </c>
      <c r="X40" s="795"/>
      <c r="Y40" s="570">
        <v>134054772.34</v>
      </c>
      <c r="Z40" s="795"/>
      <c r="AA40" s="570">
        <v>131721628</v>
      </c>
      <c r="AB40" s="795"/>
      <c r="AC40" s="570">
        <v>129586001.57000001</v>
      </c>
      <c r="AD40" s="795"/>
      <c r="AE40" s="452">
        <v>127192902.67</v>
      </c>
      <c r="AF40" s="795"/>
      <c r="AG40" s="452">
        <v>123590178.81999999</v>
      </c>
      <c r="AH40" s="795"/>
      <c r="AI40" s="452">
        <v>120326337.88</v>
      </c>
      <c r="AJ40" s="795"/>
      <c r="AK40" s="452">
        <v>116679253.18000001</v>
      </c>
      <c r="AL40" s="795"/>
      <c r="AM40" s="452">
        <v>113378723.15000001</v>
      </c>
      <c r="AN40" s="795"/>
      <c r="AO40" s="452">
        <v>107000302.43000001</v>
      </c>
      <c r="AP40" s="795"/>
      <c r="AQ40" s="452">
        <v>99312091.390000001</v>
      </c>
      <c r="AR40" s="795"/>
      <c r="AS40" s="452">
        <v>99776658</v>
      </c>
      <c r="AT40" s="795"/>
      <c r="AU40" s="570">
        <v>94916526.760000005</v>
      </c>
      <c r="AV40" s="795"/>
      <c r="AW40" s="452">
        <v>90884437.890000001</v>
      </c>
      <c r="AX40" s="795"/>
      <c r="AY40" s="452">
        <v>87165212.489999995</v>
      </c>
      <c r="AZ40" s="795"/>
      <c r="BA40" s="452">
        <v>84080107.75</v>
      </c>
      <c r="BB40" s="795"/>
      <c r="BC40" s="452">
        <v>79533358</v>
      </c>
      <c r="BD40" s="795"/>
      <c r="BE40" s="452">
        <v>75620826</v>
      </c>
      <c r="BF40" s="795"/>
      <c r="BG40" s="189">
        <v>72104040</v>
      </c>
      <c r="BH40" s="795"/>
      <c r="BI40" s="452">
        <v>73584329.830317706</v>
      </c>
      <c r="BJ40" s="795"/>
      <c r="BK40" s="452">
        <v>70351596.753441751</v>
      </c>
      <c r="BL40" s="795"/>
      <c r="BM40" s="452">
        <v>66894222.717880122</v>
      </c>
      <c r="BN40" s="413"/>
      <c r="BO40" s="452">
        <v>63795113.590542853</v>
      </c>
      <c r="BP40" s="413"/>
      <c r="BQ40" s="452">
        <v>60952607.427949876</v>
      </c>
      <c r="BR40" s="413"/>
      <c r="BS40" s="570">
        <v>58038133.079999998</v>
      </c>
      <c r="BT40" s="413"/>
      <c r="BU40" s="452">
        <v>54207342.426012054</v>
      </c>
      <c r="BV40" s="413"/>
      <c r="BW40" s="570">
        <v>50625543.582582176</v>
      </c>
      <c r="BX40" s="413"/>
      <c r="BY40" s="570">
        <v>48149885.401768751</v>
      </c>
      <c r="BZ40" s="413"/>
      <c r="CA40" s="570">
        <v>45039671.308399037</v>
      </c>
      <c r="CB40" s="413"/>
      <c r="CC40" s="570">
        <v>42121076.210000001</v>
      </c>
      <c r="CD40" s="413"/>
      <c r="CE40" s="570">
        <v>38283740.497694939</v>
      </c>
      <c r="CF40" s="413"/>
      <c r="CG40" s="452">
        <v>34822635.627859503</v>
      </c>
      <c r="CH40" s="413"/>
      <c r="CI40" s="452">
        <v>31442246.359999999</v>
      </c>
      <c r="CJ40" s="413"/>
      <c r="CK40" s="452">
        <v>28660029</v>
      </c>
      <c r="CL40" s="413"/>
      <c r="CM40" s="452">
        <v>21666319.025175039</v>
      </c>
      <c r="CN40" s="413"/>
      <c r="CO40" s="452">
        <v>19357930.190445468</v>
      </c>
      <c r="CP40" s="413"/>
      <c r="CQ40" s="188">
        <v>17539916.62417648</v>
      </c>
      <c r="CR40" s="413"/>
      <c r="CS40" s="188">
        <v>15099745.104471155</v>
      </c>
      <c r="CT40" s="157"/>
      <c r="CU40" s="189">
        <f>CU38-CU39</f>
        <v>15085513.111698091</v>
      </c>
      <c r="CV40" s="157"/>
      <c r="CW40" s="189">
        <f>CW38-CW39</f>
        <v>12398386.451698095</v>
      </c>
      <c r="CX40" s="157"/>
      <c r="CY40" s="188">
        <v>10559299.341698095</v>
      </c>
      <c r="CZ40" s="157"/>
      <c r="DA40" s="188">
        <v>9376463.8104480952</v>
      </c>
      <c r="DB40" s="157"/>
      <c r="DC40" s="188">
        <v>7558657.857688792</v>
      </c>
      <c r="DD40" s="157"/>
      <c r="DE40" s="188">
        <v>6818056.7756946646</v>
      </c>
      <c r="DF40" s="157"/>
      <c r="DG40" s="188">
        <v>5665829.8914841386</v>
      </c>
      <c r="DH40" s="157"/>
      <c r="DI40" s="188">
        <v>5037881.6914841384</v>
      </c>
      <c r="DJ40" s="157"/>
      <c r="DK40" s="189">
        <v>4396481.071111111</v>
      </c>
      <c r="DL40" s="157"/>
      <c r="DM40" s="189">
        <v>3795760.7111111111</v>
      </c>
      <c r="DN40" s="166"/>
      <c r="DO40" s="189">
        <v>3340378.38</v>
      </c>
      <c r="DP40" s="157"/>
      <c r="DQ40" s="189">
        <v>2617833.38</v>
      </c>
      <c r="DR40" s="157"/>
      <c r="DS40" s="189">
        <v>141140</v>
      </c>
      <c r="DT40" s="157"/>
      <c r="DU40" s="189">
        <v>38550</v>
      </c>
      <c r="DV40" s="166"/>
      <c r="DW40" s="189"/>
      <c r="DX40" s="157"/>
      <c r="DY40" s="189"/>
      <c r="DZ40" s="157"/>
      <c r="EA40" s="189"/>
      <c r="EB40" s="157"/>
      <c r="EC40" s="189"/>
      <c r="ED40" s="166"/>
      <c r="EE40" s="189"/>
      <c r="EF40" s="157"/>
      <c r="EG40" s="189"/>
      <c r="EH40" s="157"/>
      <c r="EI40" s="189"/>
      <c r="EJ40" s="157"/>
      <c r="EK40" s="189"/>
      <c r="EL40" s="157"/>
      <c r="EM40" s="189"/>
      <c r="EN40" s="166"/>
      <c r="EO40" s="189"/>
      <c r="EP40" s="157"/>
      <c r="EQ40" s="189"/>
      <c r="ER40" s="157"/>
      <c r="ES40" s="189"/>
      <c r="ET40" s="157"/>
      <c r="EU40" s="189"/>
      <c r="EV40" s="166"/>
      <c r="EW40" s="189"/>
      <c r="EX40" s="157"/>
      <c r="EY40" s="189"/>
      <c r="EZ40" s="157"/>
      <c r="FA40" s="189"/>
      <c r="FB40" s="157"/>
      <c r="FC40" s="189"/>
      <c r="FD40" s="166"/>
      <c r="FE40" s="189"/>
      <c r="FF40" s="157"/>
      <c r="FG40" s="189"/>
      <c r="FH40" s="157"/>
      <c r="FI40" s="189"/>
      <c r="FJ40" s="157"/>
      <c r="FK40" s="189"/>
      <c r="FL40" s="157"/>
      <c r="FM40" s="189"/>
      <c r="FN40" s="166"/>
      <c r="FO40" s="189"/>
      <c r="FP40" s="157"/>
      <c r="FQ40" s="189"/>
      <c r="FR40" s="157"/>
      <c r="FS40" s="189"/>
      <c r="FT40" s="157"/>
      <c r="FU40" s="189"/>
      <c r="FV40" s="166"/>
      <c r="FW40" s="189"/>
      <c r="FX40" s="157"/>
      <c r="FY40" s="189"/>
      <c r="FZ40" s="157"/>
      <c r="GA40" s="189"/>
      <c r="GB40" s="157"/>
      <c r="GC40" s="189"/>
      <c r="GD40" s="166"/>
      <c r="GE40" s="189"/>
      <c r="GF40" s="157"/>
      <c r="GG40" s="189"/>
      <c r="GH40" s="157"/>
      <c r="GI40" s="189"/>
      <c r="GJ40" s="157"/>
      <c r="GK40" s="189"/>
      <c r="GL40" s="157"/>
      <c r="GM40" s="189"/>
      <c r="GN40" s="157"/>
      <c r="GO40" s="189"/>
      <c r="GP40" s="157"/>
      <c r="GQ40" s="189"/>
    </row>
    <row r="41" spans="1:199" ht="9" customHeight="1" thickBot="1">
      <c r="A41" s="158"/>
      <c r="B41" s="157"/>
      <c r="C41" s="501"/>
      <c r="D41" s="511"/>
      <c r="E41" s="501"/>
      <c r="F41" s="511"/>
      <c r="G41" s="501"/>
      <c r="H41" s="511"/>
      <c r="I41" s="501"/>
      <c r="J41" s="511"/>
      <c r="K41" s="501"/>
      <c r="L41" s="511"/>
      <c r="M41" s="501"/>
      <c r="N41" s="511"/>
      <c r="O41" s="501"/>
      <c r="P41" s="511"/>
      <c r="Q41" s="501"/>
      <c r="R41" s="511"/>
      <c r="S41" s="501"/>
      <c r="T41" s="511"/>
      <c r="U41" s="501"/>
      <c r="V41" s="511"/>
      <c r="W41" s="825"/>
      <c r="X41" s="511"/>
      <c r="Y41" s="501"/>
      <c r="Z41" s="511"/>
      <c r="AA41" s="501"/>
      <c r="AB41" s="511"/>
      <c r="AC41" s="501"/>
      <c r="AD41" s="511"/>
      <c r="AE41" s="501"/>
      <c r="AF41" s="511"/>
      <c r="AG41" s="501"/>
      <c r="AH41" s="511"/>
      <c r="AI41" s="501"/>
      <c r="AJ41" s="511"/>
      <c r="AK41" s="501"/>
      <c r="AL41" s="511"/>
      <c r="AM41" s="501"/>
      <c r="AN41" s="511"/>
      <c r="AO41" s="501"/>
      <c r="AP41" s="511"/>
      <c r="AQ41" s="501"/>
      <c r="AR41" s="511"/>
      <c r="AS41" s="501"/>
      <c r="AT41" s="511"/>
      <c r="AU41" s="825"/>
      <c r="AV41" s="511"/>
      <c r="AW41" s="501"/>
      <c r="AX41" s="511"/>
      <c r="AY41" s="501"/>
      <c r="AZ41" s="511"/>
      <c r="BA41" s="501"/>
      <c r="BB41" s="511"/>
      <c r="BC41" s="501"/>
      <c r="BD41" s="511"/>
      <c r="BE41" s="501"/>
      <c r="BF41" s="511"/>
      <c r="BG41" s="511"/>
      <c r="BH41" s="511"/>
      <c r="BI41" s="501"/>
      <c r="BJ41" s="511"/>
      <c r="BK41" s="501"/>
      <c r="BL41" s="511"/>
      <c r="BM41" s="501"/>
      <c r="BN41" s="410"/>
      <c r="BO41" s="501"/>
      <c r="BP41" s="410"/>
      <c r="BQ41" s="501"/>
      <c r="BR41" s="410"/>
      <c r="BS41" s="825"/>
      <c r="BT41" s="410"/>
      <c r="BU41" s="501"/>
      <c r="BV41" s="410"/>
      <c r="BW41" s="157"/>
      <c r="BX41" s="410"/>
      <c r="BY41" s="157"/>
      <c r="BZ41" s="410"/>
      <c r="CA41" s="157"/>
      <c r="CB41" s="410"/>
      <c r="CC41" s="157"/>
      <c r="CD41" s="410"/>
      <c r="CE41" s="157"/>
      <c r="CF41" s="410"/>
      <c r="CG41" s="157"/>
      <c r="CH41" s="410"/>
      <c r="CI41" s="157"/>
      <c r="CJ41" s="410"/>
      <c r="CK41" s="157"/>
      <c r="CL41" s="410"/>
      <c r="CM41" s="157"/>
      <c r="CN41" s="410"/>
      <c r="CO41" s="157"/>
      <c r="CP41" s="410"/>
      <c r="CQ41" s="157"/>
      <c r="CR41" s="410"/>
      <c r="CS41" s="157"/>
      <c r="CT41" s="157"/>
      <c r="CU41" s="157"/>
      <c r="CV41" s="157"/>
      <c r="CW41" s="157"/>
      <c r="CX41" s="157"/>
      <c r="CY41" s="157"/>
      <c r="CZ41" s="157"/>
      <c r="DA41" s="157"/>
      <c r="DB41" s="157"/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  <c r="DM41" s="157"/>
      <c r="DN41" s="157"/>
      <c r="DO41" s="157"/>
      <c r="DP41" s="157"/>
      <c r="DQ41" s="157"/>
      <c r="DR41" s="157"/>
      <c r="DS41" s="157"/>
      <c r="DT41" s="157"/>
      <c r="DU41" s="157"/>
      <c r="DV41" s="157"/>
      <c r="DW41" s="157"/>
      <c r="DX41" s="157"/>
      <c r="DY41" s="157"/>
      <c r="DZ41" s="157"/>
      <c r="EA41" s="157"/>
      <c r="EB41" s="157"/>
      <c r="EC41" s="157"/>
      <c r="ED41" s="157"/>
      <c r="EE41" s="157"/>
      <c r="EF41" s="157"/>
      <c r="EG41" s="157"/>
      <c r="EH41" s="157"/>
      <c r="EI41" s="157"/>
      <c r="EJ41" s="157"/>
      <c r="EK41" s="157"/>
      <c r="EL41" s="157"/>
      <c r="EM41" s="157"/>
      <c r="EN41" s="157"/>
      <c r="EO41" s="157"/>
      <c r="EP41" s="157"/>
      <c r="EQ41" s="157"/>
      <c r="ER41" s="157"/>
      <c r="ES41" s="157"/>
      <c r="ET41" s="157"/>
      <c r="EU41" s="157"/>
      <c r="EV41" s="157"/>
      <c r="EW41" s="157"/>
      <c r="EX41" s="157"/>
      <c r="EY41" s="157"/>
      <c r="EZ41" s="157"/>
      <c r="FA41" s="157"/>
      <c r="FB41" s="157"/>
      <c r="FC41" s="157"/>
      <c r="FD41" s="157"/>
      <c r="FE41" s="157"/>
      <c r="FF41" s="157"/>
      <c r="FG41" s="157"/>
      <c r="FH41" s="157"/>
      <c r="FI41" s="157"/>
      <c r="FJ41" s="157"/>
      <c r="FK41" s="157"/>
      <c r="FL41" s="157"/>
      <c r="FM41" s="157"/>
      <c r="FN41" s="157"/>
      <c r="FO41" s="157"/>
      <c r="FP41" s="157"/>
      <c r="FQ41" s="157"/>
      <c r="FR41" s="157"/>
      <c r="FS41" s="157"/>
      <c r="FT41" s="157"/>
      <c r="FU41" s="157"/>
      <c r="FV41" s="157"/>
      <c r="FW41" s="157"/>
      <c r="FX41" s="157"/>
      <c r="FY41" s="157"/>
      <c r="FZ41" s="157"/>
      <c r="GA41" s="157"/>
      <c r="GB41" s="157"/>
      <c r="GC41" s="157"/>
      <c r="GD41" s="157"/>
      <c r="GE41" s="157"/>
      <c r="GF41" s="157"/>
      <c r="GG41" s="157"/>
      <c r="GH41" s="166"/>
      <c r="GI41" s="157"/>
      <c r="GJ41" s="157"/>
      <c r="GK41" s="157"/>
      <c r="GL41" s="157"/>
      <c r="GM41" s="157"/>
      <c r="GN41" s="157"/>
      <c r="GO41" s="157"/>
      <c r="GP41" s="157"/>
      <c r="GQ41" s="157"/>
    </row>
    <row r="42" spans="1:199" ht="15.75" customHeight="1" thickBot="1">
      <c r="A42" s="163">
        <v>5</v>
      </c>
      <c r="B42" s="164" t="s">
        <v>210</v>
      </c>
      <c r="C42" s="190">
        <v>170706916.85999998</v>
      </c>
      <c r="D42" s="411"/>
      <c r="E42" s="190">
        <v>50807983.509999998</v>
      </c>
      <c r="F42" s="411"/>
      <c r="G42" s="190">
        <v>81780345.660000011</v>
      </c>
      <c r="H42" s="411"/>
      <c r="I42" s="190">
        <v>74237361.410000011</v>
      </c>
      <c r="J42" s="411"/>
      <c r="K42" s="190">
        <v>193583204.5</v>
      </c>
      <c r="L42" s="411"/>
      <c r="M42" s="190">
        <v>209575243.59999999</v>
      </c>
      <c r="N42" s="411"/>
      <c r="O42" s="190">
        <v>238526264.33000001</v>
      </c>
      <c r="P42" s="411"/>
      <c r="Q42" s="190">
        <v>230213142.88</v>
      </c>
      <c r="R42" s="411"/>
      <c r="S42" s="190">
        <v>284145210.02999997</v>
      </c>
      <c r="T42" s="411"/>
      <c r="U42" s="190">
        <v>43436803.079999998</v>
      </c>
      <c r="V42" s="411"/>
      <c r="W42" s="987">
        <v>103720290.25</v>
      </c>
      <c r="X42" s="411"/>
      <c r="Y42" s="190">
        <v>129715212.62</v>
      </c>
      <c r="Z42" s="411"/>
      <c r="AA42" s="190">
        <v>138441400.31</v>
      </c>
      <c r="AB42" s="411"/>
      <c r="AC42" s="190">
        <v>107288230.50999999</v>
      </c>
      <c r="AD42" s="411"/>
      <c r="AE42" s="190">
        <v>127403553.97</v>
      </c>
      <c r="AF42" s="411"/>
      <c r="AG42" s="190">
        <v>97741475.689999998</v>
      </c>
      <c r="AH42" s="411"/>
      <c r="AI42" s="190">
        <v>180245472.63999999</v>
      </c>
      <c r="AJ42" s="411"/>
      <c r="AK42" s="190">
        <v>67042339.700000003</v>
      </c>
      <c r="AL42" s="411"/>
      <c r="AM42" s="190">
        <v>85725012.489999995</v>
      </c>
      <c r="AN42" s="411"/>
      <c r="AO42" s="190">
        <v>119744869.54000001</v>
      </c>
      <c r="AP42" s="411"/>
      <c r="AQ42" s="190">
        <v>52837446.380000003</v>
      </c>
      <c r="AR42" s="411"/>
      <c r="AS42" s="190">
        <v>11875443.460000001</v>
      </c>
      <c r="AT42" s="411"/>
      <c r="AU42" s="987">
        <v>1063217.3400000001</v>
      </c>
      <c r="AV42" s="411"/>
      <c r="AW42" s="190">
        <v>109792331.52</v>
      </c>
      <c r="AX42" s="411"/>
      <c r="AY42" s="190">
        <v>216675871.28999999</v>
      </c>
      <c r="AZ42" s="411"/>
      <c r="BA42" s="190">
        <v>88815846</v>
      </c>
      <c r="BB42" s="411"/>
      <c r="BC42" s="190">
        <v>60153463.270000003</v>
      </c>
      <c r="BD42" s="411"/>
      <c r="BE42" s="190">
        <v>126891326.19</v>
      </c>
      <c r="BF42" s="411"/>
      <c r="BG42" s="190">
        <v>70416171.640000001</v>
      </c>
      <c r="BH42" s="411"/>
      <c r="BI42" s="190">
        <v>116202605.92</v>
      </c>
      <c r="BJ42" s="411"/>
      <c r="BK42" s="190">
        <v>156513095.52000001</v>
      </c>
      <c r="BL42" s="411"/>
      <c r="BM42" s="190">
        <v>221534203</v>
      </c>
      <c r="BN42" s="411"/>
      <c r="BO42" s="190">
        <v>221534203</v>
      </c>
      <c r="BP42" s="411"/>
      <c r="BQ42" s="190">
        <v>334580676</v>
      </c>
      <c r="BR42" s="411"/>
      <c r="BS42" s="987">
        <v>248861.47</v>
      </c>
      <c r="BT42" s="411"/>
      <c r="BU42" s="190">
        <v>247470.72</v>
      </c>
      <c r="BV42" s="411"/>
      <c r="BW42" s="171">
        <v>246129.7</v>
      </c>
      <c r="BX42" s="411"/>
      <c r="BY42" s="171">
        <v>396673.75</v>
      </c>
      <c r="BZ42" s="411"/>
      <c r="CA42" s="171">
        <v>5775722.4699999997</v>
      </c>
      <c r="CB42" s="411"/>
      <c r="CC42" s="171">
        <v>5741455.9699999997</v>
      </c>
      <c r="CD42" s="411"/>
      <c r="CE42" s="171">
        <v>5710596</v>
      </c>
      <c r="CF42" s="411"/>
      <c r="CG42" s="171">
        <v>5680126</v>
      </c>
      <c r="CH42" s="411"/>
      <c r="CI42" s="171">
        <v>64402412.5</v>
      </c>
      <c r="CJ42" s="411"/>
      <c r="CK42" s="171">
        <v>100160401</v>
      </c>
      <c r="CL42" s="411"/>
      <c r="CM42" s="171">
        <v>123667035.69</v>
      </c>
      <c r="CN42" s="411"/>
      <c r="CO42" s="171">
        <v>110141414.48999999</v>
      </c>
      <c r="CP42" s="411"/>
      <c r="CQ42" s="171">
        <v>115794830.34999999</v>
      </c>
      <c r="CR42" s="411"/>
      <c r="CS42" s="171">
        <v>124064814.39999999</v>
      </c>
      <c r="CT42" s="164"/>
      <c r="CU42" s="171">
        <v>61352516.549999997</v>
      </c>
      <c r="CV42" s="164"/>
      <c r="CW42" s="171">
        <v>79548039</v>
      </c>
      <c r="CX42" s="164"/>
      <c r="CY42" s="171">
        <v>108475544.11</v>
      </c>
      <c r="CZ42" s="164"/>
      <c r="DA42" s="171">
        <v>57354789.32</v>
      </c>
      <c r="DB42" s="164"/>
      <c r="DC42" s="171">
        <v>87143010.420000002</v>
      </c>
      <c r="DD42" s="164"/>
      <c r="DE42" s="171">
        <f>48003084.29+35244000</f>
        <v>83247084.289999992</v>
      </c>
      <c r="DF42" s="164"/>
      <c r="DG42" s="171">
        <f>18970698.44+21491663.98</f>
        <v>40462362.420000002</v>
      </c>
      <c r="DH42" s="164"/>
      <c r="DI42" s="171">
        <v>32669442.879999999</v>
      </c>
      <c r="DJ42" s="164"/>
      <c r="DK42" s="171">
        <v>62893341.18</v>
      </c>
      <c r="DL42" s="164"/>
      <c r="DM42" s="171">
        <v>50747875.969999999</v>
      </c>
      <c r="DN42" s="164"/>
      <c r="DO42" s="171">
        <v>71550518.629999995</v>
      </c>
      <c r="DP42" s="164"/>
      <c r="DQ42" s="171">
        <v>59723955.609999999</v>
      </c>
      <c r="DR42" s="164"/>
      <c r="DS42" s="171">
        <v>66038455.890000001</v>
      </c>
      <c r="DT42" s="164"/>
      <c r="DU42" s="171">
        <v>81659200.840000004</v>
      </c>
      <c r="DV42" s="164"/>
      <c r="DW42" s="171">
        <v>126753947.39</v>
      </c>
      <c r="DX42" s="164"/>
      <c r="DY42" s="171">
        <v>153317638.06999999</v>
      </c>
      <c r="DZ42" s="164"/>
      <c r="EA42" s="171">
        <v>88452999.799999997</v>
      </c>
      <c r="EB42" s="164"/>
      <c r="EC42" s="171">
        <v>88715907.969999999</v>
      </c>
      <c r="ED42" s="164"/>
      <c r="EE42" s="171">
        <v>79984237.030000001</v>
      </c>
      <c r="EF42" s="164"/>
      <c r="EG42" s="190">
        <v>82254324.049999997</v>
      </c>
      <c r="EH42" s="164"/>
      <c r="EI42" s="171">
        <v>79996764.209999993</v>
      </c>
      <c r="EJ42" s="164"/>
      <c r="EK42" s="171">
        <v>62736056.939999998</v>
      </c>
      <c r="EL42" s="164"/>
      <c r="EM42" s="171">
        <v>52465199.57</v>
      </c>
      <c r="EN42" s="164"/>
      <c r="EO42" s="171">
        <v>61664510.979999997</v>
      </c>
      <c r="EP42" s="164"/>
      <c r="EQ42" s="171">
        <v>65290791.289999999</v>
      </c>
      <c r="ER42" s="157"/>
      <c r="ES42" s="171">
        <v>69919871.460000008</v>
      </c>
      <c r="ET42" s="157"/>
      <c r="EU42" s="171">
        <v>64962949.809999995</v>
      </c>
      <c r="EV42" s="157"/>
      <c r="EW42" s="171">
        <v>52971148.68</v>
      </c>
      <c r="EX42" s="157"/>
      <c r="EY42" s="171">
        <v>60987411.200000003</v>
      </c>
      <c r="EZ42" s="157"/>
      <c r="FA42" s="171">
        <v>41021161.32</v>
      </c>
      <c r="FB42" s="157"/>
      <c r="FC42" s="171">
        <v>73311111.370000005</v>
      </c>
      <c r="FD42" s="157"/>
      <c r="FE42" s="171">
        <v>211641.39</v>
      </c>
      <c r="FF42" s="166"/>
      <c r="FG42" s="171">
        <v>8665305.3599999994</v>
      </c>
      <c r="FH42" s="166"/>
      <c r="FI42" s="171">
        <v>141016.13</v>
      </c>
      <c r="FJ42" s="157"/>
      <c r="FK42" s="157"/>
      <c r="FL42" s="157"/>
      <c r="FM42" s="157"/>
      <c r="FN42" s="157"/>
      <c r="FO42" s="157"/>
      <c r="FP42" s="157"/>
      <c r="FQ42" s="157"/>
      <c r="FR42" s="157"/>
      <c r="FS42" s="157"/>
      <c r="FT42" s="157"/>
      <c r="FU42" s="157"/>
      <c r="FV42" s="157"/>
      <c r="FW42" s="157"/>
      <c r="FX42" s="157"/>
      <c r="FY42" s="157"/>
      <c r="FZ42" s="157"/>
      <c r="GA42" s="157"/>
      <c r="GB42" s="157"/>
      <c r="GC42" s="157"/>
      <c r="GD42" s="157"/>
      <c r="GE42" s="157"/>
      <c r="GF42" s="157"/>
      <c r="GG42" s="157"/>
      <c r="GH42" s="166"/>
      <c r="GI42" s="157"/>
      <c r="GJ42" s="157"/>
      <c r="GK42" s="157"/>
      <c r="GL42" s="157"/>
      <c r="GM42" s="157"/>
      <c r="GN42" s="157"/>
      <c r="GO42" s="157"/>
      <c r="GP42" s="157"/>
      <c r="GQ42" s="157"/>
    </row>
    <row r="43" spans="1:199" ht="15.75" hidden="1" customHeight="1">
      <c r="A43" s="158"/>
      <c r="B43" s="157" t="s">
        <v>317</v>
      </c>
      <c r="C43" s="536"/>
      <c r="D43" s="410"/>
      <c r="E43" s="536"/>
      <c r="F43" s="410"/>
      <c r="G43" s="536"/>
      <c r="H43" s="410"/>
      <c r="I43" s="536"/>
      <c r="J43" s="410"/>
      <c r="K43" s="536"/>
      <c r="L43" s="410"/>
      <c r="M43" s="536"/>
      <c r="N43" s="410"/>
      <c r="O43" s="536"/>
      <c r="P43" s="410"/>
      <c r="Q43" s="536"/>
      <c r="R43" s="410"/>
      <c r="S43" s="536"/>
      <c r="T43" s="410"/>
      <c r="U43" s="536"/>
      <c r="V43" s="410"/>
      <c r="W43" s="1168"/>
      <c r="X43" s="410"/>
      <c r="Y43" s="536"/>
      <c r="Z43" s="410"/>
      <c r="AA43" s="536"/>
      <c r="AB43" s="410"/>
      <c r="AC43" s="536"/>
      <c r="AD43" s="410"/>
      <c r="AE43" s="536"/>
      <c r="AF43" s="410"/>
      <c r="AG43" s="536"/>
      <c r="AH43" s="410"/>
      <c r="AI43" s="536"/>
      <c r="AJ43" s="410"/>
      <c r="AK43" s="536"/>
      <c r="AL43" s="410"/>
      <c r="AM43" s="536"/>
      <c r="AN43" s="410"/>
      <c r="AO43" s="536"/>
      <c r="AP43" s="410"/>
      <c r="AQ43" s="536"/>
      <c r="AR43" s="410"/>
      <c r="AS43" s="536"/>
      <c r="AT43" s="410"/>
      <c r="AU43" s="1168"/>
      <c r="AV43" s="410"/>
      <c r="AW43" s="536"/>
      <c r="AX43" s="410"/>
      <c r="AY43" s="536"/>
      <c r="AZ43" s="410"/>
      <c r="BA43" s="536"/>
      <c r="BB43" s="410"/>
      <c r="BC43" s="536"/>
      <c r="BD43" s="410"/>
      <c r="BE43" s="536"/>
      <c r="BF43" s="410"/>
      <c r="BG43" s="614"/>
      <c r="BH43" s="410"/>
      <c r="BI43" s="536"/>
      <c r="BJ43" s="410"/>
      <c r="BK43" s="536"/>
      <c r="BL43" s="410"/>
      <c r="BM43" s="536"/>
      <c r="BN43" s="410"/>
      <c r="BO43" s="536"/>
      <c r="BP43" s="410"/>
      <c r="BQ43" s="536"/>
      <c r="BR43" s="410"/>
      <c r="BS43" s="1168"/>
      <c r="BT43" s="410"/>
      <c r="BU43" s="536"/>
      <c r="BV43" s="410"/>
      <c r="BW43" s="191"/>
      <c r="BX43" s="410"/>
      <c r="BY43" s="191"/>
      <c r="BZ43" s="410"/>
      <c r="CA43" s="191"/>
      <c r="CB43" s="410"/>
      <c r="CC43" s="191"/>
      <c r="CD43" s="410"/>
      <c r="CE43" s="191"/>
      <c r="CF43" s="410"/>
      <c r="CG43" s="191"/>
      <c r="CH43" s="410"/>
      <c r="CI43" s="191"/>
      <c r="CJ43" s="410"/>
      <c r="CK43" s="191"/>
      <c r="CL43" s="410"/>
      <c r="CM43" s="191"/>
      <c r="CN43" s="410"/>
      <c r="CO43" s="191"/>
      <c r="CP43" s="410"/>
      <c r="CQ43" s="191"/>
      <c r="CR43" s="410"/>
      <c r="CS43" s="191"/>
      <c r="CT43" s="157"/>
      <c r="CU43" s="191"/>
      <c r="CV43" s="157"/>
      <c r="CW43" s="191"/>
      <c r="CX43" s="157"/>
      <c r="CY43" s="191"/>
      <c r="CZ43" s="157"/>
      <c r="DA43" s="191"/>
      <c r="DB43" s="157"/>
      <c r="DC43" s="191"/>
      <c r="DD43" s="157"/>
      <c r="DE43" s="191"/>
      <c r="DF43" s="157"/>
      <c r="DG43" s="191"/>
      <c r="DH43" s="157"/>
      <c r="DI43" s="191"/>
      <c r="DJ43" s="157"/>
      <c r="DK43" s="191"/>
      <c r="DL43" s="157"/>
      <c r="DM43" s="191"/>
      <c r="DN43" s="157"/>
      <c r="DO43" s="191"/>
      <c r="DP43" s="157"/>
      <c r="DQ43" s="191"/>
      <c r="DR43" s="157"/>
      <c r="DS43" s="191"/>
      <c r="DT43" s="157"/>
      <c r="DU43" s="191"/>
      <c r="DV43" s="157"/>
      <c r="DW43" s="191"/>
      <c r="DX43" s="157"/>
      <c r="DY43" s="191"/>
      <c r="DZ43" s="157"/>
      <c r="EA43" s="191"/>
      <c r="EB43" s="157"/>
      <c r="EC43" s="191"/>
      <c r="ED43" s="157"/>
      <c r="EE43" s="191"/>
      <c r="EF43" s="157"/>
      <c r="EG43" s="191"/>
      <c r="EH43" s="157"/>
      <c r="EI43" s="191"/>
      <c r="EJ43" s="157"/>
      <c r="EK43" s="191"/>
      <c r="EL43" s="157"/>
      <c r="EM43" s="191"/>
      <c r="EN43" s="157"/>
      <c r="EO43" s="191"/>
      <c r="EP43" s="157"/>
      <c r="EQ43" s="191"/>
      <c r="ER43" s="157"/>
      <c r="ES43" s="191"/>
      <c r="ET43" s="157"/>
      <c r="EU43" s="191"/>
      <c r="EV43" s="157"/>
      <c r="EW43" s="191"/>
      <c r="EX43" s="157"/>
      <c r="EY43" s="191"/>
      <c r="EZ43" s="157"/>
      <c r="FA43" s="191"/>
      <c r="FB43" s="157"/>
      <c r="FC43" s="191"/>
      <c r="FD43" s="157"/>
      <c r="FE43" s="166"/>
      <c r="FF43" s="166"/>
      <c r="FG43" s="166"/>
      <c r="FH43" s="166"/>
      <c r="FI43" s="166"/>
      <c r="FJ43" s="166"/>
      <c r="FK43" s="166"/>
      <c r="FL43" s="166"/>
      <c r="FM43" s="166"/>
      <c r="FN43" s="166"/>
      <c r="FO43" s="166"/>
      <c r="FP43" s="166"/>
      <c r="FQ43" s="166"/>
      <c r="FR43" s="166"/>
      <c r="FS43" s="166"/>
      <c r="FT43" s="166"/>
      <c r="FU43" s="166"/>
      <c r="FV43" s="166"/>
      <c r="FW43" s="166"/>
      <c r="FX43" s="166"/>
      <c r="FY43" s="166"/>
      <c r="FZ43" s="166"/>
      <c r="GA43" s="166"/>
      <c r="GB43" s="157"/>
      <c r="GC43" s="157"/>
      <c r="GD43" s="157"/>
      <c r="GE43" s="157"/>
      <c r="GF43" s="157"/>
      <c r="GG43" s="157"/>
      <c r="GH43" s="166"/>
      <c r="GI43" s="157"/>
      <c r="GJ43" s="157"/>
      <c r="GK43" s="157"/>
      <c r="GL43" s="157"/>
      <c r="GM43" s="157"/>
      <c r="GN43" s="157"/>
      <c r="GO43" s="157"/>
      <c r="GP43" s="157"/>
      <c r="GQ43" s="157"/>
    </row>
    <row r="44" spans="1:199" ht="15.75" hidden="1" customHeight="1">
      <c r="A44" s="158"/>
      <c r="B44" s="157" t="s">
        <v>318</v>
      </c>
      <c r="C44" s="535"/>
      <c r="D44" s="410"/>
      <c r="E44" s="535"/>
      <c r="F44" s="410"/>
      <c r="G44" s="535"/>
      <c r="H44" s="410"/>
      <c r="I44" s="535"/>
      <c r="J44" s="410"/>
      <c r="K44" s="535"/>
      <c r="L44" s="410"/>
      <c r="M44" s="535"/>
      <c r="N44" s="410"/>
      <c r="O44" s="535"/>
      <c r="P44" s="410"/>
      <c r="Q44" s="535"/>
      <c r="R44" s="410"/>
      <c r="S44" s="535"/>
      <c r="T44" s="410"/>
      <c r="U44" s="535"/>
      <c r="V44" s="410"/>
      <c r="W44" s="984"/>
      <c r="X44" s="410"/>
      <c r="Y44" s="535"/>
      <c r="Z44" s="410"/>
      <c r="AA44" s="535"/>
      <c r="AB44" s="410"/>
      <c r="AC44" s="535"/>
      <c r="AD44" s="410"/>
      <c r="AE44" s="535"/>
      <c r="AF44" s="410"/>
      <c r="AG44" s="535"/>
      <c r="AH44" s="410"/>
      <c r="AI44" s="535"/>
      <c r="AJ44" s="410"/>
      <c r="AK44" s="535"/>
      <c r="AL44" s="410"/>
      <c r="AM44" s="535"/>
      <c r="AN44" s="410"/>
      <c r="AO44" s="535"/>
      <c r="AP44" s="410"/>
      <c r="AQ44" s="535"/>
      <c r="AR44" s="410"/>
      <c r="AS44" s="535"/>
      <c r="AT44" s="410"/>
      <c r="AU44" s="984"/>
      <c r="AV44" s="410"/>
      <c r="AW44" s="535"/>
      <c r="AX44" s="410"/>
      <c r="AY44" s="535"/>
      <c r="AZ44" s="410"/>
      <c r="BA44" s="535"/>
      <c r="BB44" s="410"/>
      <c r="BC44" s="535"/>
      <c r="BD44" s="410"/>
      <c r="BE44" s="535"/>
      <c r="BF44" s="410"/>
      <c r="BG44" s="759"/>
      <c r="BH44" s="410"/>
      <c r="BI44" s="535"/>
      <c r="BJ44" s="410"/>
      <c r="BK44" s="535"/>
      <c r="BL44" s="410"/>
      <c r="BM44" s="535"/>
      <c r="BN44" s="410"/>
      <c r="BO44" s="535"/>
      <c r="BP44" s="410"/>
      <c r="BQ44" s="535"/>
      <c r="BR44" s="410"/>
      <c r="BS44" s="984"/>
      <c r="BT44" s="410"/>
      <c r="BU44" s="535"/>
      <c r="BV44" s="410"/>
      <c r="BW44" s="166"/>
      <c r="BX44" s="410"/>
      <c r="BY44" s="166"/>
      <c r="BZ44" s="410"/>
      <c r="CA44" s="166"/>
      <c r="CB44" s="410"/>
      <c r="CC44" s="166"/>
      <c r="CD44" s="410"/>
      <c r="CE44" s="166"/>
      <c r="CF44" s="410"/>
      <c r="CG44" s="166"/>
      <c r="CH44" s="410"/>
      <c r="CI44" s="166"/>
      <c r="CJ44" s="410"/>
      <c r="CK44" s="166"/>
      <c r="CL44" s="410"/>
      <c r="CM44" s="166"/>
      <c r="CN44" s="410"/>
      <c r="CO44" s="166"/>
      <c r="CP44" s="410"/>
      <c r="CQ44" s="166"/>
      <c r="CR44" s="410"/>
      <c r="CS44" s="166"/>
      <c r="CT44" s="157"/>
      <c r="CU44" s="166"/>
      <c r="CV44" s="157"/>
      <c r="CW44" s="166"/>
      <c r="CX44" s="157"/>
      <c r="CY44" s="166"/>
      <c r="CZ44" s="157"/>
      <c r="DA44" s="166"/>
      <c r="DB44" s="157"/>
      <c r="DC44" s="166"/>
      <c r="DD44" s="157"/>
      <c r="DE44" s="166"/>
      <c r="DF44" s="157"/>
      <c r="DG44" s="166"/>
      <c r="DH44" s="157"/>
      <c r="DI44" s="166"/>
      <c r="DJ44" s="157"/>
      <c r="DK44" s="166"/>
      <c r="DL44" s="157"/>
      <c r="DM44" s="166"/>
      <c r="DN44" s="157"/>
      <c r="DO44" s="166"/>
      <c r="DP44" s="157"/>
      <c r="DQ44" s="166"/>
      <c r="DR44" s="157"/>
      <c r="DS44" s="166"/>
      <c r="DT44" s="157"/>
      <c r="DU44" s="166"/>
      <c r="DV44" s="157"/>
      <c r="DW44" s="166"/>
      <c r="DX44" s="157"/>
      <c r="DY44" s="166"/>
      <c r="DZ44" s="157"/>
      <c r="EA44" s="166"/>
      <c r="EB44" s="157"/>
      <c r="EC44" s="166"/>
      <c r="ED44" s="157"/>
      <c r="EE44" s="166"/>
      <c r="EF44" s="157"/>
      <c r="EG44" s="166"/>
      <c r="EH44" s="157"/>
      <c r="EI44" s="166"/>
      <c r="EJ44" s="157"/>
      <c r="EK44" s="166"/>
      <c r="EL44" s="157"/>
      <c r="EM44" s="166"/>
      <c r="EN44" s="157"/>
      <c r="EO44" s="166"/>
      <c r="EP44" s="157"/>
      <c r="EQ44" s="166"/>
      <c r="ER44" s="157"/>
      <c r="ES44" s="166"/>
      <c r="ET44" s="157"/>
      <c r="EU44" s="166">
        <v>0</v>
      </c>
      <c r="EV44" s="157"/>
      <c r="EW44" s="166">
        <v>0</v>
      </c>
      <c r="EX44" s="157"/>
      <c r="EY44" s="166">
        <v>0</v>
      </c>
      <c r="EZ44" s="157"/>
      <c r="FA44" s="166">
        <v>0</v>
      </c>
      <c r="FB44" s="157"/>
      <c r="FC44" s="191">
        <v>36549179.390000001</v>
      </c>
      <c r="FD44" s="157"/>
      <c r="FE44" s="166">
        <v>0</v>
      </c>
      <c r="FF44" s="166"/>
      <c r="FG44" s="166">
        <v>0</v>
      </c>
      <c r="FH44" s="166"/>
      <c r="FI44" s="166">
        <v>0</v>
      </c>
      <c r="FJ44" s="166"/>
      <c r="FK44" s="166"/>
      <c r="FL44" s="166"/>
      <c r="FM44" s="166"/>
      <c r="FN44" s="166"/>
      <c r="FO44" s="166"/>
      <c r="FP44" s="166"/>
      <c r="FQ44" s="166"/>
      <c r="FR44" s="166"/>
      <c r="FS44" s="166"/>
      <c r="FT44" s="166"/>
      <c r="FU44" s="166"/>
      <c r="FV44" s="166"/>
      <c r="FW44" s="166"/>
      <c r="FX44" s="166"/>
      <c r="FY44" s="166"/>
      <c r="FZ44" s="166"/>
      <c r="GA44" s="166"/>
      <c r="GB44" s="157"/>
      <c r="GC44" s="157"/>
      <c r="GD44" s="157"/>
      <c r="GE44" s="157"/>
      <c r="GF44" s="157"/>
      <c r="GG44" s="157"/>
      <c r="GH44" s="166"/>
      <c r="GI44" s="157"/>
      <c r="GJ44" s="157"/>
      <c r="GK44" s="157"/>
      <c r="GL44" s="157"/>
      <c r="GM44" s="157"/>
      <c r="GN44" s="157"/>
      <c r="GO44" s="157"/>
      <c r="GP44" s="157"/>
      <c r="GQ44" s="157"/>
    </row>
    <row r="45" spans="1:199" ht="15.75" hidden="1" customHeight="1">
      <c r="A45" s="158"/>
      <c r="B45" s="157" t="s">
        <v>319</v>
      </c>
      <c r="C45" s="642"/>
      <c r="D45" s="410"/>
      <c r="E45" s="642"/>
      <c r="F45" s="410"/>
      <c r="G45" s="642"/>
      <c r="H45" s="410"/>
      <c r="I45" s="642"/>
      <c r="J45" s="410"/>
      <c r="K45" s="642"/>
      <c r="L45" s="410"/>
      <c r="M45" s="642"/>
      <c r="N45" s="410"/>
      <c r="O45" s="642"/>
      <c r="P45" s="410"/>
      <c r="Q45" s="642"/>
      <c r="R45" s="410"/>
      <c r="S45" s="642"/>
      <c r="T45" s="410"/>
      <c r="U45" s="642"/>
      <c r="V45" s="410"/>
      <c r="W45" s="1169"/>
      <c r="X45" s="410"/>
      <c r="Y45" s="642"/>
      <c r="Z45" s="410"/>
      <c r="AA45" s="642"/>
      <c r="AB45" s="410"/>
      <c r="AC45" s="642"/>
      <c r="AD45" s="410"/>
      <c r="AE45" s="642"/>
      <c r="AF45" s="410"/>
      <c r="AG45" s="642"/>
      <c r="AH45" s="410"/>
      <c r="AI45" s="642"/>
      <c r="AJ45" s="410"/>
      <c r="AK45" s="642"/>
      <c r="AL45" s="410"/>
      <c r="AM45" s="642"/>
      <c r="AN45" s="410"/>
      <c r="AO45" s="642"/>
      <c r="AP45" s="410"/>
      <c r="AQ45" s="642"/>
      <c r="AR45" s="410"/>
      <c r="AS45" s="642"/>
      <c r="AT45" s="410"/>
      <c r="AU45" s="1169"/>
      <c r="AV45" s="410"/>
      <c r="AW45" s="642"/>
      <c r="AX45" s="410"/>
      <c r="AY45" s="642"/>
      <c r="AZ45" s="410"/>
      <c r="BA45" s="642"/>
      <c r="BB45" s="410"/>
      <c r="BC45" s="642"/>
      <c r="BD45" s="410"/>
      <c r="BE45" s="642"/>
      <c r="BF45" s="410"/>
      <c r="BG45" s="833"/>
      <c r="BH45" s="410"/>
      <c r="BI45" s="642"/>
      <c r="BJ45" s="410"/>
      <c r="BK45" s="642"/>
      <c r="BL45" s="410"/>
      <c r="BM45" s="642"/>
      <c r="BN45" s="410"/>
      <c r="BO45" s="642"/>
      <c r="BP45" s="410"/>
      <c r="BQ45" s="642"/>
      <c r="BR45" s="410"/>
      <c r="BS45" s="1169"/>
      <c r="BT45" s="410"/>
      <c r="BU45" s="642"/>
      <c r="BV45" s="410"/>
      <c r="BW45" s="192"/>
      <c r="BX45" s="410"/>
      <c r="BY45" s="192"/>
      <c r="BZ45" s="410"/>
      <c r="CA45" s="192"/>
      <c r="CB45" s="410"/>
      <c r="CC45" s="192"/>
      <c r="CD45" s="410"/>
      <c r="CE45" s="192"/>
      <c r="CF45" s="410"/>
      <c r="CG45" s="192"/>
      <c r="CH45" s="410"/>
      <c r="CI45" s="192"/>
      <c r="CJ45" s="410"/>
      <c r="CK45" s="192"/>
      <c r="CL45" s="410"/>
      <c r="CM45" s="192"/>
      <c r="CN45" s="410"/>
      <c r="CO45" s="192"/>
      <c r="CP45" s="410"/>
      <c r="CQ45" s="192"/>
      <c r="CR45" s="410"/>
      <c r="CS45" s="192"/>
      <c r="CT45" s="157"/>
      <c r="CU45" s="192"/>
      <c r="CV45" s="157"/>
      <c r="CW45" s="192"/>
      <c r="CX45" s="157"/>
      <c r="CY45" s="192"/>
      <c r="CZ45" s="157"/>
      <c r="DA45" s="192"/>
      <c r="DB45" s="157"/>
      <c r="DC45" s="192"/>
      <c r="DD45" s="157"/>
      <c r="DE45" s="192"/>
      <c r="DF45" s="157"/>
      <c r="DG45" s="192"/>
      <c r="DH45" s="157"/>
      <c r="DI45" s="192"/>
      <c r="DJ45" s="157"/>
      <c r="DK45" s="192"/>
      <c r="DL45" s="157"/>
      <c r="DM45" s="192"/>
      <c r="DN45" s="157"/>
      <c r="DO45" s="192"/>
      <c r="DP45" s="157"/>
      <c r="DQ45" s="192"/>
      <c r="DR45" s="157"/>
      <c r="DS45" s="192"/>
      <c r="DT45" s="157"/>
      <c r="DU45" s="192"/>
      <c r="DV45" s="157"/>
      <c r="DW45" s="192"/>
      <c r="DX45" s="157"/>
      <c r="DY45" s="192"/>
      <c r="DZ45" s="157"/>
      <c r="EA45" s="192"/>
      <c r="EB45" s="157"/>
      <c r="EC45" s="192"/>
      <c r="ED45" s="157"/>
      <c r="EE45" s="192"/>
      <c r="EF45" s="157"/>
      <c r="EG45" s="192"/>
      <c r="EH45" s="157"/>
      <c r="EI45" s="192"/>
      <c r="EJ45" s="157"/>
      <c r="EK45" s="192"/>
      <c r="EL45" s="157"/>
      <c r="EM45" s="192"/>
      <c r="EN45" s="157"/>
      <c r="EO45" s="192"/>
      <c r="EP45" s="157"/>
      <c r="EQ45" s="192"/>
      <c r="ER45" s="157"/>
      <c r="ES45" s="192"/>
      <c r="ET45" s="157"/>
      <c r="EU45" s="192">
        <v>0</v>
      </c>
      <c r="EV45" s="157"/>
      <c r="EW45" s="192">
        <v>0</v>
      </c>
      <c r="EX45" s="157"/>
      <c r="EY45" s="192">
        <v>0</v>
      </c>
      <c r="EZ45" s="157"/>
      <c r="FA45" s="193">
        <v>40807329.68</v>
      </c>
      <c r="FB45" s="157"/>
      <c r="FC45" s="193">
        <v>36549179.390000001</v>
      </c>
      <c r="FD45" s="157"/>
      <c r="FE45" s="192">
        <v>0</v>
      </c>
      <c r="FF45" s="166"/>
      <c r="FG45" s="192">
        <v>0</v>
      </c>
      <c r="FH45" s="166"/>
      <c r="FI45" s="192">
        <v>0</v>
      </c>
      <c r="FJ45" s="166"/>
      <c r="FK45" s="166"/>
      <c r="FL45" s="166"/>
      <c r="FM45" s="166"/>
      <c r="FN45" s="166"/>
      <c r="FO45" s="166"/>
      <c r="FP45" s="166"/>
      <c r="FQ45" s="166"/>
      <c r="FR45" s="166"/>
      <c r="FS45" s="166"/>
      <c r="FT45" s="166"/>
      <c r="FU45" s="166"/>
      <c r="FV45" s="166"/>
      <c r="FW45" s="166"/>
      <c r="FX45" s="166"/>
      <c r="FY45" s="166"/>
      <c r="FZ45" s="166"/>
      <c r="GA45" s="166"/>
      <c r="GB45" s="157"/>
      <c r="GC45" s="157"/>
      <c r="GD45" s="157"/>
      <c r="GE45" s="157"/>
      <c r="GF45" s="157"/>
      <c r="GG45" s="157"/>
      <c r="GH45" s="166"/>
      <c r="GI45" s="157"/>
      <c r="GJ45" s="157"/>
      <c r="GK45" s="157"/>
      <c r="GL45" s="157"/>
      <c r="GM45" s="157"/>
      <c r="GN45" s="157"/>
      <c r="GO45" s="157"/>
      <c r="GP45" s="157"/>
      <c r="GQ45" s="157"/>
    </row>
    <row r="46" spans="1:199" ht="15.75" hidden="1" customHeight="1">
      <c r="A46" s="158"/>
      <c r="B46" s="157" t="s">
        <v>320</v>
      </c>
      <c r="C46" s="535"/>
      <c r="D46" s="410"/>
      <c r="E46" s="535"/>
      <c r="F46" s="410"/>
      <c r="G46" s="535"/>
      <c r="H46" s="410"/>
      <c r="I46" s="535"/>
      <c r="J46" s="410"/>
      <c r="K46" s="535"/>
      <c r="L46" s="410"/>
      <c r="M46" s="535"/>
      <c r="N46" s="410"/>
      <c r="O46" s="535"/>
      <c r="P46" s="410"/>
      <c r="Q46" s="535"/>
      <c r="R46" s="410"/>
      <c r="S46" s="535"/>
      <c r="T46" s="410"/>
      <c r="U46" s="535"/>
      <c r="V46" s="410"/>
      <c r="W46" s="984"/>
      <c r="X46" s="410"/>
      <c r="Y46" s="535"/>
      <c r="Z46" s="410"/>
      <c r="AA46" s="535"/>
      <c r="AB46" s="410"/>
      <c r="AC46" s="535"/>
      <c r="AD46" s="410"/>
      <c r="AE46" s="535"/>
      <c r="AF46" s="410"/>
      <c r="AG46" s="535"/>
      <c r="AH46" s="410"/>
      <c r="AI46" s="535"/>
      <c r="AJ46" s="410"/>
      <c r="AK46" s="535"/>
      <c r="AL46" s="410"/>
      <c r="AM46" s="535"/>
      <c r="AN46" s="410"/>
      <c r="AO46" s="535"/>
      <c r="AP46" s="410"/>
      <c r="AQ46" s="535"/>
      <c r="AR46" s="410"/>
      <c r="AS46" s="535"/>
      <c r="AT46" s="410"/>
      <c r="AU46" s="984"/>
      <c r="AV46" s="410"/>
      <c r="AW46" s="535"/>
      <c r="AX46" s="410"/>
      <c r="AY46" s="535"/>
      <c r="AZ46" s="410"/>
      <c r="BA46" s="535"/>
      <c r="BB46" s="410"/>
      <c r="BC46" s="535"/>
      <c r="BD46" s="410"/>
      <c r="BE46" s="535"/>
      <c r="BF46" s="410"/>
      <c r="BG46" s="759"/>
      <c r="BH46" s="410"/>
      <c r="BI46" s="535"/>
      <c r="BJ46" s="410"/>
      <c r="BK46" s="535"/>
      <c r="BL46" s="410"/>
      <c r="BM46" s="535"/>
      <c r="BN46" s="410"/>
      <c r="BO46" s="535"/>
      <c r="BP46" s="410"/>
      <c r="BQ46" s="535"/>
      <c r="BR46" s="410"/>
      <c r="BS46" s="984"/>
      <c r="BT46" s="410"/>
      <c r="BU46" s="535"/>
      <c r="BV46" s="410"/>
      <c r="BW46" s="166"/>
      <c r="BX46" s="410"/>
      <c r="BY46" s="166"/>
      <c r="BZ46" s="410"/>
      <c r="CA46" s="166"/>
      <c r="CB46" s="410"/>
      <c r="CC46" s="166"/>
      <c r="CD46" s="410"/>
      <c r="CE46" s="166"/>
      <c r="CF46" s="410"/>
      <c r="CG46" s="166"/>
      <c r="CH46" s="410"/>
      <c r="CI46" s="166"/>
      <c r="CJ46" s="410"/>
      <c r="CK46" s="166"/>
      <c r="CL46" s="410"/>
      <c r="CM46" s="166"/>
      <c r="CN46" s="410"/>
      <c r="CO46" s="166"/>
      <c r="CP46" s="410"/>
      <c r="CQ46" s="166"/>
      <c r="CR46" s="410"/>
      <c r="CS46" s="166"/>
      <c r="CT46" s="157"/>
      <c r="CU46" s="166"/>
      <c r="CV46" s="157"/>
      <c r="CW46" s="166"/>
      <c r="CX46" s="157"/>
      <c r="CY46" s="166"/>
      <c r="CZ46" s="157"/>
      <c r="DA46" s="166"/>
      <c r="DB46" s="157"/>
      <c r="DC46" s="166"/>
      <c r="DD46" s="157"/>
      <c r="DE46" s="166"/>
      <c r="DF46" s="157"/>
      <c r="DG46" s="166"/>
      <c r="DH46" s="157"/>
      <c r="DI46" s="166"/>
      <c r="DJ46" s="157"/>
      <c r="DK46" s="166"/>
      <c r="DL46" s="157"/>
      <c r="DM46" s="166"/>
      <c r="DN46" s="157"/>
      <c r="DO46" s="166"/>
      <c r="DP46" s="157"/>
      <c r="DQ46" s="166"/>
      <c r="DR46" s="157"/>
      <c r="DS46" s="166"/>
      <c r="DT46" s="157"/>
      <c r="DU46" s="166"/>
      <c r="DV46" s="157"/>
      <c r="DW46" s="166"/>
      <c r="DX46" s="157"/>
      <c r="DY46" s="166"/>
      <c r="DZ46" s="157"/>
      <c r="EA46" s="166"/>
      <c r="EB46" s="157"/>
      <c r="EC46" s="166"/>
      <c r="ED46" s="157"/>
      <c r="EE46" s="166"/>
      <c r="EF46" s="157"/>
      <c r="EG46" s="166"/>
      <c r="EH46" s="157"/>
      <c r="EI46" s="166"/>
      <c r="EJ46" s="157"/>
      <c r="EK46" s="166"/>
      <c r="EL46" s="157"/>
      <c r="EM46" s="166"/>
      <c r="EN46" s="157"/>
      <c r="EO46" s="166"/>
      <c r="EP46" s="157"/>
      <c r="EQ46" s="166"/>
      <c r="ER46" s="166"/>
      <c r="ES46" s="166"/>
      <c r="ET46" s="166"/>
      <c r="EU46" s="166">
        <v>0</v>
      </c>
      <c r="EV46" s="166"/>
      <c r="EW46" s="166">
        <v>0</v>
      </c>
      <c r="EX46" s="166"/>
      <c r="EY46" s="166">
        <v>0</v>
      </c>
      <c r="EZ46" s="157"/>
      <c r="FA46" s="191">
        <v>40807329.68</v>
      </c>
      <c r="FB46" s="157"/>
      <c r="FC46" s="191">
        <v>73098358.780000001</v>
      </c>
      <c r="FD46" s="157"/>
      <c r="FE46" s="166">
        <v>0</v>
      </c>
      <c r="FF46" s="166"/>
      <c r="FG46" s="166">
        <v>0</v>
      </c>
      <c r="FH46" s="166"/>
      <c r="FI46" s="166">
        <v>0</v>
      </c>
      <c r="FJ46" s="166"/>
      <c r="FK46" s="166"/>
      <c r="FL46" s="166"/>
      <c r="FM46" s="166"/>
      <c r="FN46" s="166"/>
      <c r="FO46" s="166"/>
      <c r="FP46" s="166"/>
      <c r="FQ46" s="166"/>
      <c r="FR46" s="166"/>
      <c r="FS46" s="166"/>
      <c r="FT46" s="166"/>
      <c r="FU46" s="166"/>
      <c r="FV46" s="166"/>
      <c r="FW46" s="166"/>
      <c r="FX46" s="166"/>
      <c r="FY46" s="166"/>
      <c r="FZ46" s="166"/>
      <c r="GA46" s="166"/>
      <c r="GB46" s="157"/>
      <c r="GC46" s="157"/>
      <c r="GD46" s="157"/>
      <c r="GE46" s="157"/>
      <c r="GF46" s="157"/>
      <c r="GG46" s="157"/>
      <c r="GH46" s="166"/>
      <c r="GI46" s="157"/>
      <c r="GJ46" s="157"/>
      <c r="GK46" s="157"/>
      <c r="GL46" s="157"/>
      <c r="GM46" s="157"/>
      <c r="GN46" s="157"/>
      <c r="GO46" s="157"/>
      <c r="GP46" s="157"/>
      <c r="GQ46" s="157"/>
    </row>
    <row r="47" spans="1:199" ht="15.75" hidden="1" customHeight="1" thickBot="1">
      <c r="A47" s="158"/>
      <c r="B47" s="157" t="s">
        <v>321</v>
      </c>
      <c r="C47" s="535"/>
      <c r="D47" s="410"/>
      <c r="E47" s="535"/>
      <c r="F47" s="410"/>
      <c r="G47" s="535"/>
      <c r="H47" s="410"/>
      <c r="I47" s="535"/>
      <c r="J47" s="410"/>
      <c r="K47" s="535"/>
      <c r="L47" s="410"/>
      <c r="M47" s="535"/>
      <c r="N47" s="410"/>
      <c r="O47" s="535"/>
      <c r="P47" s="410"/>
      <c r="Q47" s="535"/>
      <c r="R47" s="410"/>
      <c r="S47" s="535"/>
      <c r="T47" s="410"/>
      <c r="U47" s="535"/>
      <c r="V47" s="410"/>
      <c r="W47" s="984"/>
      <c r="X47" s="410"/>
      <c r="Y47" s="535"/>
      <c r="Z47" s="410"/>
      <c r="AA47" s="535"/>
      <c r="AB47" s="410"/>
      <c r="AC47" s="535"/>
      <c r="AD47" s="410"/>
      <c r="AE47" s="535"/>
      <c r="AF47" s="410"/>
      <c r="AG47" s="535"/>
      <c r="AH47" s="410"/>
      <c r="AI47" s="535"/>
      <c r="AJ47" s="410"/>
      <c r="AK47" s="535"/>
      <c r="AL47" s="410"/>
      <c r="AM47" s="535"/>
      <c r="AN47" s="410"/>
      <c r="AO47" s="535"/>
      <c r="AP47" s="410"/>
      <c r="AQ47" s="535"/>
      <c r="AR47" s="410"/>
      <c r="AS47" s="535"/>
      <c r="AT47" s="410"/>
      <c r="AU47" s="984"/>
      <c r="AV47" s="410"/>
      <c r="AW47" s="535"/>
      <c r="AX47" s="410"/>
      <c r="AY47" s="535"/>
      <c r="AZ47" s="410"/>
      <c r="BA47" s="535"/>
      <c r="BB47" s="410"/>
      <c r="BC47" s="535"/>
      <c r="BD47" s="410"/>
      <c r="BE47" s="535"/>
      <c r="BF47" s="410"/>
      <c r="BG47" s="759"/>
      <c r="BH47" s="410"/>
      <c r="BI47" s="535"/>
      <c r="BJ47" s="410"/>
      <c r="BK47" s="535"/>
      <c r="BL47" s="410"/>
      <c r="BM47" s="535"/>
      <c r="BN47" s="410"/>
      <c r="BO47" s="535"/>
      <c r="BP47" s="410"/>
      <c r="BQ47" s="535"/>
      <c r="BR47" s="410"/>
      <c r="BS47" s="984"/>
      <c r="BT47" s="410"/>
      <c r="BU47" s="535"/>
      <c r="BV47" s="410"/>
      <c r="BW47" s="166"/>
      <c r="BX47" s="410"/>
      <c r="BY47" s="166"/>
      <c r="BZ47" s="410"/>
      <c r="CA47" s="166"/>
      <c r="CB47" s="410"/>
      <c r="CC47" s="166"/>
      <c r="CD47" s="410"/>
      <c r="CE47" s="166"/>
      <c r="CF47" s="410"/>
      <c r="CG47" s="166"/>
      <c r="CH47" s="410"/>
      <c r="CI47" s="166"/>
      <c r="CJ47" s="410"/>
      <c r="CK47" s="166"/>
      <c r="CL47" s="410"/>
      <c r="CM47" s="166"/>
      <c r="CN47" s="410"/>
      <c r="CO47" s="166"/>
      <c r="CP47" s="410"/>
      <c r="CQ47" s="166"/>
      <c r="CR47" s="410"/>
      <c r="CS47" s="166"/>
      <c r="CT47" s="157"/>
      <c r="CU47" s="166"/>
      <c r="CV47" s="157"/>
      <c r="CW47" s="166"/>
      <c r="CX47" s="157"/>
      <c r="CY47" s="166"/>
      <c r="CZ47" s="157"/>
      <c r="DA47" s="166"/>
      <c r="DB47" s="157"/>
      <c r="DC47" s="166"/>
      <c r="DD47" s="157"/>
      <c r="DE47" s="166"/>
      <c r="DF47" s="157"/>
      <c r="DG47" s="166"/>
      <c r="DH47" s="157"/>
      <c r="DI47" s="166"/>
      <c r="DJ47" s="157"/>
      <c r="DK47" s="166"/>
      <c r="DL47" s="157"/>
      <c r="DM47" s="166"/>
      <c r="DN47" s="157"/>
      <c r="DO47" s="166"/>
      <c r="DP47" s="157"/>
      <c r="DQ47" s="166"/>
      <c r="DR47" s="157"/>
      <c r="DS47" s="166"/>
      <c r="DT47" s="157"/>
      <c r="DU47" s="166"/>
      <c r="DV47" s="157"/>
      <c r="DW47" s="166"/>
      <c r="DX47" s="157"/>
      <c r="DY47" s="166"/>
      <c r="DZ47" s="157"/>
      <c r="EA47" s="166"/>
      <c r="EB47" s="157"/>
      <c r="EC47" s="166"/>
      <c r="ED47" s="157"/>
      <c r="EE47" s="166"/>
      <c r="EF47" s="157"/>
      <c r="EG47" s="166"/>
      <c r="EH47" s="157"/>
      <c r="EI47" s="166"/>
      <c r="EJ47" s="157"/>
      <c r="EK47" s="166"/>
      <c r="EL47" s="157"/>
      <c r="EM47" s="166"/>
      <c r="EN47" s="157"/>
      <c r="EO47" s="166"/>
      <c r="EP47" s="157"/>
      <c r="EQ47" s="166"/>
      <c r="ER47" s="157"/>
      <c r="ES47" s="166"/>
      <c r="ET47" s="157"/>
      <c r="EU47" s="166">
        <v>64962949.809999995</v>
      </c>
      <c r="EV47" s="157"/>
      <c r="EW47" s="166">
        <v>52971148.68</v>
      </c>
      <c r="EX47" s="157"/>
      <c r="EY47" s="166">
        <v>60987411.200000003</v>
      </c>
      <c r="EZ47" s="157"/>
      <c r="FA47" s="166">
        <v>213831.64</v>
      </c>
      <c r="FB47" s="157"/>
      <c r="FC47" s="191">
        <v>212752.59</v>
      </c>
      <c r="FD47" s="157"/>
      <c r="FE47" s="166">
        <v>211641.39</v>
      </c>
      <c r="FF47" s="166"/>
      <c r="FG47" s="166">
        <v>8665305.3599999994</v>
      </c>
      <c r="FH47" s="166"/>
      <c r="FI47" s="166">
        <v>141016.13</v>
      </c>
      <c r="FJ47" s="166"/>
      <c r="FK47" s="166"/>
      <c r="FL47" s="166"/>
      <c r="FM47" s="166"/>
      <c r="FN47" s="166"/>
      <c r="FO47" s="166"/>
      <c r="FP47" s="166"/>
      <c r="FQ47" s="166"/>
      <c r="FR47" s="166"/>
      <c r="FS47" s="166"/>
      <c r="FT47" s="166"/>
      <c r="FU47" s="166"/>
      <c r="FV47" s="166"/>
      <c r="FW47" s="166"/>
      <c r="FX47" s="166"/>
      <c r="FY47" s="166"/>
      <c r="FZ47" s="166"/>
      <c r="GA47" s="166"/>
      <c r="GB47" s="157"/>
      <c r="GC47" s="157"/>
      <c r="GD47" s="157"/>
      <c r="GE47" s="157"/>
      <c r="GF47" s="157"/>
      <c r="GG47" s="157"/>
      <c r="GH47" s="166"/>
      <c r="GI47" s="157"/>
      <c r="GJ47" s="157"/>
      <c r="GK47" s="157"/>
      <c r="GL47" s="157"/>
      <c r="GM47" s="157"/>
      <c r="GN47" s="157"/>
      <c r="GO47" s="157"/>
      <c r="GP47" s="157"/>
      <c r="GQ47" s="157"/>
    </row>
    <row r="48" spans="1:199" ht="15.75" hidden="1" customHeight="1" thickBot="1">
      <c r="A48" s="158"/>
      <c r="B48" s="157"/>
      <c r="C48" s="190"/>
      <c r="D48" s="410"/>
      <c r="E48" s="190"/>
      <c r="F48" s="410"/>
      <c r="G48" s="190"/>
      <c r="H48" s="410"/>
      <c r="I48" s="190"/>
      <c r="J48" s="410"/>
      <c r="K48" s="190"/>
      <c r="L48" s="410"/>
      <c r="M48" s="190"/>
      <c r="N48" s="410"/>
      <c r="O48" s="190"/>
      <c r="P48" s="410"/>
      <c r="Q48" s="190"/>
      <c r="R48" s="410"/>
      <c r="S48" s="190"/>
      <c r="T48" s="410"/>
      <c r="U48" s="190"/>
      <c r="V48" s="410"/>
      <c r="W48" s="987"/>
      <c r="X48" s="410"/>
      <c r="Y48" s="190"/>
      <c r="Z48" s="410"/>
      <c r="AA48" s="190"/>
      <c r="AB48" s="410"/>
      <c r="AC48" s="190"/>
      <c r="AD48" s="410"/>
      <c r="AE48" s="190"/>
      <c r="AF48" s="410"/>
      <c r="AG48" s="190"/>
      <c r="AH48" s="410"/>
      <c r="AI48" s="190"/>
      <c r="AJ48" s="410"/>
      <c r="AK48" s="190"/>
      <c r="AL48" s="410"/>
      <c r="AM48" s="190"/>
      <c r="AN48" s="410"/>
      <c r="AO48" s="190"/>
      <c r="AP48" s="410"/>
      <c r="AQ48" s="190"/>
      <c r="AR48" s="410"/>
      <c r="AS48" s="190"/>
      <c r="AT48" s="410"/>
      <c r="AU48" s="987"/>
      <c r="AV48" s="410"/>
      <c r="AW48" s="190"/>
      <c r="AX48" s="410"/>
      <c r="AY48" s="190"/>
      <c r="AZ48" s="410"/>
      <c r="BA48" s="190"/>
      <c r="BB48" s="410"/>
      <c r="BC48" s="190"/>
      <c r="BD48" s="410"/>
      <c r="BE48" s="190"/>
      <c r="BF48" s="410"/>
      <c r="BG48" s="190"/>
      <c r="BH48" s="410"/>
      <c r="BI48" s="190"/>
      <c r="BJ48" s="410"/>
      <c r="BK48" s="190"/>
      <c r="BL48" s="410"/>
      <c r="BM48" s="190"/>
      <c r="BN48" s="410"/>
      <c r="BO48" s="190"/>
      <c r="BP48" s="410"/>
      <c r="BQ48" s="190"/>
      <c r="BR48" s="410"/>
      <c r="BS48" s="987"/>
      <c r="BT48" s="410"/>
      <c r="BU48" s="190"/>
      <c r="BV48" s="410"/>
      <c r="BW48" s="171"/>
      <c r="BX48" s="410"/>
      <c r="BY48" s="171"/>
      <c r="BZ48" s="410"/>
      <c r="CA48" s="171"/>
      <c r="CB48" s="410"/>
      <c r="CC48" s="171"/>
      <c r="CD48" s="410"/>
      <c r="CE48" s="171"/>
      <c r="CF48" s="410"/>
      <c r="CG48" s="171"/>
      <c r="CH48" s="410"/>
      <c r="CI48" s="171"/>
      <c r="CJ48" s="410"/>
      <c r="CK48" s="171"/>
      <c r="CL48" s="410"/>
      <c r="CM48" s="171"/>
      <c r="CN48" s="410"/>
      <c r="CO48" s="171"/>
      <c r="CP48" s="410"/>
      <c r="CQ48" s="171"/>
      <c r="CR48" s="410"/>
      <c r="CS48" s="171"/>
      <c r="CT48" s="157"/>
      <c r="CU48" s="171"/>
      <c r="CV48" s="157"/>
      <c r="CW48" s="171"/>
      <c r="CX48" s="157"/>
      <c r="CY48" s="171"/>
      <c r="CZ48" s="157"/>
      <c r="DA48" s="171"/>
      <c r="DB48" s="157"/>
      <c r="DC48" s="171"/>
      <c r="DD48" s="157"/>
      <c r="DE48" s="171"/>
      <c r="DF48" s="157"/>
      <c r="DG48" s="171"/>
      <c r="DH48" s="157"/>
      <c r="DI48" s="171"/>
      <c r="DJ48" s="157"/>
      <c r="DK48" s="171"/>
      <c r="DL48" s="157"/>
      <c r="DM48" s="171"/>
      <c r="DN48" s="157"/>
      <c r="DO48" s="171"/>
      <c r="DP48" s="157"/>
      <c r="DQ48" s="171"/>
      <c r="DR48" s="157"/>
      <c r="DS48" s="171"/>
      <c r="DT48" s="157"/>
      <c r="DU48" s="171"/>
      <c r="DV48" s="157"/>
      <c r="DW48" s="171"/>
      <c r="DX48" s="157"/>
      <c r="DY48" s="171"/>
      <c r="DZ48" s="157"/>
      <c r="EA48" s="171"/>
      <c r="EB48" s="157"/>
      <c r="EC48" s="171"/>
      <c r="ED48" s="157"/>
      <c r="EE48" s="171"/>
      <c r="EF48" s="157"/>
      <c r="EG48" s="171"/>
      <c r="EH48" s="157"/>
      <c r="EI48" s="171"/>
      <c r="EJ48" s="157"/>
      <c r="EK48" s="171"/>
      <c r="EL48" s="157"/>
      <c r="EM48" s="171"/>
      <c r="EN48" s="157"/>
      <c r="EO48" s="171"/>
      <c r="EP48" s="157"/>
      <c r="EQ48" s="171"/>
      <c r="ER48" s="157"/>
      <c r="ES48" s="171"/>
      <c r="ET48" s="157"/>
      <c r="EU48" s="171">
        <v>64962949.809999995</v>
      </c>
      <c r="EV48" s="157"/>
      <c r="EW48" s="171">
        <v>52971148.68</v>
      </c>
      <c r="EX48" s="157"/>
      <c r="EY48" s="171">
        <v>60987411.200000003</v>
      </c>
      <c r="EZ48" s="157"/>
      <c r="FA48" s="171">
        <v>41021161.32</v>
      </c>
      <c r="FB48" s="157"/>
      <c r="FC48" s="171">
        <v>73311111.370000005</v>
      </c>
      <c r="FD48" s="157"/>
      <c r="FE48" s="171">
        <v>211641.39</v>
      </c>
      <c r="FF48" s="166"/>
      <c r="FG48" s="171">
        <v>8665305.3599999994</v>
      </c>
      <c r="FH48" s="166"/>
      <c r="FI48" s="171">
        <v>141016.13</v>
      </c>
      <c r="FJ48" s="166"/>
      <c r="FK48" s="172"/>
      <c r="FL48" s="166"/>
      <c r="FM48" s="172"/>
      <c r="FN48" s="166"/>
      <c r="FO48" s="172"/>
      <c r="FP48" s="166"/>
      <c r="FQ48" s="166"/>
      <c r="FR48" s="166"/>
      <c r="FS48" s="166"/>
      <c r="FT48" s="166"/>
      <c r="FU48" s="166"/>
      <c r="FV48" s="166"/>
      <c r="FW48" s="166"/>
      <c r="FX48" s="166"/>
      <c r="FY48" s="166"/>
      <c r="FZ48" s="157"/>
      <c r="GA48" s="157"/>
      <c r="GB48" s="157"/>
      <c r="GC48" s="157"/>
      <c r="GD48" s="157"/>
      <c r="GE48" s="157"/>
      <c r="GF48" s="157"/>
      <c r="GG48" s="157"/>
      <c r="GH48" s="166"/>
      <c r="GI48" s="157"/>
      <c r="GJ48" s="157"/>
      <c r="GK48" s="157"/>
      <c r="GL48" s="157"/>
      <c r="GM48" s="157"/>
      <c r="GN48" s="157"/>
      <c r="GO48" s="157"/>
      <c r="GP48" s="157"/>
      <c r="GQ48" s="157"/>
    </row>
    <row r="49" spans="1:199" ht="15" customHeight="1" thickBot="1"/>
    <row r="50" spans="1:199" ht="14.25" customHeight="1" thickBot="1">
      <c r="A50" s="163">
        <v>6</v>
      </c>
      <c r="B50" s="164" t="s">
        <v>226</v>
      </c>
      <c r="C50" s="639"/>
      <c r="D50" s="411"/>
      <c r="E50" s="639"/>
      <c r="F50" s="411"/>
      <c r="G50" s="639"/>
      <c r="H50" s="411"/>
      <c r="I50" s="639"/>
      <c r="J50" s="411"/>
      <c r="K50" s="639"/>
      <c r="L50" s="411"/>
      <c r="M50" s="639"/>
      <c r="N50" s="411"/>
      <c r="O50" s="639"/>
      <c r="P50" s="411"/>
      <c r="Q50" s="639"/>
      <c r="R50" s="411"/>
      <c r="S50" s="639"/>
      <c r="T50" s="411"/>
      <c r="U50" s="639"/>
      <c r="V50" s="411"/>
      <c r="W50" s="1167"/>
      <c r="X50" s="411"/>
      <c r="Y50" s="639"/>
      <c r="Z50" s="411"/>
      <c r="AA50" s="639"/>
      <c r="AB50" s="411"/>
      <c r="AC50" s="639"/>
      <c r="AD50" s="411"/>
      <c r="AE50" s="639"/>
      <c r="AF50" s="411"/>
      <c r="AG50" s="639"/>
      <c r="AH50" s="411"/>
      <c r="AI50" s="639"/>
      <c r="AJ50" s="411"/>
      <c r="AK50" s="639"/>
      <c r="AL50" s="411"/>
      <c r="AM50" s="639"/>
      <c r="AN50" s="411"/>
      <c r="AO50" s="639"/>
      <c r="AP50" s="411"/>
      <c r="AQ50" s="639"/>
      <c r="AR50" s="411"/>
      <c r="AS50" s="639"/>
      <c r="AT50" s="411"/>
      <c r="AU50" s="1167"/>
      <c r="AV50" s="411"/>
      <c r="AW50" s="639"/>
      <c r="AX50" s="411"/>
      <c r="AY50" s="639"/>
      <c r="AZ50" s="411"/>
      <c r="BA50" s="639"/>
      <c r="BB50" s="411"/>
      <c r="BC50" s="639"/>
      <c r="BD50" s="411"/>
      <c r="BE50" s="639"/>
      <c r="BF50" s="411"/>
      <c r="BG50" s="831"/>
      <c r="BH50" s="411"/>
      <c r="BI50" s="639"/>
      <c r="BJ50" s="411"/>
      <c r="BK50" s="639"/>
      <c r="BL50" s="411"/>
      <c r="BM50" s="639"/>
      <c r="BN50" s="411"/>
      <c r="BO50" s="639"/>
      <c r="BP50" s="411"/>
      <c r="BQ50" s="639"/>
      <c r="BR50" s="411"/>
      <c r="BS50" s="1167"/>
      <c r="BT50" s="411"/>
      <c r="BU50" s="639"/>
      <c r="BV50" s="411"/>
      <c r="BW50" s="164"/>
      <c r="BX50" s="411"/>
      <c r="BY50" s="164"/>
      <c r="BZ50" s="411"/>
      <c r="CA50" s="164"/>
      <c r="CB50" s="411"/>
      <c r="CC50" s="164"/>
      <c r="CD50" s="411"/>
      <c r="CE50" s="164"/>
      <c r="CF50" s="411"/>
      <c r="CG50" s="164"/>
      <c r="CH50" s="411"/>
      <c r="CI50" s="164"/>
      <c r="CJ50" s="411"/>
      <c r="CK50" s="164"/>
      <c r="CL50" s="411"/>
      <c r="CM50" s="164"/>
      <c r="CN50" s="411"/>
      <c r="CO50" s="164"/>
      <c r="CP50" s="411"/>
      <c r="CQ50" s="164"/>
      <c r="CR50" s="411"/>
      <c r="CS50" s="164"/>
      <c r="CT50" s="164"/>
      <c r="CU50" s="164"/>
      <c r="CV50" s="164"/>
      <c r="CW50" s="164"/>
      <c r="CX50" s="164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164"/>
      <c r="DL50" s="164"/>
      <c r="DM50" s="164"/>
      <c r="DN50" s="164"/>
      <c r="DO50" s="164"/>
      <c r="DP50" s="164"/>
      <c r="DQ50" s="164"/>
      <c r="DR50" s="164"/>
      <c r="DS50" s="164"/>
      <c r="DT50" s="164"/>
      <c r="DU50" s="164"/>
      <c r="DV50" s="164"/>
      <c r="DW50" s="164"/>
      <c r="DX50" s="164"/>
      <c r="DY50" s="164"/>
      <c r="DZ50" s="164"/>
      <c r="EA50" s="164"/>
      <c r="EB50" s="164"/>
      <c r="EC50" s="164"/>
      <c r="ED50" s="164"/>
      <c r="EE50" s="164"/>
      <c r="EF50" s="164"/>
      <c r="EG50" s="164"/>
      <c r="EH50" s="164"/>
      <c r="EI50" s="164"/>
      <c r="EJ50" s="164"/>
      <c r="EK50" s="164"/>
      <c r="EL50" s="164"/>
      <c r="EM50" s="164"/>
      <c r="EN50" s="164"/>
      <c r="EO50" s="164"/>
      <c r="EP50" s="164"/>
      <c r="EQ50" s="164"/>
      <c r="ER50" s="164"/>
      <c r="ES50" s="164"/>
      <c r="ET50" s="164"/>
      <c r="EU50" s="164"/>
      <c r="EV50" s="164"/>
      <c r="EW50" s="164"/>
      <c r="EX50" s="164"/>
      <c r="EY50" s="164"/>
      <c r="EZ50" s="164"/>
      <c r="FA50" s="164"/>
      <c r="FB50" s="164"/>
      <c r="FC50" s="164"/>
      <c r="FD50" s="164"/>
      <c r="FE50" s="164"/>
      <c r="FF50" s="164"/>
      <c r="FG50" s="164"/>
      <c r="FH50" s="164"/>
      <c r="FI50" s="164"/>
      <c r="FJ50" s="164"/>
      <c r="FK50" s="164"/>
      <c r="FL50" s="164"/>
      <c r="FM50" s="164"/>
      <c r="FN50" s="164"/>
      <c r="FO50" s="164"/>
      <c r="FP50" s="164"/>
      <c r="FQ50" s="164"/>
      <c r="FR50" s="164"/>
      <c r="FS50" s="164"/>
      <c r="FT50" s="164"/>
      <c r="FU50" s="164"/>
      <c r="FV50" s="164"/>
      <c r="FW50" s="164"/>
      <c r="FX50" s="164"/>
      <c r="FY50" s="164"/>
      <c r="FZ50" s="164"/>
      <c r="GA50" s="164"/>
      <c r="GB50" s="164"/>
      <c r="GC50" s="164"/>
      <c r="GD50" s="164"/>
      <c r="GE50" s="164"/>
      <c r="GF50" s="164"/>
      <c r="GG50" s="164"/>
      <c r="GH50" s="176"/>
      <c r="GI50" s="164"/>
      <c r="GJ50" s="164"/>
      <c r="GK50" s="164"/>
      <c r="GL50" s="164"/>
      <c r="GM50" s="164"/>
      <c r="GN50" s="164"/>
      <c r="GO50" s="164"/>
      <c r="GP50" s="164"/>
      <c r="GQ50" s="164"/>
    </row>
    <row r="51" spans="1:199" ht="14.25" customHeight="1">
      <c r="A51" s="158"/>
      <c r="B51" s="572" t="s">
        <v>821</v>
      </c>
      <c r="C51" s="167">
        <v>18557653.379999999</v>
      </c>
      <c r="D51" s="447"/>
      <c r="E51" s="167">
        <v>16244591.52</v>
      </c>
      <c r="F51" s="447"/>
      <c r="G51" s="167">
        <v>18313598.850000001</v>
      </c>
      <c r="H51" s="447"/>
      <c r="I51" s="167">
        <v>16823358.09</v>
      </c>
      <c r="J51" s="447"/>
      <c r="K51" s="167">
        <v>14841936.800000001</v>
      </c>
      <c r="L51" s="447"/>
      <c r="M51" s="993">
        <v>15760385.359999999</v>
      </c>
      <c r="N51" s="447"/>
      <c r="O51" s="994">
        <v>16126937.439999999</v>
      </c>
      <c r="P51" s="447"/>
      <c r="Q51" s="994">
        <v>21618178.27</v>
      </c>
      <c r="R51" s="447"/>
      <c r="S51" s="994">
        <v>13461869.59</v>
      </c>
      <c r="T51" s="447"/>
      <c r="U51" s="994">
        <v>15770527.42</v>
      </c>
      <c r="V51" s="447"/>
      <c r="W51" s="994">
        <v>18876985.800000001</v>
      </c>
      <c r="X51" s="447"/>
      <c r="Y51" s="994">
        <v>17451224.32</v>
      </c>
      <c r="Z51" s="447"/>
      <c r="AA51" s="994">
        <v>23213323.100000001</v>
      </c>
      <c r="AB51" s="447"/>
      <c r="AC51" s="994">
        <v>29407889.199999999</v>
      </c>
      <c r="AD51" s="447"/>
      <c r="AE51" s="729">
        <v>20264609.890000001</v>
      </c>
      <c r="AF51" s="447"/>
      <c r="AG51" s="729">
        <v>17218059.059999999</v>
      </c>
      <c r="AH51" s="447"/>
      <c r="AI51" s="729">
        <v>17958268.960000001</v>
      </c>
      <c r="AJ51" s="447"/>
      <c r="AK51" s="729">
        <v>20415178.109999999</v>
      </c>
      <c r="AL51" s="447"/>
      <c r="AM51" s="729">
        <v>19923126.719999999</v>
      </c>
      <c r="AN51" s="447"/>
      <c r="AO51" s="729">
        <v>18391544.309999999</v>
      </c>
      <c r="AP51" s="410"/>
      <c r="AQ51" s="729">
        <v>18867482.5</v>
      </c>
      <c r="AR51" s="410"/>
      <c r="AS51" s="729">
        <v>28595522.920000002</v>
      </c>
      <c r="AT51" s="410"/>
      <c r="AU51" s="994">
        <v>31139070.960000001</v>
      </c>
      <c r="AV51" s="410"/>
      <c r="AW51" s="729">
        <v>11897442.85</v>
      </c>
      <c r="AX51" s="410"/>
      <c r="AY51" s="489">
        <v>12173812.1</v>
      </c>
      <c r="AZ51" s="410"/>
      <c r="BA51" s="489">
        <v>18467150.210000001</v>
      </c>
      <c r="BB51" s="410"/>
      <c r="BC51" s="489">
        <v>11039151.83</v>
      </c>
      <c r="BD51" s="410"/>
      <c r="BE51" s="489">
        <v>9393606.3399999999</v>
      </c>
      <c r="BF51" s="410"/>
      <c r="BG51" s="729">
        <v>10396172.5</v>
      </c>
      <c r="BH51" s="410"/>
      <c r="BI51" s="489">
        <v>7167878.4100000001</v>
      </c>
      <c r="BJ51" s="410"/>
      <c r="BK51" s="489">
        <v>9998691.4000000004</v>
      </c>
      <c r="BL51" s="410"/>
      <c r="BM51" s="489">
        <v>10745681.060000001</v>
      </c>
      <c r="BN51" s="410"/>
      <c r="BO51" s="489">
        <v>6784944.8300000001</v>
      </c>
      <c r="BP51" s="410"/>
      <c r="BQ51" s="489">
        <v>7204109.5800000001</v>
      </c>
      <c r="BR51" s="410"/>
      <c r="BS51" s="993">
        <v>11447345.189999999</v>
      </c>
      <c r="BT51" s="410"/>
      <c r="BU51" s="489">
        <f>10954960.22-1</f>
        <v>10954959.220000001</v>
      </c>
      <c r="BV51" s="410"/>
      <c r="BW51" s="489">
        <v>10620587.98</v>
      </c>
      <c r="BX51" s="410"/>
      <c r="BY51" s="489">
        <v>10539050.379999999</v>
      </c>
      <c r="BZ51" s="410"/>
      <c r="CA51" s="489">
        <v>10068279.07</v>
      </c>
      <c r="CB51" s="410"/>
      <c r="CC51" s="489">
        <v>5718259.1100000003</v>
      </c>
      <c r="CD51" s="410"/>
      <c r="CE51" s="489">
        <v>5651698.8899999997</v>
      </c>
      <c r="CF51" s="410"/>
      <c r="CG51" s="489">
        <v>6205736.3099999996</v>
      </c>
      <c r="CH51" s="410"/>
      <c r="CI51" s="489">
        <v>5358236.6899999995</v>
      </c>
      <c r="CJ51" s="410"/>
      <c r="CK51" s="489">
        <v>5848714.0599999996</v>
      </c>
      <c r="CL51" s="410"/>
      <c r="CM51" s="167">
        <f>3786192.41-77922.34-36445.44</f>
        <v>3671824.6300000004</v>
      </c>
      <c r="CN51" s="410"/>
      <c r="CO51" s="167">
        <f>6326801.32-216087.22-26519.46</f>
        <v>6084194.6400000006</v>
      </c>
      <c r="CP51" s="410"/>
      <c r="CQ51" s="167">
        <f>3825479.78-149130.08-18856.64</f>
        <v>3657493.0599999996</v>
      </c>
      <c r="CR51" s="410"/>
      <c r="CS51" s="167">
        <f>5009069.22-78319.75-9442.64</f>
        <v>4921306.83</v>
      </c>
      <c r="CT51" s="157"/>
      <c r="CU51" s="167">
        <v>2596341.2799999993</v>
      </c>
      <c r="CV51" s="157"/>
      <c r="CW51" s="167">
        <f>7510294-239219.6-98626.15</f>
        <v>7172448.25</v>
      </c>
      <c r="CX51" s="157"/>
      <c r="CY51" s="167">
        <f>4990146.32-116469.93-189385.07</f>
        <v>4684291.32</v>
      </c>
      <c r="CZ51" s="157"/>
      <c r="DA51" s="167">
        <f>5459998.12-341635-349496.18</f>
        <v>4768866.9400000004</v>
      </c>
      <c r="DB51" s="157"/>
      <c r="DC51" s="167">
        <f>3906138.05-222065.25-374742.35</f>
        <v>3309330.4499999997</v>
      </c>
      <c r="DD51" s="157"/>
      <c r="DE51" s="167">
        <f>2484521.5+2500000+1200000-111627.53-328466.92</f>
        <v>5744427.0499999998</v>
      </c>
      <c r="DF51" s="157"/>
      <c r="DG51" s="167">
        <f>4670261.06-426849.09-344911.47+2500000+1200000</f>
        <v>7598500.5</v>
      </c>
      <c r="DH51" s="157"/>
      <c r="DI51" s="167">
        <f>4639318.6-484629.76-275540.71</f>
        <v>3879148.13</v>
      </c>
      <c r="DJ51" s="157"/>
      <c r="DK51" s="167">
        <f>1998882.23-142988.03-768631.37</f>
        <v>1087262.83</v>
      </c>
      <c r="DL51" s="157"/>
      <c r="DM51" s="167">
        <f>2121485.92-723959.2</f>
        <v>1397526.72</v>
      </c>
      <c r="DN51" s="157"/>
      <c r="DO51" s="167">
        <v>799707.14999999991</v>
      </c>
      <c r="DP51" s="157"/>
      <c r="DQ51" s="167">
        <v>626395.43000000005</v>
      </c>
      <c r="DR51" s="157"/>
      <c r="DS51" s="179">
        <v>254795.63782756205</v>
      </c>
      <c r="DT51" s="157"/>
      <c r="DU51" s="166">
        <v>654941.88058102969</v>
      </c>
      <c r="DV51" s="157"/>
      <c r="DW51" s="166">
        <v>1321485.6650263146</v>
      </c>
      <c r="DX51" s="157"/>
      <c r="DY51" s="166">
        <v>937213.04000000015</v>
      </c>
      <c r="DZ51" s="157"/>
      <c r="EA51" s="166">
        <v>445199.00000000012</v>
      </c>
      <c r="EB51" s="157"/>
      <c r="EC51" s="167">
        <v>407683.04000000004</v>
      </c>
      <c r="ED51" s="157"/>
      <c r="EE51" s="167">
        <v>125469.12999999998</v>
      </c>
      <c r="EF51" s="157"/>
      <c r="EG51" s="167">
        <v>499613.76285259257</v>
      </c>
      <c r="EH51" s="157"/>
      <c r="EI51" s="167">
        <v>172545.02</v>
      </c>
      <c r="EJ51" s="157"/>
      <c r="EK51" s="167">
        <v>877466.69000000006</v>
      </c>
      <c r="EL51" s="157"/>
      <c r="EM51" s="166">
        <v>1288688.7299999997</v>
      </c>
      <c r="EN51" s="157"/>
      <c r="EO51" s="166">
        <v>1943051.87</v>
      </c>
      <c r="EP51" s="157"/>
      <c r="EQ51" s="167">
        <v>244313</v>
      </c>
      <c r="ER51" s="157"/>
      <c r="ES51" s="167">
        <v>1483272</v>
      </c>
      <c r="ET51" s="157"/>
      <c r="EU51" s="167">
        <v>359913</v>
      </c>
      <c r="EV51" s="157"/>
      <c r="EW51" s="167">
        <v>1467072</v>
      </c>
      <c r="EX51" s="157"/>
      <c r="EY51" s="167">
        <v>704347</v>
      </c>
      <c r="EZ51" s="157"/>
      <c r="FA51" s="167">
        <v>719593</v>
      </c>
      <c r="FB51" s="157"/>
      <c r="FC51" s="167">
        <v>277354</v>
      </c>
      <c r="FD51" s="157"/>
      <c r="FE51" s="167">
        <v>255477</v>
      </c>
      <c r="FF51" s="157"/>
      <c r="FG51" s="167">
        <v>-71832</v>
      </c>
      <c r="FH51" s="157"/>
      <c r="FI51" s="167">
        <v>152687</v>
      </c>
      <c r="FJ51" s="157"/>
      <c r="FK51" s="167">
        <v>222579</v>
      </c>
      <c r="FL51" s="157"/>
      <c r="FM51" s="167">
        <v>622022</v>
      </c>
      <c r="FN51" s="157"/>
      <c r="FO51" s="167">
        <v>744400</v>
      </c>
      <c r="FP51" s="157"/>
      <c r="FQ51" s="167">
        <v>878627</v>
      </c>
      <c r="FR51" s="157"/>
      <c r="FS51" s="167">
        <v>565004</v>
      </c>
      <c r="FT51" s="157"/>
      <c r="FU51" s="167">
        <v>136422</v>
      </c>
      <c r="FV51" s="157"/>
      <c r="FW51" s="167">
        <v>31998</v>
      </c>
      <c r="FX51" s="157"/>
      <c r="FY51" s="167">
        <v>-16628</v>
      </c>
      <c r="FZ51" s="157"/>
      <c r="GA51" s="167">
        <v>-3873</v>
      </c>
      <c r="GB51" s="157"/>
      <c r="GC51" s="167">
        <v>80074.28</v>
      </c>
      <c r="GD51" s="157"/>
      <c r="GE51" s="167">
        <v>26402</v>
      </c>
      <c r="GF51" s="157"/>
      <c r="GG51" s="166">
        <v>22992.190000000002</v>
      </c>
      <c r="GH51" s="166"/>
      <c r="GI51" s="166">
        <v>50385.39</v>
      </c>
      <c r="GJ51" s="166"/>
      <c r="GK51" s="166">
        <v>14739.419999999998</v>
      </c>
      <c r="GL51" s="166"/>
      <c r="GM51" s="166">
        <v>28339.82</v>
      </c>
      <c r="GN51" s="166"/>
      <c r="GO51" s="166">
        <v>-29156.42</v>
      </c>
      <c r="GP51" s="166"/>
      <c r="GQ51" s="166">
        <v>-27227.239999999998</v>
      </c>
    </row>
    <row r="52" spans="1:199" ht="14.25" hidden="1" customHeight="1" outlineLevel="1">
      <c r="A52" s="158"/>
      <c r="B52" s="157" t="s">
        <v>322</v>
      </c>
      <c r="C52" s="167">
        <v>0</v>
      </c>
      <c r="D52" s="410"/>
      <c r="E52" s="167">
        <v>0</v>
      </c>
      <c r="F52" s="410"/>
      <c r="G52" s="167">
        <v>0</v>
      </c>
      <c r="H52" s="410"/>
      <c r="I52" s="167">
        <v>0</v>
      </c>
      <c r="J52" s="410"/>
      <c r="K52" s="167">
        <v>0</v>
      </c>
      <c r="L52" s="410"/>
      <c r="M52" s="993">
        <v>0</v>
      </c>
      <c r="N52" s="410"/>
      <c r="O52" s="418">
        <v>0</v>
      </c>
      <c r="P52" s="410"/>
      <c r="Q52" s="418">
        <v>0</v>
      </c>
      <c r="R52" s="410"/>
      <c r="S52" s="418">
        <v>0</v>
      </c>
      <c r="T52" s="410"/>
      <c r="U52" s="418">
        <v>0</v>
      </c>
      <c r="V52" s="410"/>
      <c r="W52" s="418">
        <v>0</v>
      </c>
      <c r="X52" s="410"/>
      <c r="Y52" s="418">
        <v>0</v>
      </c>
      <c r="Z52" s="410"/>
      <c r="AA52" s="418">
        <v>0</v>
      </c>
      <c r="AB52" s="410"/>
      <c r="AC52" s="418">
        <v>0</v>
      </c>
      <c r="AD52" s="410"/>
      <c r="AE52" s="167">
        <v>0</v>
      </c>
      <c r="AF52" s="410"/>
      <c r="AG52" s="167">
        <v>0</v>
      </c>
      <c r="AH52" s="410"/>
      <c r="AI52" s="167">
        <v>0</v>
      </c>
      <c r="AJ52" s="410"/>
      <c r="AK52" s="167">
        <v>0</v>
      </c>
      <c r="AL52" s="410"/>
      <c r="AM52" s="167">
        <v>0</v>
      </c>
      <c r="AN52" s="410"/>
      <c r="AO52" s="167">
        <v>0</v>
      </c>
      <c r="AP52" s="410"/>
      <c r="AQ52" s="167">
        <v>0</v>
      </c>
      <c r="AR52" s="410"/>
      <c r="AS52" s="167">
        <v>0</v>
      </c>
      <c r="AT52" s="410"/>
      <c r="AU52" s="418">
        <v>0</v>
      </c>
      <c r="AV52" s="410"/>
      <c r="AW52" s="167">
        <v>0</v>
      </c>
      <c r="AX52" s="410"/>
      <c r="AY52" s="167">
        <v>0</v>
      </c>
      <c r="AZ52" s="410"/>
      <c r="BA52" s="167">
        <v>0</v>
      </c>
      <c r="BB52" s="410"/>
      <c r="BC52" s="167">
        <v>0</v>
      </c>
      <c r="BD52" s="410"/>
      <c r="BE52" s="167">
        <v>0</v>
      </c>
      <c r="BF52" s="410"/>
      <c r="BG52" s="167">
        <v>0</v>
      </c>
      <c r="BH52" s="410"/>
      <c r="BI52" s="167">
        <v>0</v>
      </c>
      <c r="BJ52" s="410"/>
      <c r="BK52" s="167">
        <v>0</v>
      </c>
      <c r="BL52" s="410"/>
      <c r="BM52" s="167">
        <v>0</v>
      </c>
      <c r="BN52" s="410"/>
      <c r="BO52" s="167">
        <v>0</v>
      </c>
      <c r="BP52" s="410"/>
      <c r="BQ52" s="167">
        <v>0</v>
      </c>
      <c r="BR52" s="410"/>
      <c r="BS52" s="418">
        <v>-1943116.26</v>
      </c>
      <c r="BT52" s="410"/>
      <c r="BU52" s="167">
        <v>-1845186.5600000001</v>
      </c>
      <c r="BV52" s="410"/>
      <c r="BW52" s="167">
        <v>-1789125.23</v>
      </c>
      <c r="BX52" s="410"/>
      <c r="BY52" s="167">
        <v>-1701132.35</v>
      </c>
      <c r="BZ52" s="410"/>
      <c r="CA52" s="167">
        <v>-1629443.14</v>
      </c>
      <c r="CB52" s="410"/>
      <c r="CC52" s="167">
        <v>-1596860.18</v>
      </c>
      <c r="CD52" s="410"/>
      <c r="CE52" s="167">
        <v>-1548224.96</v>
      </c>
      <c r="CF52" s="410"/>
      <c r="CG52" s="167">
        <v>-1486283.09</v>
      </c>
      <c r="CH52" s="410"/>
      <c r="CI52" s="167">
        <v>-1306697.68</v>
      </c>
      <c r="CJ52" s="410"/>
      <c r="CK52" s="167">
        <v>-1093214</v>
      </c>
      <c r="CL52" s="410"/>
      <c r="CM52" s="167">
        <v>-351220.38</v>
      </c>
      <c r="CN52" s="410"/>
      <c r="CO52" s="167">
        <v>-366758.27</v>
      </c>
      <c r="CP52" s="410"/>
      <c r="CQ52" s="167">
        <v>-364075.13</v>
      </c>
      <c r="CR52" s="410"/>
      <c r="CS52" s="167">
        <v>-371582.22</v>
      </c>
      <c r="CT52" s="157"/>
      <c r="CU52" s="167">
        <v>-371492.22</v>
      </c>
      <c r="CV52" s="157"/>
      <c r="CW52" s="167">
        <v>-349097</v>
      </c>
      <c r="CX52" s="157"/>
      <c r="CY52" s="166">
        <v>-348347.22</v>
      </c>
      <c r="CZ52" s="157"/>
      <c r="DA52" s="166">
        <v>-347190.6</v>
      </c>
      <c r="DB52" s="157"/>
      <c r="DC52" s="166">
        <v>-347190.6</v>
      </c>
      <c r="DD52" s="157"/>
      <c r="DE52" s="166">
        <v>-347190.6</v>
      </c>
      <c r="DF52" s="157"/>
      <c r="DG52" s="166">
        <v>-347190.6</v>
      </c>
      <c r="DH52" s="157"/>
      <c r="DI52" s="166">
        <v>-347190.6</v>
      </c>
      <c r="DJ52" s="157"/>
      <c r="DK52" s="166">
        <v>-302400.59999999998</v>
      </c>
      <c r="DL52" s="157"/>
      <c r="DM52" s="166">
        <v>-268242</v>
      </c>
      <c r="DN52" s="157"/>
      <c r="DO52" s="166">
        <v>-266142</v>
      </c>
      <c r="DP52" s="157"/>
      <c r="DQ52" s="166">
        <v>-186870</v>
      </c>
      <c r="DR52" s="157"/>
      <c r="DS52" s="179"/>
      <c r="DT52" s="157"/>
      <c r="DU52" s="166"/>
      <c r="DV52" s="157"/>
      <c r="DW52" s="166"/>
      <c r="DX52" s="157"/>
      <c r="DY52" s="166"/>
      <c r="DZ52" s="157"/>
      <c r="EA52" s="166"/>
      <c r="EB52" s="157"/>
      <c r="EC52" s="167"/>
      <c r="ED52" s="157"/>
      <c r="EE52" s="167"/>
      <c r="EF52" s="157"/>
      <c r="EG52" s="167"/>
      <c r="EH52" s="157"/>
      <c r="EI52" s="167"/>
      <c r="EJ52" s="157"/>
      <c r="EK52" s="167"/>
      <c r="EL52" s="157"/>
      <c r="EM52" s="166"/>
      <c r="EN52" s="157"/>
      <c r="EO52" s="166"/>
      <c r="EP52" s="157"/>
      <c r="EQ52" s="167"/>
      <c r="ER52" s="157"/>
      <c r="ES52" s="167"/>
      <c r="ET52" s="157"/>
      <c r="EU52" s="167"/>
      <c r="EV52" s="157"/>
      <c r="EW52" s="167"/>
      <c r="EX52" s="157"/>
      <c r="EY52" s="167"/>
      <c r="EZ52" s="157"/>
      <c r="FA52" s="167"/>
      <c r="FB52" s="157"/>
      <c r="FC52" s="167"/>
      <c r="FD52" s="157"/>
      <c r="FE52" s="167"/>
      <c r="FF52" s="157"/>
      <c r="FG52" s="167"/>
      <c r="FH52" s="157"/>
      <c r="FI52" s="167"/>
      <c r="FJ52" s="157"/>
      <c r="FK52" s="167"/>
      <c r="FL52" s="157"/>
      <c r="FM52" s="167"/>
      <c r="FN52" s="157"/>
      <c r="FO52" s="167"/>
      <c r="FP52" s="157"/>
      <c r="FQ52" s="167"/>
      <c r="FR52" s="157"/>
      <c r="FS52" s="167"/>
      <c r="FT52" s="157"/>
      <c r="FU52" s="167"/>
      <c r="FV52" s="157"/>
      <c r="FW52" s="167"/>
      <c r="FX52" s="157"/>
      <c r="FY52" s="167"/>
      <c r="FZ52" s="157"/>
      <c r="GA52" s="167"/>
      <c r="GB52" s="157"/>
      <c r="GC52" s="167"/>
      <c r="GD52" s="157"/>
      <c r="GE52" s="167"/>
      <c r="GF52" s="157"/>
      <c r="GG52" s="166"/>
      <c r="GH52" s="166"/>
      <c r="GI52" s="166"/>
      <c r="GJ52" s="166"/>
      <c r="GK52" s="166"/>
      <c r="GL52" s="166"/>
      <c r="GM52" s="166"/>
      <c r="GN52" s="166"/>
      <c r="GO52" s="166"/>
      <c r="GP52" s="166"/>
      <c r="GQ52" s="166"/>
    </row>
    <row r="53" spans="1:199" ht="14.25" customHeight="1" collapsed="1">
      <c r="A53" s="158"/>
      <c r="B53" s="572" t="s">
        <v>660</v>
      </c>
      <c r="C53" s="167">
        <v>3680581.81</v>
      </c>
      <c r="D53" s="410"/>
      <c r="E53" s="167">
        <v>4012055.25</v>
      </c>
      <c r="F53" s="410"/>
      <c r="G53" s="167">
        <v>3659573.43</v>
      </c>
      <c r="H53" s="410"/>
      <c r="I53" s="167">
        <v>3494660.25</v>
      </c>
      <c r="J53" s="410"/>
      <c r="K53" s="167">
        <v>3544578.89</v>
      </c>
      <c r="L53" s="410"/>
      <c r="M53" s="993">
        <v>3544111.55</v>
      </c>
      <c r="N53" s="410"/>
      <c r="O53" s="993">
        <v>3487515.72</v>
      </c>
      <c r="P53" s="410"/>
      <c r="Q53" s="993">
        <v>3562520.18</v>
      </c>
      <c r="R53" s="410"/>
      <c r="S53" s="993">
        <v>3461331.63</v>
      </c>
      <c r="T53" s="410"/>
      <c r="U53" s="993">
        <v>3549482.58</v>
      </c>
      <c r="V53" s="410"/>
      <c r="W53" s="993">
        <v>3251287.3</v>
      </c>
      <c r="X53" s="410"/>
      <c r="Y53" s="993">
        <v>3162787.06</v>
      </c>
      <c r="Z53" s="410"/>
      <c r="AA53" s="993">
        <v>2930943</v>
      </c>
      <c r="AB53" s="410"/>
      <c r="AC53" s="993">
        <v>2852022.58</v>
      </c>
      <c r="AD53" s="410"/>
      <c r="AE53" s="489">
        <v>2796695.65</v>
      </c>
      <c r="AF53" s="410"/>
      <c r="AG53" s="489">
        <v>2695718.94</v>
      </c>
      <c r="AH53" s="410"/>
      <c r="AI53" s="489">
        <v>0</v>
      </c>
      <c r="AJ53" s="410"/>
      <c r="AK53" s="489">
        <v>2694767.86</v>
      </c>
      <c r="AL53" s="410"/>
      <c r="AM53" s="489">
        <v>2529522.16</v>
      </c>
      <c r="AN53" s="410"/>
      <c r="AO53" s="489">
        <v>4909069.9800000004</v>
      </c>
      <c r="AP53" s="410"/>
      <c r="AQ53" s="489">
        <v>2321819.71</v>
      </c>
      <c r="AR53" s="410"/>
      <c r="AS53" s="489">
        <v>4740577.96</v>
      </c>
      <c r="AT53" s="410"/>
      <c r="AU53" s="993">
        <v>2217636.06</v>
      </c>
      <c r="AV53" s="410"/>
      <c r="AW53" s="489">
        <v>2364458.04</v>
      </c>
      <c r="AX53" s="410"/>
      <c r="AY53" s="489">
        <v>2252788.39</v>
      </c>
      <c r="AZ53" s="410"/>
      <c r="BA53" s="489">
        <v>2190634.92</v>
      </c>
      <c r="BB53" s="410"/>
      <c r="BC53" s="489">
        <v>2103736.29</v>
      </c>
      <c r="BD53" s="410"/>
      <c r="BE53" s="489">
        <v>1101.75</v>
      </c>
      <c r="BF53" s="410"/>
      <c r="BG53" s="729">
        <v>0</v>
      </c>
      <c r="BH53" s="410"/>
      <c r="BI53" s="489">
        <v>4747.07</v>
      </c>
      <c r="BJ53" s="410"/>
      <c r="BK53" s="489">
        <v>0</v>
      </c>
      <c r="BL53" s="410"/>
      <c r="BM53" s="489">
        <v>0</v>
      </c>
      <c r="BN53" s="410"/>
      <c r="BO53" s="489">
        <v>1656146.66</v>
      </c>
      <c r="BP53" s="410"/>
      <c r="BQ53" s="489">
        <v>0</v>
      </c>
      <c r="BR53" s="410"/>
      <c r="BS53" s="993">
        <v>1489501.52</v>
      </c>
      <c r="BT53" s="410"/>
      <c r="BU53" s="489">
        <v>3020875.61</v>
      </c>
      <c r="BV53" s="410"/>
      <c r="BW53" s="489">
        <v>1456248.68</v>
      </c>
      <c r="BX53" s="410"/>
      <c r="BY53" s="489">
        <v>1398041.44</v>
      </c>
      <c r="BZ53" s="410"/>
      <c r="CA53" s="489">
        <v>1346409.14</v>
      </c>
      <c r="CB53" s="410"/>
      <c r="CC53" s="489">
        <v>28204.21</v>
      </c>
      <c r="CD53" s="410"/>
      <c r="CE53" s="489">
        <v>1148190.75</v>
      </c>
      <c r="CF53" s="410"/>
      <c r="CG53" s="167">
        <v>1085664.28</v>
      </c>
      <c r="CH53" s="410"/>
      <c r="CI53" s="167">
        <v>1075193.74</v>
      </c>
      <c r="CJ53" s="410"/>
      <c r="CK53" s="167">
        <v>1123869.8599999999</v>
      </c>
      <c r="CL53" s="410"/>
      <c r="CM53" s="167">
        <v>1097223.93</v>
      </c>
      <c r="CN53" s="410"/>
      <c r="CO53" s="167">
        <v>1926176</v>
      </c>
      <c r="CP53" s="410"/>
      <c r="CQ53" s="167">
        <f>1016143.18+14812</f>
        <v>1030955.18</v>
      </c>
      <c r="CR53" s="410"/>
      <c r="CS53" s="167">
        <v>972289.07</v>
      </c>
      <c r="CT53" s="157"/>
      <c r="CU53" s="167">
        <v>0</v>
      </c>
      <c r="CV53" s="157"/>
      <c r="CW53" s="167">
        <v>902725</v>
      </c>
      <c r="CX53" s="157"/>
      <c r="CY53" s="166">
        <v>872081.37</v>
      </c>
      <c r="CZ53" s="157"/>
      <c r="DA53" s="166">
        <v>839391.88</v>
      </c>
      <c r="DB53" s="157"/>
      <c r="DC53" s="166">
        <v>775443.19</v>
      </c>
      <c r="DD53" s="157"/>
      <c r="DE53" s="166">
        <v>703278.67</v>
      </c>
      <c r="DF53" s="157"/>
      <c r="DG53" s="166">
        <v>693478.99</v>
      </c>
      <c r="DH53" s="157"/>
      <c r="DI53" s="166">
        <v>668145.49</v>
      </c>
      <c r="DJ53" s="157"/>
      <c r="DK53" s="166">
        <v>693655.05</v>
      </c>
      <c r="DL53" s="157"/>
      <c r="DM53" s="166">
        <v>672575.5</v>
      </c>
      <c r="DN53" s="157"/>
      <c r="DO53" s="166">
        <v>805439.55</v>
      </c>
      <c r="DP53" s="157"/>
      <c r="DQ53" s="166">
        <v>829829.34</v>
      </c>
      <c r="DR53" s="157"/>
      <c r="DS53" s="166">
        <v>159011.10999999999</v>
      </c>
      <c r="DT53" s="157"/>
      <c r="DU53" s="166">
        <v>1042440.51</v>
      </c>
      <c r="DV53" s="157"/>
      <c r="DW53" s="166">
        <v>1160077.43</v>
      </c>
      <c r="DX53" s="157"/>
      <c r="DY53" s="166">
        <v>1387816.78</v>
      </c>
      <c r="DZ53" s="157"/>
      <c r="EA53" s="166">
        <v>1360535.08</v>
      </c>
      <c r="EB53" s="157"/>
      <c r="EC53" s="166">
        <v>1107780.07</v>
      </c>
      <c r="ED53" s="157"/>
      <c r="EE53" s="166">
        <v>886418.28</v>
      </c>
      <c r="EF53" s="157"/>
      <c r="EG53" s="167">
        <v>700266.65</v>
      </c>
      <c r="EH53" s="157"/>
      <c r="EI53" s="167">
        <v>544986.91</v>
      </c>
      <c r="EJ53" s="157"/>
      <c r="EK53" s="167">
        <v>591455.62</v>
      </c>
      <c r="EL53" s="157"/>
      <c r="EM53" s="167">
        <v>518691.56</v>
      </c>
      <c r="EN53" s="157"/>
      <c r="EO53" s="167">
        <v>481525.79</v>
      </c>
      <c r="EP53" s="157"/>
      <c r="EQ53" s="166">
        <v>445341.74</v>
      </c>
      <c r="ER53" s="157"/>
      <c r="ES53" s="166">
        <v>428740.53</v>
      </c>
      <c r="ET53" s="157"/>
      <c r="EU53" s="166">
        <v>431367.67999999999</v>
      </c>
      <c r="EV53" s="157"/>
      <c r="EW53" s="166">
        <v>394703.09</v>
      </c>
      <c r="EX53" s="157"/>
      <c r="EY53" s="166">
        <v>367468.9</v>
      </c>
      <c r="EZ53" s="157"/>
      <c r="FA53" s="166">
        <v>336175.06</v>
      </c>
      <c r="FB53" s="157"/>
      <c r="FC53" s="166">
        <v>273193.19</v>
      </c>
      <c r="FD53" s="157"/>
      <c r="FE53" s="166">
        <v>256884.48000000001</v>
      </c>
      <c r="FF53" s="157"/>
      <c r="FG53" s="166">
        <v>251920.96</v>
      </c>
      <c r="FH53" s="157"/>
      <c r="FI53" s="166">
        <v>222174.73</v>
      </c>
      <c r="FJ53" s="157"/>
      <c r="FK53" s="166">
        <v>186008.15</v>
      </c>
      <c r="FL53" s="157"/>
      <c r="FM53" s="166">
        <v>176637.61</v>
      </c>
      <c r="FN53" s="157"/>
      <c r="FO53" s="166">
        <v>0</v>
      </c>
      <c r="FP53" s="157"/>
      <c r="FQ53" s="166">
        <v>202815.37</v>
      </c>
      <c r="FR53" s="157"/>
      <c r="FS53" s="166">
        <v>187092.75</v>
      </c>
      <c r="FT53" s="157"/>
      <c r="FU53" s="166">
        <v>166858.56</v>
      </c>
      <c r="FV53" s="157"/>
      <c r="FW53" s="166">
        <v>188269.56</v>
      </c>
      <c r="FX53" s="157"/>
      <c r="FY53" s="166">
        <v>175526.73</v>
      </c>
      <c r="FZ53" s="157"/>
      <c r="GA53" s="166">
        <v>178212.36</v>
      </c>
      <c r="GB53" s="157"/>
      <c r="GC53" s="166">
        <v>176438.68</v>
      </c>
      <c r="GD53" s="157"/>
      <c r="GE53" s="166">
        <v>164538</v>
      </c>
      <c r="GF53" s="157"/>
      <c r="GG53" s="166">
        <v>153618.51999999999</v>
      </c>
      <c r="GH53" s="166"/>
      <c r="GI53" s="166">
        <v>131937.65</v>
      </c>
      <c r="GJ53" s="166"/>
      <c r="GK53" s="166">
        <v>130089.38</v>
      </c>
      <c r="GL53" s="166"/>
      <c r="GM53" s="166">
        <v>129287.17</v>
      </c>
      <c r="GN53" s="166"/>
      <c r="GO53" s="166">
        <v>126862.68</v>
      </c>
      <c r="GP53" s="166"/>
      <c r="GQ53" s="166">
        <v>127705.27</v>
      </c>
    </row>
    <row r="54" spans="1:199" ht="14.25" customHeight="1">
      <c r="A54" s="158"/>
      <c r="B54" s="157" t="s">
        <v>323</v>
      </c>
      <c r="C54" s="167">
        <v>3129143.47</v>
      </c>
      <c r="D54" s="410"/>
      <c r="E54" s="167">
        <v>1522118.47</v>
      </c>
      <c r="F54" s="410"/>
      <c r="G54" s="167">
        <v>5055457.47</v>
      </c>
      <c r="H54" s="410"/>
      <c r="I54" s="167">
        <v>4788499.47</v>
      </c>
      <c r="J54" s="410"/>
      <c r="K54" s="167">
        <v>4494873.47</v>
      </c>
      <c r="L54" s="410"/>
      <c r="M54" s="993">
        <v>11794852.800000001</v>
      </c>
      <c r="N54" s="410"/>
      <c r="O54" s="995">
        <v>11597261.800000001</v>
      </c>
      <c r="P54" s="410"/>
      <c r="Q54" s="995">
        <v>13196197.800000001</v>
      </c>
      <c r="R54" s="410"/>
      <c r="S54" s="995">
        <v>13020305.800000001</v>
      </c>
      <c r="T54" s="410"/>
      <c r="U54" s="995">
        <v>14748345.800000001</v>
      </c>
      <c r="V54" s="410"/>
      <c r="W54" s="995">
        <v>15047186.800000001</v>
      </c>
      <c r="X54" s="410"/>
      <c r="Y54" s="995">
        <v>-8815593.2899999991</v>
      </c>
      <c r="Z54" s="410"/>
      <c r="AA54" s="995">
        <v>-6918651</v>
      </c>
      <c r="AB54" s="410"/>
      <c r="AC54" s="995">
        <v>-6341112.29</v>
      </c>
      <c r="AD54" s="410"/>
      <c r="AE54" s="956">
        <v>-3956814.04</v>
      </c>
      <c r="AF54" s="410"/>
      <c r="AG54" s="956">
        <v>-2515748.17</v>
      </c>
      <c r="AH54" s="410"/>
      <c r="AI54" s="956">
        <v>-2018951.75</v>
      </c>
      <c r="AJ54" s="410"/>
      <c r="AK54" s="956">
        <v>1835466</v>
      </c>
      <c r="AL54" s="410"/>
      <c r="AM54" s="167">
        <v>1397308.73</v>
      </c>
      <c r="AN54" s="410"/>
      <c r="AO54" s="167">
        <v>2240571.1299999952</v>
      </c>
      <c r="AP54" s="410"/>
      <c r="AQ54" s="167">
        <v>2983842.23</v>
      </c>
      <c r="AR54" s="410"/>
      <c r="AS54" s="167">
        <v>1825660.14</v>
      </c>
      <c r="AT54" s="410"/>
      <c r="AU54" s="418">
        <v>12810968.109999999</v>
      </c>
      <c r="AV54" s="410"/>
      <c r="AW54" s="167">
        <v>4009780.25</v>
      </c>
      <c r="AX54" s="410"/>
      <c r="AY54" s="167">
        <v>2892238.64</v>
      </c>
      <c r="AZ54" s="410"/>
      <c r="BA54" s="167">
        <v>1403766.98</v>
      </c>
      <c r="BB54" s="410"/>
      <c r="BC54" s="167">
        <v>1018273.13</v>
      </c>
      <c r="BD54" s="410"/>
      <c r="BE54" s="167">
        <v>658385.54</v>
      </c>
      <c r="BF54" s="410"/>
      <c r="BG54" s="167">
        <v>450265</v>
      </c>
      <c r="BH54" s="410"/>
      <c r="BI54" s="167">
        <v>3676269.6</v>
      </c>
      <c r="BJ54" s="410"/>
      <c r="BK54" s="167">
        <v>1520544</v>
      </c>
      <c r="BL54" s="410"/>
      <c r="BM54" s="167">
        <v>664313</v>
      </c>
      <c r="BN54" s="410"/>
      <c r="BO54" s="167">
        <v>0</v>
      </c>
      <c r="BP54" s="410"/>
      <c r="BQ54" s="167">
        <v>0</v>
      </c>
      <c r="BR54" s="410"/>
      <c r="BS54" s="418">
        <v>-1182114.8600000001</v>
      </c>
      <c r="BT54" s="410"/>
      <c r="BU54" s="167">
        <v>-4003731.75</v>
      </c>
      <c r="BV54" s="410"/>
      <c r="BW54" s="167">
        <v>-4079016.75</v>
      </c>
      <c r="BX54" s="410"/>
      <c r="BY54" s="167">
        <v>-4738619.75</v>
      </c>
      <c r="BZ54" s="410"/>
      <c r="CA54" s="167">
        <v>-4046891.29</v>
      </c>
      <c r="CB54" s="410"/>
      <c r="CC54" s="167">
        <v>-3634019.29</v>
      </c>
      <c r="CD54" s="410"/>
      <c r="CE54" s="167">
        <v>-3015312.29</v>
      </c>
      <c r="CF54" s="410"/>
      <c r="CG54" s="167">
        <v>-2714953.19</v>
      </c>
      <c r="CH54" s="410"/>
      <c r="CI54" s="167">
        <v>-2393701.19</v>
      </c>
      <c r="CJ54" s="410"/>
      <c r="CK54" s="167">
        <v>-2400894</v>
      </c>
      <c r="CL54" s="410"/>
      <c r="CM54" s="167">
        <v>-1806378.7</v>
      </c>
      <c r="CN54" s="410"/>
      <c r="CO54" s="167">
        <v>-1641506.99</v>
      </c>
      <c r="CP54" s="410"/>
      <c r="CQ54" s="167">
        <v>-1697159.71</v>
      </c>
      <c r="CR54" s="410"/>
      <c r="CS54" s="167">
        <v>2838820.88</v>
      </c>
      <c r="CT54" s="157"/>
      <c r="CU54" s="167">
        <v>2719573</v>
      </c>
      <c r="CV54" s="157"/>
      <c r="CW54" s="167">
        <v>2275034</v>
      </c>
      <c r="CX54" s="157"/>
      <c r="CY54" s="166">
        <v>1850725.75</v>
      </c>
      <c r="CZ54" s="157"/>
      <c r="DA54" s="166">
        <v>921880.49</v>
      </c>
      <c r="DB54" s="157"/>
      <c r="DC54" s="166">
        <v>732444.29</v>
      </c>
      <c r="DD54" s="157"/>
      <c r="DE54" s="166">
        <v>817638.7</v>
      </c>
      <c r="DF54" s="157"/>
      <c r="DG54" s="166">
        <v>958370.1</v>
      </c>
      <c r="DH54" s="157"/>
      <c r="DI54" s="166">
        <v>824765.78</v>
      </c>
      <c r="DJ54" s="157"/>
      <c r="DK54" s="166">
        <v>335846.32</v>
      </c>
      <c r="DL54" s="157"/>
      <c r="DM54" s="166">
        <v>-140756.88</v>
      </c>
      <c r="DN54" s="157"/>
      <c r="DO54" s="166">
        <v>-220168.02</v>
      </c>
      <c r="DP54" s="157"/>
      <c r="DQ54" s="166">
        <v>-367537.7</v>
      </c>
      <c r="DR54" s="157"/>
      <c r="DS54" s="166">
        <v>18738.03</v>
      </c>
      <c r="DT54" s="157"/>
      <c r="DU54" s="166">
        <v>221804.73</v>
      </c>
      <c r="DV54" s="157"/>
      <c r="DW54" s="166">
        <v>-2023.13</v>
      </c>
      <c r="DX54" s="157"/>
      <c r="DY54" s="166">
        <v>674525.76</v>
      </c>
      <c r="DZ54" s="157"/>
      <c r="EA54" s="166">
        <v>399322.9</v>
      </c>
      <c r="EB54" s="157"/>
      <c r="EC54" s="166">
        <v>508095.97</v>
      </c>
      <c r="ED54" s="157"/>
      <c r="EE54" s="166">
        <v>293803.40999999997</v>
      </c>
      <c r="EF54" s="157"/>
      <c r="EG54" s="167">
        <v>-42902.85</v>
      </c>
      <c r="EH54" s="157"/>
      <c r="EI54" s="167">
        <v>220360.44</v>
      </c>
      <c r="EJ54" s="157"/>
      <c r="EK54" s="167">
        <v>-211566.12</v>
      </c>
      <c r="EL54" s="157"/>
      <c r="EM54" s="167">
        <v>-514775.65</v>
      </c>
      <c r="EN54" s="157"/>
      <c r="EO54" s="167">
        <v>-73421.53</v>
      </c>
      <c r="EP54" s="157"/>
      <c r="EQ54" s="166">
        <v>-73421.53</v>
      </c>
      <c r="ER54" s="157"/>
      <c r="ES54" s="166">
        <v>-73421.53</v>
      </c>
      <c r="ET54" s="157"/>
      <c r="EU54" s="166">
        <v>-73421.53</v>
      </c>
      <c r="EV54" s="157"/>
      <c r="EW54" s="166">
        <v>-73421.53</v>
      </c>
      <c r="EX54" s="157"/>
      <c r="EY54" s="166">
        <v>88848.72</v>
      </c>
      <c r="EZ54" s="157"/>
      <c r="FA54" s="166">
        <v>88848.72</v>
      </c>
      <c r="FB54" s="157"/>
      <c r="FC54" s="166">
        <v>88848.72</v>
      </c>
      <c r="FD54" s="157"/>
      <c r="FE54" s="166">
        <v>88848.72</v>
      </c>
      <c r="FF54" s="157"/>
      <c r="FG54" s="166">
        <v>88848.72</v>
      </c>
      <c r="FH54" s="157"/>
      <c r="FI54" s="166">
        <v>88848.72</v>
      </c>
      <c r="FJ54" s="157"/>
      <c r="FK54" s="166">
        <v>88848.72</v>
      </c>
      <c r="FL54" s="157"/>
      <c r="FM54" s="166">
        <v>-284963.84000000003</v>
      </c>
      <c r="FN54" s="157"/>
      <c r="FO54" s="166">
        <v>-91414.68</v>
      </c>
      <c r="FP54" s="157"/>
      <c r="FQ54" s="166">
        <v>-91414.68</v>
      </c>
      <c r="FR54" s="157"/>
      <c r="FS54" s="166">
        <v>-91414.68</v>
      </c>
      <c r="FT54" s="157"/>
      <c r="FU54" s="166">
        <v>-91414.68</v>
      </c>
      <c r="FV54" s="157"/>
      <c r="FW54" s="166">
        <v>-91414.68</v>
      </c>
      <c r="FX54" s="157"/>
      <c r="FY54" s="166">
        <v>193549</v>
      </c>
      <c r="FZ54" s="157"/>
      <c r="GA54" s="166">
        <v>193549</v>
      </c>
      <c r="GB54" s="157"/>
      <c r="GC54" s="166">
        <v>193549</v>
      </c>
      <c r="GD54" s="157"/>
      <c r="GE54" s="166">
        <v>193549</v>
      </c>
      <c r="GF54" s="157"/>
      <c r="GG54" s="194">
        <v>193549</v>
      </c>
      <c r="GH54" s="166"/>
      <c r="GI54" s="166">
        <v>193549</v>
      </c>
      <c r="GJ54" s="166"/>
      <c r="GK54" s="166">
        <v>0</v>
      </c>
      <c r="GL54" s="166"/>
      <c r="GM54" s="166">
        <v>0</v>
      </c>
      <c r="GN54" s="166"/>
      <c r="GO54" s="166">
        <v>0</v>
      </c>
      <c r="GP54" s="166"/>
      <c r="GQ54" s="166">
        <v>0</v>
      </c>
    </row>
    <row r="55" spans="1:199" ht="14.25" hidden="1" customHeight="1" outlineLevel="1">
      <c r="A55" s="158"/>
      <c r="B55" s="157" t="s">
        <v>324</v>
      </c>
      <c r="C55" s="167">
        <v>0</v>
      </c>
      <c r="D55" s="410"/>
      <c r="E55" s="167">
        <v>0</v>
      </c>
      <c r="F55" s="410"/>
      <c r="G55" s="167">
        <v>0</v>
      </c>
      <c r="H55" s="410"/>
      <c r="I55" s="167">
        <v>0</v>
      </c>
      <c r="J55" s="410"/>
      <c r="K55" s="167">
        <v>0</v>
      </c>
      <c r="L55" s="410"/>
      <c r="M55" s="993">
        <v>0</v>
      </c>
      <c r="N55" s="410"/>
      <c r="O55" s="418">
        <v>0</v>
      </c>
      <c r="P55" s="410"/>
      <c r="Q55" s="418">
        <v>0</v>
      </c>
      <c r="R55" s="410"/>
      <c r="S55" s="418">
        <v>0</v>
      </c>
      <c r="T55" s="410"/>
      <c r="U55" s="418">
        <v>0</v>
      </c>
      <c r="V55" s="410"/>
      <c r="W55" s="418">
        <v>0</v>
      </c>
      <c r="X55" s="410"/>
      <c r="Y55" s="418">
        <v>0</v>
      </c>
      <c r="Z55" s="410"/>
      <c r="AA55" s="418">
        <v>0</v>
      </c>
      <c r="AB55" s="410"/>
      <c r="AC55" s="418">
        <v>0</v>
      </c>
      <c r="AD55" s="410"/>
      <c r="AE55" s="167">
        <v>0</v>
      </c>
      <c r="AF55" s="410"/>
      <c r="AG55" s="167">
        <v>0</v>
      </c>
      <c r="AH55" s="410"/>
      <c r="AI55" s="167">
        <v>0</v>
      </c>
      <c r="AJ55" s="410"/>
      <c r="AK55" s="167">
        <v>0</v>
      </c>
      <c r="AL55" s="410"/>
      <c r="AM55" s="167">
        <v>0</v>
      </c>
      <c r="AN55" s="410"/>
      <c r="AO55" s="167">
        <v>0</v>
      </c>
      <c r="AP55" s="410"/>
      <c r="AQ55" s="167">
        <v>0</v>
      </c>
      <c r="AR55" s="410"/>
      <c r="AS55" s="167">
        <v>0</v>
      </c>
      <c r="AT55" s="410"/>
      <c r="AU55" s="418">
        <v>0</v>
      </c>
      <c r="AV55" s="410"/>
      <c r="AW55" s="167">
        <v>0</v>
      </c>
      <c r="AX55" s="410"/>
      <c r="AY55" s="167">
        <v>0</v>
      </c>
      <c r="AZ55" s="410"/>
      <c r="BA55" s="167">
        <v>0</v>
      </c>
      <c r="BB55" s="410"/>
      <c r="BC55" s="167">
        <v>0</v>
      </c>
      <c r="BD55" s="410"/>
      <c r="BE55" s="167">
        <v>0</v>
      </c>
      <c r="BF55" s="410"/>
      <c r="BG55" s="167">
        <v>0</v>
      </c>
      <c r="BH55" s="410"/>
      <c r="BI55" s="167">
        <v>0</v>
      </c>
      <c r="BJ55" s="410"/>
      <c r="BK55" s="167">
        <v>0</v>
      </c>
      <c r="BL55" s="410"/>
      <c r="BM55" s="167">
        <v>0</v>
      </c>
      <c r="BN55" s="410"/>
      <c r="BO55" s="167">
        <v>0</v>
      </c>
      <c r="BP55" s="410"/>
      <c r="BQ55" s="167">
        <v>0</v>
      </c>
      <c r="BR55" s="410"/>
      <c r="BS55" s="418">
        <v>0</v>
      </c>
      <c r="BT55" s="410"/>
      <c r="BU55" s="167">
        <v>0</v>
      </c>
      <c r="BV55" s="410"/>
      <c r="BW55" s="167">
        <v>0</v>
      </c>
      <c r="BX55" s="410"/>
      <c r="BY55" s="167">
        <v>0</v>
      </c>
      <c r="BZ55" s="410"/>
      <c r="CA55" s="167">
        <v>0</v>
      </c>
      <c r="CB55" s="410"/>
      <c r="CC55" s="167">
        <v>0</v>
      </c>
      <c r="CD55" s="410"/>
      <c r="CE55" s="167">
        <v>0</v>
      </c>
      <c r="CF55" s="410"/>
      <c r="CG55" s="167">
        <v>0</v>
      </c>
      <c r="CH55" s="410"/>
      <c r="CI55" s="167">
        <v>0</v>
      </c>
      <c r="CJ55" s="410"/>
      <c r="CK55" s="167">
        <v>0</v>
      </c>
      <c r="CL55" s="410"/>
      <c r="CM55" s="167">
        <v>0</v>
      </c>
      <c r="CN55" s="410"/>
      <c r="CO55" s="167">
        <v>0</v>
      </c>
      <c r="CP55" s="410"/>
      <c r="CQ55" s="167">
        <v>0</v>
      </c>
      <c r="CR55" s="410"/>
      <c r="CS55" s="167">
        <v>0</v>
      </c>
      <c r="CT55" s="157"/>
      <c r="CU55" s="167">
        <v>0</v>
      </c>
      <c r="CV55" s="157"/>
      <c r="CW55" s="167">
        <v>0</v>
      </c>
      <c r="CX55" s="157"/>
      <c r="CY55" s="166">
        <v>0</v>
      </c>
      <c r="CZ55" s="157"/>
      <c r="DA55" s="166">
        <v>0</v>
      </c>
      <c r="DB55" s="157"/>
      <c r="DC55" s="166">
        <v>0</v>
      </c>
      <c r="DD55" s="157"/>
      <c r="DE55" s="166">
        <v>0</v>
      </c>
      <c r="DF55" s="157"/>
      <c r="DG55" s="166">
        <v>0</v>
      </c>
      <c r="DH55" s="157"/>
      <c r="DI55" s="166">
        <v>0</v>
      </c>
      <c r="DJ55" s="157"/>
      <c r="DK55" s="166">
        <v>0</v>
      </c>
      <c r="DL55" s="157"/>
      <c r="DM55" s="166">
        <v>0</v>
      </c>
      <c r="DN55" s="157"/>
      <c r="DO55" s="166">
        <v>0</v>
      </c>
      <c r="DP55" s="157"/>
      <c r="DQ55" s="166">
        <v>0</v>
      </c>
      <c r="DR55" s="157"/>
      <c r="DS55" s="166">
        <v>0</v>
      </c>
      <c r="DT55" s="157"/>
      <c r="DU55" s="166">
        <v>0</v>
      </c>
      <c r="DV55" s="157"/>
      <c r="DW55" s="166">
        <v>0</v>
      </c>
      <c r="DX55" s="157"/>
      <c r="DY55" s="166">
        <v>0</v>
      </c>
      <c r="DZ55" s="157"/>
      <c r="EA55" s="166">
        <v>0</v>
      </c>
      <c r="EB55" s="157"/>
      <c r="EC55" s="166">
        <v>0</v>
      </c>
      <c r="ED55" s="157"/>
      <c r="EE55" s="166">
        <v>5441669</v>
      </c>
      <c r="EF55" s="157"/>
      <c r="EG55" s="167">
        <v>0</v>
      </c>
      <c r="EH55" s="157"/>
      <c r="EI55" s="167">
        <v>0</v>
      </c>
      <c r="EJ55" s="157"/>
      <c r="EK55" s="167">
        <v>0</v>
      </c>
      <c r="EL55" s="157"/>
      <c r="EM55" s="167">
        <v>0</v>
      </c>
      <c r="EN55" s="157"/>
      <c r="EO55" s="167">
        <v>0</v>
      </c>
      <c r="EP55" s="157"/>
      <c r="EQ55" s="166">
        <v>0</v>
      </c>
      <c r="ER55" s="157"/>
      <c r="ES55" s="166">
        <v>0</v>
      </c>
      <c r="ET55" s="157"/>
      <c r="EU55" s="166">
        <v>0</v>
      </c>
      <c r="EV55" s="157"/>
      <c r="EW55" s="166">
        <v>0</v>
      </c>
      <c r="EX55" s="157"/>
      <c r="EY55" s="166">
        <v>0</v>
      </c>
      <c r="EZ55" s="157"/>
      <c r="FA55" s="166">
        <v>0</v>
      </c>
      <c r="FB55" s="157"/>
      <c r="FC55" s="166">
        <v>0</v>
      </c>
      <c r="FD55" s="157"/>
      <c r="FE55" s="166">
        <v>0</v>
      </c>
      <c r="FF55" s="157"/>
      <c r="FG55" s="166">
        <v>0</v>
      </c>
      <c r="FH55" s="157"/>
      <c r="FI55" s="166">
        <v>0</v>
      </c>
      <c r="FJ55" s="157"/>
      <c r="FK55" s="166">
        <v>5100</v>
      </c>
      <c r="FL55" s="157"/>
      <c r="FM55" s="166">
        <v>1080</v>
      </c>
      <c r="FN55" s="157"/>
      <c r="FO55" s="166">
        <v>10488.64</v>
      </c>
      <c r="FP55" s="157"/>
      <c r="FQ55" s="166">
        <v>0</v>
      </c>
      <c r="FR55" s="157"/>
      <c r="FS55" s="166">
        <v>3187.5</v>
      </c>
      <c r="FT55" s="157"/>
      <c r="FU55" s="166">
        <v>6827.32</v>
      </c>
      <c r="FV55" s="157"/>
      <c r="FW55" s="166">
        <v>22500</v>
      </c>
      <c r="FX55" s="157"/>
      <c r="FY55" s="166">
        <v>0</v>
      </c>
      <c r="FZ55" s="157"/>
      <c r="GA55" s="166">
        <v>6665.96</v>
      </c>
      <c r="GB55" s="157"/>
      <c r="GC55" s="166">
        <v>12999.56</v>
      </c>
      <c r="GD55" s="157"/>
      <c r="GE55" s="166">
        <v>0</v>
      </c>
      <c r="GF55" s="157"/>
      <c r="GG55" s="167">
        <v>0</v>
      </c>
      <c r="GH55" s="166"/>
      <c r="GI55" s="166">
        <v>0</v>
      </c>
      <c r="GJ55" s="166"/>
      <c r="GK55" s="166">
        <v>0</v>
      </c>
      <c r="GL55" s="166"/>
      <c r="GM55" s="166">
        <v>0</v>
      </c>
      <c r="GN55" s="166"/>
      <c r="GO55" s="166">
        <v>0</v>
      </c>
      <c r="GP55" s="166"/>
      <c r="GQ55" s="166">
        <v>0</v>
      </c>
    </row>
    <row r="56" spans="1:199" ht="14.25" customHeight="1" collapsed="1">
      <c r="A56" s="158"/>
      <c r="B56" s="157" t="s">
        <v>325</v>
      </c>
      <c r="C56" s="167">
        <v>4037866.77</v>
      </c>
      <c r="D56" s="410"/>
      <c r="E56" s="167">
        <v>6440348.71</v>
      </c>
      <c r="F56" s="410"/>
      <c r="G56" s="167">
        <v>5947732.0700000003</v>
      </c>
      <c r="H56" s="410"/>
      <c r="I56" s="167">
        <v>5500181.54</v>
      </c>
      <c r="J56" s="410"/>
      <c r="K56" s="167">
        <v>5249154.47</v>
      </c>
      <c r="L56" s="410"/>
      <c r="M56" s="993">
        <v>4908928.3099999996</v>
      </c>
      <c r="N56" s="410"/>
      <c r="O56" s="418">
        <v>4836454.83</v>
      </c>
      <c r="P56" s="410"/>
      <c r="Q56" s="418">
        <v>4666081.32</v>
      </c>
      <c r="R56" s="410"/>
      <c r="S56" s="418">
        <v>4051673.24</v>
      </c>
      <c r="T56" s="410"/>
      <c r="U56" s="418">
        <v>4146146.63</v>
      </c>
      <c r="V56" s="410"/>
      <c r="W56" s="418">
        <v>3662377.32</v>
      </c>
      <c r="X56" s="410"/>
      <c r="Y56" s="418">
        <v>3158849.11</v>
      </c>
      <c r="Z56" s="410"/>
      <c r="AA56" s="418">
        <v>2892189.83</v>
      </c>
      <c r="AB56" s="410"/>
      <c r="AC56" s="418">
        <v>4288183.8099999996</v>
      </c>
      <c r="AD56" s="410"/>
      <c r="AE56" s="167">
        <v>3917572.09</v>
      </c>
      <c r="AF56" s="410"/>
      <c r="AG56" s="167">
        <v>3634132.33</v>
      </c>
      <c r="AH56" s="410"/>
      <c r="AI56" s="167">
        <v>3436431.9</v>
      </c>
      <c r="AJ56" s="410"/>
      <c r="AK56" s="167">
        <v>3356523.94</v>
      </c>
      <c r="AL56" s="410"/>
      <c r="AM56" s="167">
        <v>3194404.36</v>
      </c>
      <c r="AN56" s="410"/>
      <c r="AO56" s="167">
        <v>3468307.56</v>
      </c>
      <c r="AP56" s="410"/>
      <c r="AQ56" s="167">
        <v>3120124.52</v>
      </c>
      <c r="AR56" s="410"/>
      <c r="AS56" s="167">
        <v>2882489.24</v>
      </c>
      <c r="AT56" s="410"/>
      <c r="AU56" s="418">
        <v>2581624.2999999998</v>
      </c>
      <c r="AV56" s="410"/>
      <c r="AW56" s="167">
        <v>2363802.3199999998</v>
      </c>
      <c r="AX56" s="410"/>
      <c r="AY56" s="167">
        <v>2524632.73</v>
      </c>
      <c r="AZ56" s="410"/>
      <c r="BA56" s="167">
        <v>3160660.68</v>
      </c>
      <c r="BB56" s="410"/>
      <c r="BC56" s="167">
        <v>2813542.17</v>
      </c>
      <c r="BD56" s="410"/>
      <c r="BE56" s="167">
        <v>2618682.5099999998</v>
      </c>
      <c r="BF56" s="410"/>
      <c r="BG56" s="167">
        <v>2457723.61</v>
      </c>
      <c r="BH56" s="410"/>
      <c r="BI56" s="167">
        <v>2204848.2799999998</v>
      </c>
      <c r="BJ56" s="410"/>
      <c r="BK56" s="167">
        <v>2194154.13</v>
      </c>
      <c r="BL56" s="410"/>
      <c r="BM56" s="167">
        <v>2117116.2599999998</v>
      </c>
      <c r="BN56" s="410"/>
      <c r="BO56" s="167">
        <v>1873884.22</v>
      </c>
      <c r="BP56" s="410"/>
      <c r="BQ56" s="167">
        <v>1813468.22</v>
      </c>
      <c r="BR56" s="410"/>
      <c r="BS56" s="418">
        <v>1638847.03</v>
      </c>
      <c r="BT56" s="410"/>
      <c r="BU56" s="167">
        <v>1376434</v>
      </c>
      <c r="BV56" s="410"/>
      <c r="BW56" s="167">
        <v>1623262.74</v>
      </c>
      <c r="BX56" s="410"/>
      <c r="BY56" s="167">
        <v>2059943.03</v>
      </c>
      <c r="BZ56" s="410"/>
      <c r="CA56" s="167">
        <v>1835888.09</v>
      </c>
      <c r="CB56" s="410"/>
      <c r="CC56" s="167">
        <v>1714783.3</v>
      </c>
      <c r="CD56" s="410"/>
      <c r="CE56" s="167">
        <v>1486730.96</v>
      </c>
      <c r="CF56" s="410"/>
      <c r="CG56" s="167">
        <v>1360207.48</v>
      </c>
      <c r="CH56" s="410"/>
      <c r="CI56" s="167">
        <v>1237260.92</v>
      </c>
      <c r="CJ56" s="410"/>
      <c r="CK56" s="167">
        <v>1131841.6000000001</v>
      </c>
      <c r="CL56" s="410"/>
      <c r="CM56" s="167">
        <v>1135398.22</v>
      </c>
      <c r="CN56" s="410"/>
      <c r="CO56" s="167">
        <v>1024523</v>
      </c>
      <c r="CP56" s="410"/>
      <c r="CQ56" s="167">
        <v>853255.29</v>
      </c>
      <c r="CR56" s="410"/>
      <c r="CS56" s="167">
        <v>684989.29</v>
      </c>
      <c r="CT56" s="157"/>
      <c r="CU56" s="167">
        <v>656294.29</v>
      </c>
      <c r="CV56" s="157"/>
      <c r="CW56" s="167">
        <v>903163</v>
      </c>
      <c r="CX56" s="157"/>
      <c r="CY56" s="166">
        <v>1027522.38</v>
      </c>
      <c r="CZ56" s="157"/>
      <c r="DA56" s="166">
        <v>929365.83</v>
      </c>
      <c r="DB56" s="157"/>
      <c r="DC56" s="166">
        <v>909003.65</v>
      </c>
      <c r="DD56" s="157"/>
      <c r="DE56" s="166">
        <v>815959.2</v>
      </c>
      <c r="DF56" s="157"/>
      <c r="DG56" s="166">
        <v>850231.51</v>
      </c>
      <c r="DH56" s="157"/>
      <c r="DI56" s="166">
        <v>910365.36</v>
      </c>
      <c r="DJ56" s="157"/>
      <c r="DK56" s="166">
        <v>885333.29</v>
      </c>
      <c r="DL56" s="157"/>
      <c r="DM56" s="166">
        <v>854778.33</v>
      </c>
      <c r="DN56" s="157"/>
      <c r="DO56" s="166">
        <v>700010.61</v>
      </c>
      <c r="DP56" s="157"/>
      <c r="DQ56" s="166">
        <v>697350.91</v>
      </c>
      <c r="DR56" s="157"/>
      <c r="DS56" s="166">
        <v>727704.29</v>
      </c>
      <c r="DT56" s="157"/>
      <c r="DU56" s="166">
        <v>1012560.91</v>
      </c>
      <c r="DV56" s="157"/>
      <c r="DW56" s="166">
        <v>925306.2</v>
      </c>
      <c r="DX56" s="157"/>
      <c r="DY56" s="166">
        <v>921641.38</v>
      </c>
      <c r="DZ56" s="157"/>
      <c r="EA56" s="166">
        <v>917595.63</v>
      </c>
      <c r="EB56" s="157"/>
      <c r="EC56" s="166">
        <v>866520.15</v>
      </c>
      <c r="ED56" s="157"/>
      <c r="EE56" s="166">
        <v>789292.44</v>
      </c>
      <c r="EF56" s="157"/>
      <c r="EG56" s="167">
        <v>749199.24</v>
      </c>
      <c r="EH56" s="157"/>
      <c r="EI56" s="167">
        <v>625685.66</v>
      </c>
      <c r="EJ56" s="157"/>
      <c r="EK56" s="167">
        <v>552761.54</v>
      </c>
      <c r="EL56" s="157"/>
      <c r="EM56" s="167">
        <v>450442.8</v>
      </c>
      <c r="EN56" s="157"/>
      <c r="EO56" s="167">
        <v>348857.95</v>
      </c>
      <c r="EP56" s="157"/>
      <c r="EQ56" s="166">
        <v>425274.82</v>
      </c>
      <c r="ER56" s="157"/>
      <c r="ES56" s="166">
        <v>446897.53</v>
      </c>
      <c r="ET56" s="157"/>
      <c r="EU56" s="166">
        <v>386010.16</v>
      </c>
      <c r="EV56" s="157"/>
      <c r="EW56" s="166">
        <v>378054.42</v>
      </c>
      <c r="EX56" s="157"/>
      <c r="EY56" s="166">
        <v>339601.07</v>
      </c>
      <c r="EZ56" s="157"/>
      <c r="FA56" s="166">
        <v>354533.23</v>
      </c>
      <c r="FB56" s="157"/>
      <c r="FC56" s="166">
        <v>336917.63</v>
      </c>
      <c r="FD56" s="157"/>
      <c r="FE56" s="166">
        <v>313410.37</v>
      </c>
      <c r="FF56" s="157"/>
      <c r="FG56" s="166">
        <v>282601.96999999997</v>
      </c>
      <c r="FH56" s="157"/>
      <c r="FI56" s="166">
        <v>241286.27</v>
      </c>
      <c r="FJ56" s="157"/>
      <c r="FK56" s="166">
        <v>196394.5</v>
      </c>
      <c r="FL56" s="157"/>
      <c r="FM56" s="166">
        <v>173449.81</v>
      </c>
      <c r="FN56" s="157"/>
      <c r="FO56" s="166">
        <v>164947.07</v>
      </c>
      <c r="FP56" s="157"/>
      <c r="FQ56" s="166">
        <v>184366.11</v>
      </c>
      <c r="FR56" s="157"/>
      <c r="FS56" s="166">
        <v>184138.76</v>
      </c>
      <c r="FT56" s="157"/>
      <c r="FU56" s="166">
        <v>170088.08</v>
      </c>
      <c r="FV56" s="157"/>
      <c r="FW56" s="166">
        <v>134213.71</v>
      </c>
      <c r="FX56" s="157"/>
      <c r="FY56" s="166">
        <v>126323.84</v>
      </c>
      <c r="FZ56" s="157"/>
      <c r="GA56" s="166">
        <v>154418.01</v>
      </c>
      <c r="GB56" s="157"/>
      <c r="GC56" s="166">
        <v>123216.76</v>
      </c>
      <c r="GD56" s="157"/>
      <c r="GE56" s="166">
        <v>142120</v>
      </c>
      <c r="GF56" s="157"/>
      <c r="GG56" s="166">
        <v>125428.41</v>
      </c>
      <c r="GH56" s="166"/>
      <c r="GI56" s="166">
        <v>100671.06</v>
      </c>
      <c r="GJ56" s="166"/>
      <c r="GK56" s="166">
        <v>87898</v>
      </c>
      <c r="GL56" s="166"/>
      <c r="GM56" s="166">
        <v>92368.47</v>
      </c>
      <c r="GN56" s="166"/>
      <c r="GO56" s="166">
        <v>124711.57</v>
      </c>
      <c r="GP56" s="166"/>
      <c r="GQ56" s="166">
        <v>126286.33</v>
      </c>
    </row>
    <row r="57" spans="1:199" ht="14.25" customHeight="1">
      <c r="A57" s="446"/>
      <c r="B57" s="410" t="s">
        <v>812</v>
      </c>
      <c r="C57" s="167">
        <v>2364687.66</v>
      </c>
      <c r="D57" s="410"/>
      <c r="E57" s="167">
        <v>2360201.15</v>
      </c>
      <c r="F57" s="410"/>
      <c r="G57" s="167">
        <v>2294117.8199999998</v>
      </c>
      <c r="H57" s="410"/>
      <c r="I57" s="167">
        <v>2205128.08</v>
      </c>
      <c r="J57" s="410"/>
      <c r="K57" s="167">
        <v>2176890.63</v>
      </c>
      <c r="L57" s="410"/>
      <c r="M57" s="993">
        <v>2037114.63</v>
      </c>
      <c r="N57" s="410"/>
      <c r="O57" s="418">
        <v>1928465.07</v>
      </c>
      <c r="P57" s="410"/>
      <c r="Q57" s="418">
        <v>1857152.91</v>
      </c>
      <c r="R57" s="410"/>
      <c r="S57" s="418">
        <v>1856528.72</v>
      </c>
      <c r="T57" s="410"/>
      <c r="U57" s="418">
        <v>1858547.11</v>
      </c>
      <c r="V57" s="410"/>
      <c r="W57" s="418">
        <v>1797329.63</v>
      </c>
      <c r="X57" s="410"/>
      <c r="Y57" s="418">
        <v>1654517.63</v>
      </c>
      <c r="Z57" s="410"/>
      <c r="AA57" s="418">
        <v>2816258.66</v>
      </c>
      <c r="AB57" s="410"/>
      <c r="AC57" s="418">
        <v>2554834</v>
      </c>
      <c r="AD57" s="410"/>
      <c r="AE57" s="167">
        <v>2323776</v>
      </c>
      <c r="AF57" s="410"/>
      <c r="AG57" s="167">
        <v>2133933</v>
      </c>
      <c r="AH57" s="410"/>
      <c r="AI57" s="167">
        <v>2016706</v>
      </c>
      <c r="AJ57" s="410"/>
      <c r="AK57" s="167">
        <v>1899480</v>
      </c>
      <c r="AL57" s="410"/>
      <c r="AM57" s="167">
        <v>1703223</v>
      </c>
      <c r="AN57" s="410"/>
      <c r="AO57" s="167">
        <v>1588920</v>
      </c>
      <c r="AP57" s="410"/>
      <c r="AQ57" s="167">
        <v>1417655</v>
      </c>
      <c r="AR57" s="410"/>
      <c r="AS57" s="167">
        <v>1245069</v>
      </c>
      <c r="AT57" s="410"/>
      <c r="AU57" s="418">
        <v>1086441</v>
      </c>
      <c r="AV57" s="410"/>
      <c r="AW57" s="167">
        <v>981381</v>
      </c>
      <c r="AX57" s="410"/>
      <c r="AY57" s="167">
        <v>785105</v>
      </c>
      <c r="AZ57" s="410"/>
      <c r="BA57" s="167">
        <v>588828</v>
      </c>
      <c r="BB57" s="410"/>
      <c r="BC57" s="167"/>
      <c r="BD57" s="410"/>
      <c r="BE57" s="167"/>
      <c r="BF57" s="410"/>
      <c r="BG57" s="167"/>
      <c r="BH57" s="410"/>
      <c r="BI57" s="167"/>
      <c r="BJ57" s="410"/>
      <c r="BK57" s="167"/>
      <c r="BL57" s="410"/>
      <c r="BM57" s="167"/>
      <c r="BN57" s="410"/>
      <c r="BO57" s="167"/>
      <c r="BP57" s="410"/>
      <c r="BQ57" s="167"/>
      <c r="BR57" s="410"/>
      <c r="BS57" s="418"/>
      <c r="BT57" s="410"/>
      <c r="BU57" s="167"/>
      <c r="BV57" s="410"/>
      <c r="BW57" s="167"/>
      <c r="BX57" s="410"/>
      <c r="BY57" s="167"/>
      <c r="BZ57" s="410"/>
      <c r="CA57" s="167"/>
      <c r="CB57" s="410"/>
      <c r="CC57" s="167"/>
      <c r="CD57" s="410"/>
      <c r="CE57" s="167"/>
      <c r="CF57" s="410"/>
      <c r="CG57" s="167"/>
      <c r="CH57" s="410"/>
      <c r="CI57" s="167"/>
      <c r="CJ57" s="410"/>
      <c r="CK57" s="167"/>
      <c r="CL57" s="410"/>
      <c r="CM57" s="167"/>
      <c r="CN57" s="410"/>
      <c r="CO57" s="167"/>
      <c r="CP57" s="410"/>
      <c r="CQ57" s="167"/>
      <c r="CR57" s="410"/>
      <c r="CS57" s="167"/>
      <c r="CT57" s="410"/>
      <c r="CU57" s="167"/>
      <c r="CV57" s="410"/>
      <c r="CW57" s="167"/>
      <c r="CX57" s="410"/>
      <c r="CY57" s="448"/>
      <c r="CZ57" s="410"/>
      <c r="DA57" s="448"/>
      <c r="DB57" s="410"/>
      <c r="DC57" s="448"/>
      <c r="DD57" s="410"/>
      <c r="DE57" s="448"/>
      <c r="DF57" s="410"/>
      <c r="DG57" s="448"/>
      <c r="DH57" s="410"/>
      <c r="DI57" s="448"/>
      <c r="DJ57" s="410"/>
      <c r="DK57" s="448"/>
      <c r="DL57" s="410"/>
      <c r="DM57" s="448"/>
      <c r="DN57" s="410"/>
      <c r="DO57" s="448"/>
      <c r="DP57" s="410"/>
      <c r="DQ57" s="448"/>
      <c r="DR57" s="410"/>
      <c r="DS57" s="448"/>
      <c r="DT57" s="410"/>
      <c r="DU57" s="448"/>
      <c r="DV57" s="410"/>
      <c r="DW57" s="448"/>
      <c r="DX57" s="410"/>
      <c r="DY57" s="448"/>
      <c r="DZ57" s="410"/>
      <c r="EA57" s="448"/>
      <c r="EB57" s="410"/>
      <c r="EC57" s="448"/>
      <c r="ED57" s="410"/>
      <c r="EE57" s="448"/>
      <c r="EF57" s="410"/>
      <c r="EG57" s="167"/>
      <c r="EH57" s="410"/>
      <c r="EI57" s="167"/>
      <c r="EJ57" s="410"/>
      <c r="EK57" s="167"/>
      <c r="EL57" s="410"/>
      <c r="EM57" s="167"/>
      <c r="EN57" s="410"/>
      <c r="EO57" s="167"/>
      <c r="EP57" s="410"/>
      <c r="EQ57" s="448"/>
      <c r="ER57" s="410"/>
      <c r="ES57" s="448"/>
      <c r="ET57" s="410"/>
      <c r="EU57" s="448"/>
      <c r="EV57" s="410"/>
      <c r="EW57" s="448"/>
      <c r="EX57" s="410"/>
      <c r="EY57" s="448"/>
      <c r="EZ57" s="410"/>
      <c r="FA57" s="448"/>
      <c r="FB57" s="410"/>
      <c r="FC57" s="448"/>
      <c r="FD57" s="410"/>
      <c r="FE57" s="448"/>
      <c r="FF57" s="410"/>
      <c r="FG57" s="448"/>
      <c r="FH57" s="410"/>
      <c r="FI57" s="448"/>
      <c r="FJ57" s="410"/>
      <c r="FK57" s="448"/>
      <c r="FL57" s="410"/>
      <c r="FM57" s="448"/>
      <c r="FN57" s="410"/>
      <c r="FO57" s="448"/>
      <c r="FP57" s="410"/>
      <c r="FQ57" s="448"/>
      <c r="FR57" s="410"/>
      <c r="FS57" s="448"/>
      <c r="FT57" s="410"/>
      <c r="FU57" s="448"/>
      <c r="FV57" s="410"/>
      <c r="FW57" s="448"/>
      <c r="FX57" s="410"/>
      <c r="FY57" s="448"/>
      <c r="FZ57" s="410"/>
      <c r="GA57" s="448"/>
      <c r="GB57" s="410"/>
      <c r="GC57" s="448"/>
      <c r="GD57" s="410"/>
      <c r="GE57" s="448"/>
      <c r="GF57" s="410"/>
      <c r="GG57" s="448"/>
      <c r="GH57" s="448"/>
      <c r="GI57" s="448"/>
      <c r="GJ57" s="448"/>
      <c r="GK57" s="448"/>
      <c r="GL57" s="448"/>
      <c r="GM57" s="448"/>
      <c r="GN57" s="448"/>
      <c r="GO57" s="448"/>
      <c r="GP57" s="448"/>
      <c r="GQ57" s="448"/>
    </row>
    <row r="58" spans="1:199" ht="14.25" customHeight="1">
      <c r="A58" s="158"/>
      <c r="B58" s="572" t="s">
        <v>661</v>
      </c>
      <c r="C58" s="167">
        <v>7142891.0899999999</v>
      </c>
      <c r="D58" s="410"/>
      <c r="E58" s="167">
        <v>8864643.3200000003</v>
      </c>
      <c r="F58" s="410"/>
      <c r="G58" s="167">
        <v>8234718.8200000003</v>
      </c>
      <c r="H58" s="410"/>
      <c r="I58" s="167">
        <v>6797361.0700000003</v>
      </c>
      <c r="J58" s="410"/>
      <c r="K58" s="167">
        <v>8004346.5800000001</v>
      </c>
      <c r="L58" s="410"/>
      <c r="M58" s="993">
        <v>6188529.71</v>
      </c>
      <c r="N58" s="410"/>
      <c r="O58" s="994">
        <v>6327277.2000000002</v>
      </c>
      <c r="P58" s="410"/>
      <c r="Q58" s="994">
        <v>6432736.7599999998</v>
      </c>
      <c r="R58" s="410"/>
      <c r="S58" s="418">
        <v>6739420.46</v>
      </c>
      <c r="T58" s="410"/>
      <c r="U58" s="418">
        <v>9634504.1999999993</v>
      </c>
      <c r="V58" s="410"/>
      <c r="W58" s="418">
        <v>6336457.3399999999</v>
      </c>
      <c r="X58" s="410"/>
      <c r="Y58" s="418">
        <v>6669381.8600000003</v>
      </c>
      <c r="Z58" s="410"/>
      <c r="AA58" s="418">
        <v>7785971</v>
      </c>
      <c r="AB58" s="410"/>
      <c r="AC58" s="418">
        <v>8001118.2599999998</v>
      </c>
      <c r="AD58" s="410"/>
      <c r="AE58" s="167">
        <v>10909699.779999999</v>
      </c>
      <c r="AF58" s="410"/>
      <c r="AG58" s="167">
        <v>11733820.01</v>
      </c>
      <c r="AH58" s="410"/>
      <c r="AI58" s="167">
        <v>11629401.57</v>
      </c>
      <c r="AJ58" s="410"/>
      <c r="AK58" s="167">
        <v>10851451.85</v>
      </c>
      <c r="AL58" s="410"/>
      <c r="AM58" s="167">
        <v>11678778.710000001</v>
      </c>
      <c r="AN58" s="410"/>
      <c r="AO58" s="167">
        <v>9247966.4800000004</v>
      </c>
      <c r="AP58" s="410"/>
      <c r="AQ58" s="167">
        <v>9057591.9299999997</v>
      </c>
      <c r="AR58" s="410"/>
      <c r="AS58" s="167">
        <v>7889128.46</v>
      </c>
      <c r="AT58" s="410"/>
      <c r="AU58" s="418">
        <v>11881918.939999999</v>
      </c>
      <c r="AV58" s="410"/>
      <c r="AW58" s="167">
        <v>14758045.85</v>
      </c>
      <c r="AX58" s="410"/>
      <c r="AY58" s="167">
        <v>13821973.289999999</v>
      </c>
      <c r="AZ58" s="410"/>
      <c r="BA58" s="167">
        <v>14024351.51</v>
      </c>
      <c r="BB58" s="410"/>
      <c r="BC58" s="167">
        <v>12407763.609999999</v>
      </c>
      <c r="BD58" s="410"/>
      <c r="BE58" s="167">
        <v>11525816.9</v>
      </c>
      <c r="BF58" s="410"/>
      <c r="BG58" s="167">
        <v>11178556.5</v>
      </c>
      <c r="BH58" s="410"/>
      <c r="BI58" s="167">
        <v>9751316.5500000007</v>
      </c>
      <c r="BJ58" s="410"/>
      <c r="BK58" s="167">
        <v>8019837.7800000003</v>
      </c>
      <c r="BL58" s="410"/>
      <c r="BM58" s="167">
        <v>6905787</v>
      </c>
      <c r="BN58" s="410"/>
      <c r="BO58" s="167">
        <v>4933455.46</v>
      </c>
      <c r="BP58" s="410"/>
      <c r="BQ58" s="167">
        <v>5696925.2999999998</v>
      </c>
      <c r="BR58" s="410"/>
      <c r="BS58" s="418">
        <v>6621831.4699999997</v>
      </c>
      <c r="BT58" s="410"/>
      <c r="BU58" s="167">
        <v>5721931.6299999999</v>
      </c>
      <c r="BV58" s="410"/>
      <c r="BW58" s="167">
        <v>6252330.4900000002</v>
      </c>
      <c r="BX58" s="410"/>
      <c r="BY58" s="167">
        <v>4415317.3099999996</v>
      </c>
      <c r="BZ58" s="410"/>
      <c r="CA58" s="167">
        <v>4109942.59</v>
      </c>
      <c r="CB58" s="410"/>
      <c r="CC58" s="167">
        <v>3552827.4</v>
      </c>
      <c r="CD58" s="410"/>
      <c r="CE58" s="167">
        <v>3284817.9</v>
      </c>
      <c r="CF58" s="410"/>
      <c r="CG58" s="167">
        <v>2830376.26</v>
      </c>
      <c r="CH58" s="410"/>
      <c r="CI58" s="167">
        <v>3490001.63</v>
      </c>
      <c r="CJ58" s="410"/>
      <c r="CK58" s="167">
        <v>2926860.32</v>
      </c>
      <c r="CL58" s="410"/>
      <c r="CM58" s="167">
        <v>2763012.06</v>
      </c>
      <c r="CN58" s="410"/>
      <c r="CO58" s="167">
        <v>2002636.29</v>
      </c>
      <c r="CP58" s="410"/>
      <c r="CQ58" s="167">
        <v>4991422.96</v>
      </c>
      <c r="CR58" s="410"/>
      <c r="CS58" s="167">
        <v>229794.17</v>
      </c>
      <c r="CT58" s="157"/>
      <c r="CU58" s="167">
        <v>895880</v>
      </c>
      <c r="CV58" s="157"/>
      <c r="CW58" s="167">
        <v>114414</v>
      </c>
      <c r="CX58" s="157"/>
      <c r="CY58" s="166">
        <v>242844.85</v>
      </c>
      <c r="CZ58" s="157"/>
      <c r="DA58" s="166">
        <v>717110.38</v>
      </c>
      <c r="DB58" s="157"/>
      <c r="DC58" s="166">
        <f>1380012.71-100000</f>
        <v>1280012.71</v>
      </c>
      <c r="DD58" s="157"/>
      <c r="DE58" s="166">
        <v>1197415.45</v>
      </c>
      <c r="DF58" s="157"/>
      <c r="DG58" s="166">
        <v>450618.7</v>
      </c>
      <c r="DH58" s="157"/>
      <c r="DI58" s="166">
        <v>999336.9</v>
      </c>
      <c r="DJ58" s="157"/>
      <c r="DK58" s="166">
        <v>2215446.5700000003</v>
      </c>
      <c r="DL58" s="157"/>
      <c r="DM58" s="166">
        <v>1440311.73</v>
      </c>
      <c r="DN58" s="157"/>
      <c r="DO58" s="166">
        <v>937326.97</v>
      </c>
      <c r="DP58" s="157"/>
      <c r="DQ58" s="166">
        <v>602218.38</v>
      </c>
      <c r="DR58" s="157"/>
      <c r="DS58" s="166">
        <v>854018.5</v>
      </c>
      <c r="DT58" s="157"/>
      <c r="DU58" s="166">
        <v>559531.22</v>
      </c>
      <c r="DV58" s="157"/>
      <c r="DW58" s="166">
        <v>646643.77</v>
      </c>
      <c r="DX58" s="157"/>
      <c r="DY58" s="166">
        <v>617499.32999999996</v>
      </c>
      <c r="DZ58" s="157"/>
      <c r="EA58" s="166">
        <v>721076.91</v>
      </c>
      <c r="EB58" s="157"/>
      <c r="EC58" s="166">
        <v>575321.12</v>
      </c>
      <c r="ED58" s="157"/>
      <c r="EE58" s="166">
        <v>0</v>
      </c>
      <c r="EF58" s="157"/>
      <c r="EG58" s="167">
        <v>-43586.8</v>
      </c>
      <c r="EH58" s="157"/>
      <c r="EI58" s="167">
        <v>174257.04</v>
      </c>
      <c r="EJ58" s="157"/>
      <c r="EK58" s="167">
        <v>147257.04</v>
      </c>
      <c r="EL58" s="157"/>
      <c r="EM58" s="167">
        <v>202250.01</v>
      </c>
      <c r="EN58" s="157"/>
      <c r="EO58" s="167">
        <v>-541541.24</v>
      </c>
      <c r="EP58" s="157"/>
      <c r="EQ58" s="167">
        <v>161106.37</v>
      </c>
      <c r="ER58" s="157"/>
      <c r="ES58" s="167">
        <v>-751679.56</v>
      </c>
      <c r="ET58" s="157"/>
      <c r="EU58" s="167">
        <v>127098.55</v>
      </c>
      <c r="EV58" s="157"/>
      <c r="EW58" s="167">
        <v>-40804.99</v>
      </c>
      <c r="EX58" s="157"/>
      <c r="EY58" s="167">
        <v>1152000.01</v>
      </c>
      <c r="EZ58" s="157"/>
      <c r="FA58" s="167">
        <v>920000.01</v>
      </c>
      <c r="FB58" s="157"/>
      <c r="FC58" s="167">
        <v>33500.01</v>
      </c>
      <c r="FD58" s="157"/>
      <c r="FE58" s="167">
        <v>62000.01</v>
      </c>
      <c r="FF58" s="157"/>
      <c r="FG58" s="167">
        <v>62000.01</v>
      </c>
      <c r="FH58" s="157"/>
      <c r="FI58" s="167">
        <v>108000.01</v>
      </c>
      <c r="FJ58" s="157"/>
      <c r="FK58" s="167">
        <v>62000.01</v>
      </c>
      <c r="FL58" s="157"/>
      <c r="FM58" s="166">
        <v>83471.22</v>
      </c>
      <c r="FN58" s="157"/>
      <c r="FO58" s="166">
        <v>-29111.13</v>
      </c>
      <c r="FP58" s="157"/>
      <c r="FQ58" s="166">
        <v>-270676.26</v>
      </c>
      <c r="FR58" s="157"/>
      <c r="FS58" s="166">
        <v>-358035.15</v>
      </c>
      <c r="FT58" s="157"/>
      <c r="FU58" s="166">
        <v>-119338.75</v>
      </c>
      <c r="FV58" s="157"/>
      <c r="FW58" s="166">
        <v>-44960.43</v>
      </c>
      <c r="FX58" s="157"/>
      <c r="FY58" s="166">
        <v>-84812.95</v>
      </c>
      <c r="FZ58" s="157"/>
      <c r="GA58" s="166">
        <v>8000</v>
      </c>
      <c r="GB58" s="157"/>
      <c r="GC58" s="166">
        <v>68377.440000000002</v>
      </c>
      <c r="GD58" s="157"/>
      <c r="GE58" s="166">
        <v>-23336</v>
      </c>
      <c r="GF58" s="157"/>
      <c r="GG58" s="166">
        <v>110010</v>
      </c>
      <c r="GH58" s="166"/>
      <c r="GI58" s="166">
        <v>104437.57</v>
      </c>
      <c r="GJ58" s="166"/>
      <c r="GK58" s="166">
        <v>54960</v>
      </c>
      <c r="GL58" s="166"/>
      <c r="GM58" s="166">
        <v>24760</v>
      </c>
      <c r="GN58" s="166"/>
      <c r="GO58" s="166">
        <v>19560</v>
      </c>
      <c r="GP58" s="166"/>
      <c r="GQ58" s="166">
        <v>14360</v>
      </c>
    </row>
    <row r="59" spans="1:199" ht="14.25" customHeight="1">
      <c r="A59" s="839"/>
      <c r="B59" s="840" t="s">
        <v>307</v>
      </c>
      <c r="C59" s="167">
        <v>28883281.32</v>
      </c>
      <c r="D59" s="614"/>
      <c r="E59" s="167">
        <v>28514717.32</v>
      </c>
      <c r="F59" s="614"/>
      <c r="G59" s="167">
        <v>25531777.16</v>
      </c>
      <c r="H59" s="614"/>
      <c r="I59" s="167">
        <v>24469014.110000003</v>
      </c>
      <c r="J59" s="614"/>
      <c r="K59" s="167">
        <v>27083658.170000002</v>
      </c>
      <c r="L59" s="614"/>
      <c r="M59" s="993">
        <v>26134983.920000002</v>
      </c>
      <c r="N59" s="614"/>
      <c r="O59" s="995">
        <v>26962299.010000002</v>
      </c>
      <c r="P59" s="614"/>
      <c r="Q59" s="995">
        <v>26667450</v>
      </c>
      <c r="R59" s="614"/>
      <c r="S59" s="995">
        <v>25611526.23</v>
      </c>
      <c r="T59" s="614"/>
      <c r="U59" s="995">
        <v>25089845.109999999</v>
      </c>
      <c r="V59" s="614"/>
      <c r="W59" s="995">
        <v>26337778.710000001</v>
      </c>
      <c r="X59" s="614"/>
      <c r="Y59" s="995">
        <v>24172653.210000001</v>
      </c>
      <c r="Z59" s="614"/>
      <c r="AA59" s="995">
        <v>26548902</v>
      </c>
      <c r="AB59" s="614"/>
      <c r="AC59" s="995">
        <v>26768244.440000001</v>
      </c>
      <c r="AD59" s="614"/>
      <c r="AE59" s="167">
        <v>24882474.52</v>
      </c>
      <c r="AF59" s="614"/>
      <c r="AG59" s="167">
        <v>24558998.68</v>
      </c>
      <c r="AH59" s="614"/>
      <c r="AI59" s="167">
        <v>25488865.600000001</v>
      </c>
      <c r="AJ59" s="614"/>
      <c r="AK59" s="167">
        <v>24971274.23</v>
      </c>
      <c r="AL59" s="614"/>
      <c r="AM59" s="167">
        <v>22618162.02</v>
      </c>
      <c r="AN59" s="511"/>
      <c r="AO59" s="167">
        <v>25495370.510000002</v>
      </c>
      <c r="AP59" s="511"/>
      <c r="AQ59" s="167">
        <v>20713984.559999999</v>
      </c>
      <c r="AR59" s="511"/>
      <c r="AS59" s="167">
        <v>22070914.380000003</v>
      </c>
      <c r="AT59" s="511"/>
      <c r="AU59" s="418">
        <v>22826641.48</v>
      </c>
      <c r="AV59" s="511"/>
      <c r="AW59" s="167">
        <v>19407542.789999999</v>
      </c>
      <c r="AX59" s="511"/>
      <c r="AY59" s="167">
        <v>20253846.23</v>
      </c>
      <c r="AZ59" s="511"/>
      <c r="BA59" s="167">
        <v>17398819.670000002</v>
      </c>
      <c r="BB59" s="511"/>
      <c r="BC59" s="167">
        <v>17697223.869999997</v>
      </c>
      <c r="BD59" s="511"/>
      <c r="BE59" s="167">
        <v>16025574.970000001</v>
      </c>
      <c r="BF59" s="511"/>
      <c r="BG59" s="167">
        <v>14738250.08</v>
      </c>
      <c r="BH59" s="511"/>
      <c r="BI59" s="167">
        <v>16614020.690000001</v>
      </c>
      <c r="BJ59" s="511"/>
      <c r="BK59" s="167">
        <v>15856037.440000001</v>
      </c>
      <c r="BL59" s="511"/>
      <c r="BM59" s="167">
        <v>15042545.870000001</v>
      </c>
      <c r="BN59" s="511"/>
      <c r="BO59" s="167">
        <v>16134497.16</v>
      </c>
      <c r="BP59" s="511"/>
      <c r="BQ59" s="167">
        <v>16025412</v>
      </c>
      <c r="BR59" s="511"/>
      <c r="BS59" s="418"/>
      <c r="BT59" s="511"/>
      <c r="BU59" s="167"/>
      <c r="BV59" s="511"/>
      <c r="BW59" s="167"/>
      <c r="BX59" s="511"/>
      <c r="BY59" s="167"/>
      <c r="BZ59" s="511"/>
      <c r="CA59" s="167"/>
      <c r="CB59" s="511"/>
      <c r="CC59" s="167"/>
      <c r="CD59" s="511"/>
      <c r="CE59" s="167"/>
      <c r="CF59" s="511"/>
      <c r="CG59" s="167"/>
      <c r="CH59" s="511"/>
      <c r="CI59" s="167"/>
      <c r="CJ59" s="511"/>
      <c r="CK59" s="167"/>
      <c r="CL59" s="511"/>
      <c r="CM59" s="167"/>
      <c r="CN59" s="511"/>
      <c r="CO59" s="167"/>
      <c r="CP59" s="511"/>
      <c r="CQ59" s="167"/>
      <c r="CR59" s="511"/>
      <c r="CS59" s="167"/>
      <c r="CT59" s="511"/>
      <c r="CU59" s="167"/>
      <c r="CV59" s="511"/>
      <c r="CW59" s="167"/>
      <c r="CX59" s="511"/>
      <c r="CY59" s="759"/>
      <c r="CZ59" s="511"/>
      <c r="DA59" s="759"/>
      <c r="DB59" s="511"/>
      <c r="DC59" s="759"/>
      <c r="DD59" s="511"/>
      <c r="DE59" s="759"/>
      <c r="DF59" s="511"/>
      <c r="DG59" s="759"/>
      <c r="DH59" s="511"/>
      <c r="DI59" s="759"/>
      <c r="DJ59" s="511"/>
      <c r="DK59" s="759"/>
      <c r="DL59" s="511"/>
      <c r="DM59" s="759"/>
      <c r="DN59" s="511"/>
      <c r="DO59" s="759"/>
      <c r="DP59" s="511"/>
      <c r="DQ59" s="759"/>
      <c r="DR59" s="511"/>
      <c r="DS59" s="759"/>
      <c r="DT59" s="511"/>
      <c r="DU59" s="759"/>
      <c r="DV59" s="511"/>
      <c r="DW59" s="759"/>
      <c r="DX59" s="511"/>
      <c r="DY59" s="759"/>
      <c r="DZ59" s="511"/>
      <c r="EA59" s="759"/>
      <c r="EB59" s="511"/>
      <c r="EC59" s="759"/>
      <c r="ED59" s="511"/>
      <c r="EE59" s="759"/>
      <c r="EF59" s="511"/>
      <c r="EG59" s="167"/>
      <c r="EH59" s="511"/>
      <c r="EI59" s="167"/>
      <c r="EJ59" s="511"/>
      <c r="EK59" s="167"/>
      <c r="EL59" s="511"/>
      <c r="EM59" s="167"/>
      <c r="EN59" s="511"/>
      <c r="EO59" s="167"/>
      <c r="EP59" s="511"/>
      <c r="EQ59" s="167"/>
      <c r="ER59" s="511"/>
      <c r="ES59" s="167"/>
      <c r="ET59" s="511"/>
      <c r="EU59" s="167"/>
      <c r="EV59" s="511"/>
      <c r="EW59" s="167"/>
      <c r="EX59" s="511"/>
      <c r="EY59" s="167"/>
      <c r="EZ59" s="511"/>
      <c r="FA59" s="167"/>
      <c r="FB59" s="511"/>
      <c r="FC59" s="167"/>
      <c r="FD59" s="511"/>
      <c r="FE59" s="167"/>
      <c r="FF59" s="511"/>
      <c r="FG59" s="167"/>
      <c r="FH59" s="511"/>
      <c r="FI59" s="167"/>
      <c r="FJ59" s="511"/>
      <c r="FK59" s="167"/>
      <c r="FL59" s="511"/>
      <c r="FM59" s="759"/>
      <c r="FN59" s="511"/>
      <c r="FO59" s="759"/>
      <c r="FP59" s="511"/>
      <c r="FQ59" s="759"/>
      <c r="FR59" s="511"/>
      <c r="FS59" s="759"/>
      <c r="FT59" s="511"/>
      <c r="FU59" s="759"/>
      <c r="FV59" s="511"/>
      <c r="FW59" s="759"/>
      <c r="FX59" s="511"/>
      <c r="FY59" s="759"/>
      <c r="FZ59" s="511"/>
      <c r="GA59" s="759"/>
      <c r="GB59" s="511"/>
      <c r="GC59" s="759"/>
      <c r="GD59" s="511"/>
      <c r="GE59" s="759"/>
      <c r="GF59" s="511"/>
      <c r="GG59" s="759"/>
      <c r="GH59" s="759"/>
      <c r="GI59" s="759"/>
      <c r="GJ59" s="759"/>
      <c r="GK59" s="759"/>
      <c r="GL59" s="759"/>
      <c r="GM59" s="759"/>
      <c r="GN59" s="759"/>
      <c r="GO59" s="759"/>
      <c r="GP59" s="759"/>
      <c r="GQ59" s="759"/>
    </row>
    <row r="60" spans="1:199" ht="14.25" customHeight="1">
      <c r="A60" s="158"/>
      <c r="B60" s="157" t="s">
        <v>326</v>
      </c>
      <c r="C60" s="167">
        <v>44868925.68</v>
      </c>
      <c r="D60" s="447"/>
      <c r="E60" s="167">
        <v>36386439.25</v>
      </c>
      <c r="F60" s="447"/>
      <c r="G60" s="167">
        <v>34239942.68</v>
      </c>
      <c r="H60" s="447"/>
      <c r="I60" s="167">
        <v>34619442.07</v>
      </c>
      <c r="J60" s="447"/>
      <c r="K60" s="167">
        <v>27599453.300000001</v>
      </c>
      <c r="L60" s="447"/>
      <c r="M60" s="993">
        <v>23216460.309999999</v>
      </c>
      <c r="N60" s="447"/>
      <c r="O60" s="994">
        <v>27201953.93</v>
      </c>
      <c r="P60" s="447"/>
      <c r="Q60" s="994">
        <v>26144455.620000001</v>
      </c>
      <c r="R60" s="447"/>
      <c r="S60" s="995">
        <v>14351474.49</v>
      </c>
      <c r="T60" s="447"/>
      <c r="U60" s="167">
        <v>6998466.4000000004</v>
      </c>
      <c r="V60" s="447"/>
      <c r="W60" s="418">
        <v>0</v>
      </c>
      <c r="X60" s="614"/>
      <c r="Y60" s="167">
        <v>0</v>
      </c>
      <c r="Z60" s="614"/>
      <c r="AA60" s="167">
        <v>0</v>
      </c>
      <c r="AB60" s="614"/>
      <c r="AC60" s="167">
        <v>0</v>
      </c>
      <c r="AD60" s="447"/>
      <c r="AE60" s="167">
        <v>0</v>
      </c>
      <c r="AF60" s="447"/>
      <c r="AG60" s="167">
        <v>0</v>
      </c>
      <c r="AH60" s="447"/>
      <c r="AI60" s="167">
        <v>0</v>
      </c>
      <c r="AJ60" s="447"/>
      <c r="AK60" s="167">
        <v>0</v>
      </c>
      <c r="AL60" s="447"/>
      <c r="AM60" s="167">
        <v>0</v>
      </c>
      <c r="AN60" s="410"/>
      <c r="AO60" s="167">
        <v>0</v>
      </c>
      <c r="AP60" s="410"/>
      <c r="AQ60" s="167">
        <v>0</v>
      </c>
      <c r="AR60" s="410"/>
      <c r="AS60" s="167">
        <v>0</v>
      </c>
      <c r="AT60" s="410"/>
      <c r="AU60" s="418">
        <v>0</v>
      </c>
      <c r="AV60" s="410"/>
      <c r="AW60" s="167">
        <v>0</v>
      </c>
      <c r="AX60" s="410"/>
      <c r="AY60" s="167">
        <v>0</v>
      </c>
      <c r="AZ60" s="410"/>
      <c r="BA60" s="167">
        <v>0</v>
      </c>
      <c r="BB60" s="410"/>
      <c r="BC60" s="167">
        <v>0</v>
      </c>
      <c r="BD60" s="410"/>
      <c r="BE60" s="167">
        <v>0</v>
      </c>
      <c r="BF60" s="410"/>
      <c r="BG60" s="167">
        <v>0</v>
      </c>
      <c r="BH60" s="410"/>
      <c r="BI60" s="167">
        <v>0</v>
      </c>
      <c r="BJ60" s="410"/>
      <c r="BK60" s="167">
        <v>0</v>
      </c>
      <c r="BL60" s="410"/>
      <c r="BM60" s="167">
        <v>0</v>
      </c>
      <c r="BN60" s="410"/>
      <c r="BO60" s="167">
        <v>0</v>
      </c>
      <c r="BP60" s="410"/>
      <c r="BQ60" s="167">
        <v>0</v>
      </c>
      <c r="BR60" s="410"/>
      <c r="BS60" s="418">
        <v>0</v>
      </c>
      <c r="BT60" s="410"/>
      <c r="BU60" s="167">
        <v>0</v>
      </c>
      <c r="BV60" s="410"/>
      <c r="BW60" s="167">
        <v>2475554.75</v>
      </c>
      <c r="BX60" s="410"/>
      <c r="BY60" s="167">
        <v>264840.81</v>
      </c>
      <c r="BZ60" s="410"/>
      <c r="CA60" s="167">
        <v>-6595304.1600000001</v>
      </c>
      <c r="CB60" s="410"/>
      <c r="CC60" s="167">
        <v>-4928388.1399999997</v>
      </c>
      <c r="CD60" s="410"/>
      <c r="CE60" s="167">
        <v>-7837204.6299999999</v>
      </c>
      <c r="CF60" s="410"/>
      <c r="CG60" s="167">
        <v>-4169091.99</v>
      </c>
      <c r="CH60" s="410"/>
      <c r="CI60" s="167">
        <v>-2295279.42</v>
      </c>
      <c r="CJ60" s="410"/>
      <c r="CK60" s="167">
        <v>1388012.3</v>
      </c>
      <c r="CL60" s="410"/>
      <c r="CM60" s="167">
        <v>398621.51</v>
      </c>
      <c r="CN60" s="410"/>
      <c r="CO60" s="167">
        <v>8222479.9400000004</v>
      </c>
      <c r="CP60" s="410"/>
      <c r="CQ60" s="167">
        <v>3092552.73</v>
      </c>
      <c r="CR60" s="410"/>
      <c r="CS60" s="167">
        <v>-1858.02</v>
      </c>
      <c r="CT60" s="157"/>
      <c r="CU60" s="167">
        <v>-555508</v>
      </c>
      <c r="CV60" s="157"/>
      <c r="CW60" s="167">
        <v>-683762</v>
      </c>
      <c r="CX60" s="157"/>
      <c r="CY60" s="166">
        <v>-110054.14</v>
      </c>
      <c r="CZ60" s="157"/>
      <c r="DA60" s="166">
        <v>330750.03999999998</v>
      </c>
      <c r="DB60" s="157"/>
      <c r="DC60" s="166">
        <v>1241422.05</v>
      </c>
      <c r="DD60" s="157"/>
      <c r="DE60" s="166">
        <v>1063404.97</v>
      </c>
      <c r="DF60" s="157"/>
      <c r="DG60" s="166">
        <v>2720706.1</v>
      </c>
      <c r="DH60" s="157"/>
      <c r="DI60" s="166">
        <v>3138080.43</v>
      </c>
      <c r="DJ60" s="157"/>
      <c r="DK60" s="166">
        <v>2492109.5699999998</v>
      </c>
      <c r="DL60" s="157"/>
      <c r="DM60" s="166">
        <v>2454133.9500000002</v>
      </c>
      <c r="DN60" s="157"/>
      <c r="DO60" s="166">
        <v>1030452.54</v>
      </c>
      <c r="DP60" s="157"/>
      <c r="DQ60" s="166">
        <v>717451.82</v>
      </c>
      <c r="DR60" s="157"/>
      <c r="DS60" s="166">
        <v>2286333.2400000002</v>
      </c>
      <c r="DT60" s="157"/>
      <c r="DU60" s="166">
        <v>3896471.11</v>
      </c>
      <c r="DV60" s="157"/>
      <c r="DW60" s="166">
        <v>4506433.3499999996</v>
      </c>
      <c r="DX60" s="157"/>
      <c r="DY60" s="166">
        <v>2052803.36</v>
      </c>
      <c r="DZ60" s="157"/>
      <c r="EA60" s="166">
        <v>2332249.84</v>
      </c>
      <c r="EB60" s="157"/>
      <c r="EC60" s="166">
        <v>775640.36</v>
      </c>
      <c r="ED60" s="157"/>
      <c r="EE60" s="166">
        <v>1256368.05</v>
      </c>
      <c r="EF60" s="157"/>
      <c r="EG60" s="167">
        <v>-6178980.3600000003</v>
      </c>
      <c r="EH60" s="157"/>
      <c r="EI60" s="167">
        <v>-11789057.449999999</v>
      </c>
      <c r="EJ60" s="157"/>
      <c r="EK60" s="167">
        <v>-9596969.3900000006</v>
      </c>
      <c r="EL60" s="157"/>
      <c r="EM60" s="167">
        <v>-2189134.17</v>
      </c>
      <c r="EN60" s="157"/>
      <c r="EO60" s="167">
        <v>1333624.5900000001</v>
      </c>
      <c r="EP60" s="157"/>
      <c r="EQ60" s="166">
        <v>3511566.61</v>
      </c>
      <c r="ER60" s="157"/>
      <c r="ES60" s="166">
        <v>822253.48</v>
      </c>
      <c r="ET60" s="157"/>
      <c r="EU60" s="166">
        <v>-604588.76</v>
      </c>
      <c r="EV60" s="157"/>
      <c r="EW60" s="166">
        <v>-245751</v>
      </c>
      <c r="EX60" s="157"/>
      <c r="EY60" s="166">
        <v>-730299.24</v>
      </c>
      <c r="EZ60" s="157"/>
      <c r="FA60" s="166">
        <v>513650.26</v>
      </c>
      <c r="FB60" s="157"/>
      <c r="FC60" s="166">
        <v>751354.58</v>
      </c>
      <c r="FD60" s="157"/>
      <c r="FE60" s="166">
        <v>93092.05</v>
      </c>
      <c r="FF60" s="157"/>
      <c r="FG60" s="166">
        <v>558445.12</v>
      </c>
      <c r="FH60" s="157"/>
      <c r="FI60" s="166">
        <v>248496.54</v>
      </c>
      <c r="FJ60" s="157"/>
      <c r="FK60" s="166">
        <v>434300</v>
      </c>
      <c r="FL60" s="157"/>
      <c r="FM60" s="166">
        <v>0</v>
      </c>
      <c r="FN60" s="157"/>
      <c r="FO60" s="166">
        <v>0</v>
      </c>
      <c r="FP60" s="157"/>
      <c r="FQ60" s="166">
        <v>177012.39</v>
      </c>
      <c r="FR60" s="157"/>
      <c r="FS60" s="166">
        <v>-67221.759999999995</v>
      </c>
      <c r="FT60" s="157"/>
      <c r="FU60" s="166">
        <v>-81600.759999999995</v>
      </c>
      <c r="FV60" s="157"/>
      <c r="FW60" s="166">
        <v>-299163.90000000002</v>
      </c>
      <c r="FX60" s="157"/>
      <c r="FY60" s="166">
        <v>235058.16999999998</v>
      </c>
      <c r="FZ60" s="157"/>
      <c r="GA60" s="166">
        <v>90908.67</v>
      </c>
      <c r="GB60" s="157"/>
      <c r="GC60" s="166">
        <v>148749.42000000001</v>
      </c>
      <c r="GD60" s="157"/>
      <c r="GE60" s="166">
        <v>137419</v>
      </c>
      <c r="GF60" s="157"/>
      <c r="GG60" s="166">
        <v>137187.5</v>
      </c>
      <c r="GH60" s="166"/>
      <c r="GI60" s="166">
        <v>107083.33</v>
      </c>
      <c r="GJ60" s="166"/>
      <c r="GK60" s="166">
        <v>77812.5</v>
      </c>
      <c r="GL60" s="166"/>
      <c r="GM60" s="166">
        <v>24659.09</v>
      </c>
      <c r="GN60" s="166"/>
      <c r="GO60" s="166">
        <v>11437.5</v>
      </c>
      <c r="GP60" s="166"/>
      <c r="GQ60" s="166"/>
    </row>
    <row r="61" spans="1:199" ht="14.25" hidden="1" customHeight="1" outlineLevel="1">
      <c r="A61" s="158"/>
      <c r="B61" s="157" t="s">
        <v>327</v>
      </c>
      <c r="C61" s="993">
        <v>0</v>
      </c>
      <c r="D61" s="447"/>
      <c r="E61" s="993">
        <v>0</v>
      </c>
      <c r="F61" s="447"/>
      <c r="G61" s="993">
        <v>0</v>
      </c>
      <c r="H61" s="447"/>
      <c r="I61" s="993">
        <v>0</v>
      </c>
      <c r="J61" s="447"/>
      <c r="K61" s="993">
        <v>0</v>
      </c>
      <c r="L61" s="447"/>
      <c r="M61" s="993">
        <v>0</v>
      </c>
      <c r="N61" s="447"/>
      <c r="O61" s="980">
        <v>0</v>
      </c>
      <c r="P61" s="447"/>
      <c r="Q61" s="980">
        <v>0</v>
      </c>
      <c r="R61" s="447"/>
      <c r="S61" s="980">
        <v>0</v>
      </c>
      <c r="T61" s="447"/>
      <c r="U61" s="980">
        <v>0</v>
      </c>
      <c r="V61" s="447"/>
      <c r="W61" s="418">
        <v>0</v>
      </c>
      <c r="X61" s="447"/>
      <c r="Y61" s="980">
        <v>0</v>
      </c>
      <c r="Z61" s="447"/>
      <c r="AA61" s="980">
        <v>0</v>
      </c>
      <c r="AB61" s="447"/>
      <c r="AC61" s="980">
        <v>0</v>
      </c>
      <c r="AD61" s="447"/>
      <c r="AE61" s="167">
        <v>0</v>
      </c>
      <c r="AF61" s="447"/>
      <c r="AG61" s="167">
        <v>0</v>
      </c>
      <c r="AH61" s="447"/>
      <c r="AI61" s="167">
        <v>0</v>
      </c>
      <c r="AJ61" s="447"/>
      <c r="AK61" s="167">
        <v>0</v>
      </c>
      <c r="AL61" s="447"/>
      <c r="AM61" s="167">
        <v>0</v>
      </c>
      <c r="AN61" s="410"/>
      <c r="AO61" s="167">
        <v>0</v>
      </c>
      <c r="AP61" s="410"/>
      <c r="AQ61" s="167">
        <v>0</v>
      </c>
      <c r="AR61" s="410"/>
      <c r="AS61" s="167">
        <v>0</v>
      </c>
      <c r="AT61" s="410"/>
      <c r="AU61" s="418">
        <v>0</v>
      </c>
      <c r="AV61" s="410"/>
      <c r="AW61" s="167">
        <v>0</v>
      </c>
      <c r="AX61" s="410"/>
      <c r="AY61" s="167">
        <v>0</v>
      </c>
      <c r="AZ61" s="410"/>
      <c r="BA61" s="167">
        <v>0</v>
      </c>
      <c r="BB61" s="410"/>
      <c r="BC61" s="167">
        <v>0</v>
      </c>
      <c r="BD61" s="410"/>
      <c r="BE61" s="167">
        <v>0</v>
      </c>
      <c r="BF61" s="410"/>
      <c r="BG61" s="167">
        <v>0</v>
      </c>
      <c r="BH61" s="410"/>
      <c r="BI61" s="167">
        <v>0</v>
      </c>
      <c r="BJ61" s="410"/>
      <c r="BK61" s="167">
        <v>0</v>
      </c>
      <c r="BL61" s="410"/>
      <c r="BM61" s="167">
        <v>0</v>
      </c>
      <c r="BN61" s="410"/>
      <c r="BO61" s="167">
        <v>0</v>
      </c>
      <c r="BP61" s="410"/>
      <c r="BQ61" s="167">
        <v>0</v>
      </c>
      <c r="BR61" s="410"/>
      <c r="BS61" s="418">
        <v>0</v>
      </c>
      <c r="BT61" s="410"/>
      <c r="BU61" s="167">
        <v>0</v>
      </c>
      <c r="BV61" s="410"/>
      <c r="BW61" s="167">
        <v>0</v>
      </c>
      <c r="BX61" s="410"/>
      <c r="BY61" s="167">
        <v>0</v>
      </c>
      <c r="BZ61" s="410"/>
      <c r="CA61" s="167">
        <v>0</v>
      </c>
      <c r="CB61" s="410"/>
      <c r="CC61" s="167">
        <v>0</v>
      </c>
      <c r="CD61" s="410"/>
      <c r="CE61" s="167">
        <v>0</v>
      </c>
      <c r="CF61" s="410"/>
      <c r="CG61" s="167">
        <v>0</v>
      </c>
      <c r="CH61" s="410"/>
      <c r="CI61" s="167">
        <v>0</v>
      </c>
      <c r="CJ61" s="410"/>
      <c r="CK61" s="167">
        <v>0</v>
      </c>
      <c r="CL61" s="410"/>
      <c r="CM61" s="167">
        <v>0</v>
      </c>
      <c r="CN61" s="410"/>
      <c r="CO61" s="167">
        <v>0</v>
      </c>
      <c r="CP61" s="410"/>
      <c r="CQ61" s="167">
        <v>0</v>
      </c>
      <c r="CR61" s="410"/>
      <c r="CS61" s="167">
        <v>0</v>
      </c>
      <c r="CT61" s="157"/>
      <c r="CU61" s="167">
        <v>0</v>
      </c>
      <c r="CV61" s="157"/>
      <c r="CW61" s="167">
        <v>0</v>
      </c>
      <c r="CX61" s="157"/>
      <c r="CY61" s="166">
        <v>0</v>
      </c>
      <c r="CZ61" s="157"/>
      <c r="DA61" s="166">
        <v>0</v>
      </c>
      <c r="DB61" s="157"/>
      <c r="DC61" s="166">
        <v>0</v>
      </c>
      <c r="DD61" s="157"/>
      <c r="DE61" s="166">
        <v>0</v>
      </c>
      <c r="DF61" s="157"/>
      <c r="DG61" s="166">
        <v>0</v>
      </c>
      <c r="DH61" s="157"/>
      <c r="DI61" s="166">
        <v>0</v>
      </c>
      <c r="DJ61" s="157"/>
      <c r="DK61" s="166">
        <v>0</v>
      </c>
      <c r="DL61" s="157"/>
      <c r="DM61" s="166">
        <v>0</v>
      </c>
      <c r="DN61" s="157"/>
      <c r="DO61" s="166">
        <v>0</v>
      </c>
      <c r="DP61" s="157"/>
      <c r="DQ61" s="166">
        <v>0</v>
      </c>
      <c r="DR61" s="157"/>
      <c r="DS61" s="166">
        <v>0</v>
      </c>
      <c r="DT61" s="157"/>
      <c r="DU61" s="166">
        <v>0</v>
      </c>
      <c r="DV61" s="157"/>
      <c r="DW61" s="166">
        <v>0</v>
      </c>
      <c r="DX61" s="157"/>
      <c r="DY61" s="166">
        <v>0</v>
      </c>
      <c r="DZ61" s="157"/>
      <c r="EA61" s="166">
        <v>0</v>
      </c>
      <c r="EB61" s="157"/>
      <c r="EC61" s="167">
        <v>0</v>
      </c>
      <c r="ED61" s="157"/>
      <c r="EE61" s="167">
        <v>0</v>
      </c>
      <c r="EF61" s="157"/>
      <c r="EG61" s="167">
        <v>-56122.07</v>
      </c>
      <c r="EH61" s="157"/>
      <c r="EI61" s="167">
        <v>-56122.07</v>
      </c>
      <c r="EJ61" s="157"/>
      <c r="EK61" s="167">
        <v>87772.39</v>
      </c>
      <c r="EL61" s="157"/>
      <c r="EM61" s="167">
        <v>28127.93</v>
      </c>
      <c r="EN61" s="157"/>
      <c r="EO61" s="167">
        <v>9437.74</v>
      </c>
      <c r="EP61" s="157"/>
      <c r="EQ61" s="166">
        <v>10449.51</v>
      </c>
      <c r="ER61" s="157"/>
      <c r="ES61" s="166">
        <v>-3549.22</v>
      </c>
      <c r="ET61" s="157"/>
      <c r="EU61" s="166">
        <v>-53518.52</v>
      </c>
      <c r="EV61" s="157"/>
      <c r="EW61" s="166">
        <v>-328.71</v>
      </c>
      <c r="EX61" s="157"/>
      <c r="EY61" s="166">
        <v>-1995.41</v>
      </c>
      <c r="EZ61" s="157"/>
      <c r="FA61" s="166">
        <v>-1989.28</v>
      </c>
      <c r="FB61" s="157"/>
      <c r="FC61" s="166">
        <v>-1995.41</v>
      </c>
      <c r="FD61" s="157"/>
      <c r="FE61" s="166">
        <v>-3095.41</v>
      </c>
      <c r="FF61" s="157"/>
      <c r="FG61" s="166">
        <v>-3095.41</v>
      </c>
      <c r="FH61" s="157"/>
      <c r="FI61" s="166">
        <v>16104.59</v>
      </c>
      <c r="FJ61" s="157"/>
      <c r="FK61" s="166">
        <v>-3095.41</v>
      </c>
      <c r="FL61" s="157"/>
      <c r="FM61" s="166">
        <v>-3095.41</v>
      </c>
      <c r="FN61" s="157"/>
      <c r="FO61" s="166">
        <v>-24271.14</v>
      </c>
      <c r="FP61" s="157"/>
      <c r="FQ61" s="166">
        <v>-23133.37</v>
      </c>
      <c r="FR61" s="157"/>
      <c r="FS61" s="166">
        <v>1866.63</v>
      </c>
      <c r="FT61" s="157"/>
      <c r="FU61" s="166">
        <v>1866.63</v>
      </c>
      <c r="FV61" s="157"/>
      <c r="FW61" s="166">
        <v>1867</v>
      </c>
      <c r="FX61" s="157"/>
      <c r="FY61" s="166">
        <v>1866.63</v>
      </c>
      <c r="FZ61" s="157"/>
      <c r="GA61" s="166">
        <v>1866.63</v>
      </c>
      <c r="GB61" s="157"/>
      <c r="GC61" s="166">
        <v>1867</v>
      </c>
      <c r="GD61" s="157"/>
      <c r="GE61" s="166">
        <v>-18132.5</v>
      </c>
      <c r="GF61" s="157"/>
      <c r="GG61" s="166">
        <v>1866.67</v>
      </c>
      <c r="GH61" s="166"/>
      <c r="GI61" s="166">
        <v>31379.4</v>
      </c>
      <c r="GJ61" s="157"/>
      <c r="GK61" s="166">
        <v>1866.63</v>
      </c>
      <c r="GL61" s="157"/>
      <c r="GM61" s="166">
        <v>0</v>
      </c>
      <c r="GN61" s="157"/>
      <c r="GO61" s="166">
        <v>0</v>
      </c>
      <c r="GP61" s="157"/>
      <c r="GQ61" s="166">
        <v>0</v>
      </c>
    </row>
    <row r="62" spans="1:199" ht="14.25" customHeight="1" collapsed="1" thickBot="1">
      <c r="A62" s="158"/>
      <c r="B62" s="177" t="s">
        <v>328</v>
      </c>
      <c r="C62" s="993">
        <v>-55747146.410000004</v>
      </c>
      <c r="D62" s="412"/>
      <c r="E62" s="993">
        <v>-55486198.219999999</v>
      </c>
      <c r="F62" s="412"/>
      <c r="G62" s="993">
        <v>-32810522.68</v>
      </c>
      <c r="H62" s="412"/>
      <c r="I62" s="993">
        <v>3095674.63</v>
      </c>
      <c r="J62" s="412"/>
      <c r="K62" s="993">
        <v>2639482.92</v>
      </c>
      <c r="L62" s="412"/>
      <c r="M62" s="993">
        <v>2528471.56</v>
      </c>
      <c r="N62" s="412"/>
      <c r="O62" s="418">
        <v>2657059.4500000002</v>
      </c>
      <c r="P62" s="412"/>
      <c r="Q62" s="418">
        <v>1934212.19</v>
      </c>
      <c r="R62" s="412"/>
      <c r="S62" s="418">
        <v>1508187.1</v>
      </c>
      <c r="T62" s="412"/>
      <c r="U62" s="418">
        <v>-2090414.96</v>
      </c>
      <c r="V62" s="412"/>
      <c r="W62" s="418">
        <v>-2155517.54</v>
      </c>
      <c r="X62" s="412"/>
      <c r="Y62" s="418">
        <v>-1161240.93</v>
      </c>
      <c r="Z62" s="412"/>
      <c r="AA62" s="418">
        <v>-1593016</v>
      </c>
      <c r="AB62" s="412"/>
      <c r="AC62" s="418">
        <v>526909.73</v>
      </c>
      <c r="AD62" s="412"/>
      <c r="AE62" s="167">
        <v>375694.22</v>
      </c>
      <c r="AF62" s="412"/>
      <c r="AG62" s="167">
        <v>205975.64</v>
      </c>
      <c r="AH62" s="412"/>
      <c r="AI62" s="167">
        <v>-83631.09</v>
      </c>
      <c r="AJ62" s="412"/>
      <c r="AK62" s="167">
        <v>95789.84</v>
      </c>
      <c r="AL62" s="412"/>
      <c r="AM62" s="167">
        <v>100755.78</v>
      </c>
      <c r="AN62" s="412"/>
      <c r="AO62" s="167">
        <v>1070624.3400000001</v>
      </c>
      <c r="AP62" s="412"/>
      <c r="AQ62" s="167">
        <v>377248.39</v>
      </c>
      <c r="AR62" s="412"/>
      <c r="AS62" s="167">
        <v>-204282.67</v>
      </c>
      <c r="AT62" s="412"/>
      <c r="AU62" s="418">
        <v>76565.78</v>
      </c>
      <c r="AV62" s="412"/>
      <c r="AW62" s="167">
        <v>63572.26</v>
      </c>
      <c r="AX62" s="412"/>
      <c r="AY62" s="167">
        <v>61722.26</v>
      </c>
      <c r="AZ62" s="412"/>
      <c r="BA62" s="167">
        <v>17994.48</v>
      </c>
      <c r="BB62" s="412"/>
      <c r="BC62" s="167">
        <v>2702.36</v>
      </c>
      <c r="BD62" s="412"/>
      <c r="BE62" s="167">
        <v>-10765.7</v>
      </c>
      <c r="BF62" s="412"/>
      <c r="BG62" s="167">
        <v>12209.48</v>
      </c>
      <c r="BH62" s="412"/>
      <c r="BI62" s="167">
        <v>-13065.52</v>
      </c>
      <c r="BJ62" s="412"/>
      <c r="BK62" s="167">
        <v>93190.080000000002</v>
      </c>
      <c r="BL62" s="412"/>
      <c r="BM62" s="167">
        <v>39739.480000000003</v>
      </c>
      <c r="BN62" s="412"/>
      <c r="BO62" s="167">
        <v>14137.73</v>
      </c>
      <c r="BP62" s="412"/>
      <c r="BQ62" s="167">
        <v>13088</v>
      </c>
      <c r="BR62" s="412"/>
      <c r="BS62" s="418">
        <v>12837.73</v>
      </c>
      <c r="BT62" s="412"/>
      <c r="BU62" s="167">
        <v>17121.48</v>
      </c>
      <c r="BV62" s="412"/>
      <c r="BW62" s="167">
        <v>20621.48</v>
      </c>
      <c r="BX62" s="412"/>
      <c r="BY62" s="167">
        <v>67354.850000000006</v>
      </c>
      <c r="BZ62" s="412"/>
      <c r="CA62" s="167">
        <v>78309.679999999993</v>
      </c>
      <c r="CB62" s="412"/>
      <c r="CC62" s="167">
        <v>68448.179999999993</v>
      </c>
      <c r="CD62" s="412"/>
      <c r="CE62" s="167">
        <v>65941.179999999993</v>
      </c>
      <c r="CF62" s="412"/>
      <c r="CG62" s="167">
        <v>24495.98</v>
      </c>
      <c r="CH62" s="412"/>
      <c r="CI62" s="167">
        <v>23595.18</v>
      </c>
      <c r="CJ62" s="412"/>
      <c r="CK62" s="167">
        <v>19779.189999999999</v>
      </c>
      <c r="CL62" s="412"/>
      <c r="CM62" s="167">
        <v>61890.25</v>
      </c>
      <c r="CN62" s="412"/>
      <c r="CO62" s="167">
        <v>2293.37</v>
      </c>
      <c r="CP62" s="412"/>
      <c r="CQ62" s="167">
        <v>-20566.91</v>
      </c>
      <c r="CR62" s="412"/>
      <c r="CS62" s="167">
        <v>2243.37</v>
      </c>
      <c r="CT62" s="177"/>
      <c r="CU62" s="167">
        <v>2243.37</v>
      </c>
      <c r="CV62" s="177"/>
      <c r="CW62" s="167">
        <v>22217</v>
      </c>
      <c r="CX62" s="177"/>
      <c r="CY62" s="166">
        <v>2217.37</v>
      </c>
      <c r="CZ62" s="177"/>
      <c r="DA62" s="166">
        <v>2217.37</v>
      </c>
      <c r="DB62" s="177"/>
      <c r="DC62" s="166">
        <v>-997</v>
      </c>
      <c r="DD62" s="177"/>
      <c r="DE62" s="166">
        <v>-2722</v>
      </c>
      <c r="DF62" s="177"/>
      <c r="DG62" s="166">
        <v>-496</v>
      </c>
      <c r="DH62" s="177"/>
      <c r="DI62" s="166">
        <v>-496</v>
      </c>
      <c r="DJ62" s="177"/>
      <c r="DK62" s="166">
        <v>45000</v>
      </c>
      <c r="DL62" s="177"/>
      <c r="DM62" s="166">
        <v>0</v>
      </c>
      <c r="DN62" s="177"/>
      <c r="DO62" s="166">
        <v>0</v>
      </c>
      <c r="DP62" s="177"/>
      <c r="DQ62" s="166">
        <v>-531.25</v>
      </c>
      <c r="DR62" s="177"/>
      <c r="DS62" s="166">
        <v>-1062.5</v>
      </c>
      <c r="DT62" s="177"/>
      <c r="DU62" s="166">
        <v>-1593.75</v>
      </c>
      <c r="DV62" s="177"/>
      <c r="DW62" s="166">
        <v>-2125</v>
      </c>
      <c r="DX62" s="177"/>
      <c r="DY62" s="166">
        <v>-2656.25</v>
      </c>
      <c r="DZ62" s="177"/>
      <c r="EA62" s="166">
        <v>-23187.5</v>
      </c>
      <c r="EB62" s="177"/>
      <c r="EC62" s="167">
        <v>-23719</v>
      </c>
      <c r="ED62" s="177"/>
      <c r="EE62" s="167">
        <v>0</v>
      </c>
      <c r="EF62" s="177"/>
      <c r="EG62" s="167">
        <v>0</v>
      </c>
      <c r="EH62" s="177"/>
      <c r="EI62" s="167">
        <v>0</v>
      </c>
      <c r="EJ62" s="177"/>
      <c r="EK62" s="167">
        <v>0</v>
      </c>
      <c r="EL62" s="177"/>
      <c r="EM62" s="167">
        <v>0</v>
      </c>
      <c r="EN62" s="177"/>
      <c r="EO62" s="167">
        <v>0</v>
      </c>
      <c r="EP62" s="177"/>
      <c r="EQ62" s="166">
        <v>0</v>
      </c>
      <c r="ER62" s="177"/>
      <c r="ES62" s="166">
        <v>0</v>
      </c>
      <c r="ET62" s="177"/>
      <c r="EU62" s="166">
        <v>0</v>
      </c>
      <c r="EV62" s="177"/>
      <c r="EW62" s="166">
        <v>0</v>
      </c>
      <c r="EX62" s="177"/>
      <c r="EY62" s="166">
        <v>0</v>
      </c>
      <c r="EZ62" s="177"/>
      <c r="FA62" s="166">
        <v>0</v>
      </c>
      <c r="FB62" s="177"/>
      <c r="FC62" s="166">
        <v>0</v>
      </c>
      <c r="FD62" s="177"/>
      <c r="FE62" s="166">
        <v>0</v>
      </c>
      <c r="FF62" s="177"/>
      <c r="FG62" s="166">
        <v>0</v>
      </c>
      <c r="FH62" s="177"/>
      <c r="FI62" s="166">
        <v>0</v>
      </c>
      <c r="FJ62" s="177"/>
      <c r="FK62" s="166">
        <v>0</v>
      </c>
      <c r="FL62" s="177"/>
      <c r="FM62" s="166">
        <v>0</v>
      </c>
      <c r="FN62" s="177"/>
      <c r="FO62" s="166">
        <v>0</v>
      </c>
      <c r="FP62" s="177"/>
      <c r="FQ62" s="166">
        <v>0</v>
      </c>
      <c r="FR62" s="177"/>
      <c r="FS62" s="166">
        <v>0</v>
      </c>
      <c r="FT62" s="177"/>
      <c r="FU62" s="166">
        <v>0</v>
      </c>
      <c r="FV62" s="177"/>
      <c r="FW62" s="166">
        <v>3000</v>
      </c>
      <c r="FX62" s="177"/>
      <c r="FY62" s="166">
        <v>9000</v>
      </c>
      <c r="FZ62" s="177"/>
      <c r="GA62" s="166">
        <v>15000</v>
      </c>
      <c r="GB62" s="177"/>
      <c r="GC62" s="166">
        <v>21000</v>
      </c>
      <c r="GD62" s="177"/>
      <c r="GE62" s="166">
        <v>27000</v>
      </c>
      <c r="GF62" s="177"/>
      <c r="GG62" s="166">
        <v>33000</v>
      </c>
      <c r="GH62" s="166"/>
      <c r="GI62" s="166">
        <v>39000</v>
      </c>
      <c r="GJ62" s="166"/>
      <c r="GK62" s="166">
        <v>45000</v>
      </c>
      <c r="GL62" s="166"/>
      <c r="GM62" s="166">
        <v>51000</v>
      </c>
      <c r="GN62" s="166"/>
      <c r="GO62" s="166">
        <v>57000</v>
      </c>
      <c r="GP62" s="166"/>
      <c r="GQ62" s="166">
        <v>63000</v>
      </c>
    </row>
    <row r="63" spans="1:199" ht="14.25" hidden="1" customHeight="1" outlineLevel="1">
      <c r="A63" s="158"/>
      <c r="B63" s="177" t="s">
        <v>329</v>
      </c>
      <c r="C63" s="167">
        <v>0</v>
      </c>
      <c r="D63" s="412"/>
      <c r="E63" s="167">
        <v>0</v>
      </c>
      <c r="F63" s="412"/>
      <c r="G63" s="167">
        <v>0</v>
      </c>
      <c r="H63" s="412"/>
      <c r="I63" s="167">
        <v>0</v>
      </c>
      <c r="J63" s="412"/>
      <c r="K63" s="167">
        <v>0</v>
      </c>
      <c r="L63" s="412"/>
      <c r="M63" s="167">
        <v>0</v>
      </c>
      <c r="N63" s="412"/>
      <c r="O63" s="167">
        <v>0</v>
      </c>
      <c r="P63" s="412"/>
      <c r="Q63" s="167">
        <v>0</v>
      </c>
      <c r="R63" s="412"/>
      <c r="S63" s="167">
        <v>0</v>
      </c>
      <c r="T63" s="412"/>
      <c r="U63" s="167">
        <v>0</v>
      </c>
      <c r="V63" s="412"/>
      <c r="W63" s="418">
        <v>0</v>
      </c>
      <c r="X63" s="412"/>
      <c r="Y63" s="167">
        <v>0</v>
      </c>
      <c r="Z63" s="412"/>
      <c r="AA63" s="167">
        <v>269.18</v>
      </c>
      <c r="AB63" s="412"/>
      <c r="AC63" s="167">
        <v>0</v>
      </c>
      <c r="AD63" s="412"/>
      <c r="AE63" s="167">
        <v>0</v>
      </c>
      <c r="AF63" s="412"/>
      <c r="AG63" s="167">
        <v>0</v>
      </c>
      <c r="AH63" s="412"/>
      <c r="AI63" s="167">
        <v>0</v>
      </c>
      <c r="AJ63" s="412"/>
      <c r="AK63" s="167">
        <v>0</v>
      </c>
      <c r="AL63" s="412"/>
      <c r="AM63" s="167">
        <v>0</v>
      </c>
      <c r="AN63" s="412"/>
      <c r="AO63" s="167">
        <v>0</v>
      </c>
      <c r="AP63" s="412"/>
      <c r="AQ63" s="167">
        <v>0</v>
      </c>
      <c r="AR63" s="412"/>
      <c r="AS63" s="167">
        <v>0</v>
      </c>
      <c r="AT63" s="412"/>
      <c r="AU63" s="418">
        <v>0</v>
      </c>
      <c r="AV63" s="412"/>
      <c r="AW63" s="167">
        <v>0</v>
      </c>
      <c r="AX63" s="412"/>
      <c r="AY63" s="167">
        <v>0</v>
      </c>
      <c r="AZ63" s="412"/>
      <c r="BA63" s="167">
        <v>0</v>
      </c>
      <c r="BB63" s="412"/>
      <c r="BC63" s="167">
        <v>0</v>
      </c>
      <c r="BD63" s="412"/>
      <c r="BE63" s="167">
        <v>0</v>
      </c>
      <c r="BF63" s="412"/>
      <c r="BG63" s="167">
        <v>0</v>
      </c>
      <c r="BH63" s="412"/>
      <c r="BI63" s="167">
        <v>0</v>
      </c>
      <c r="BJ63" s="412"/>
      <c r="BK63" s="167">
        <v>0</v>
      </c>
      <c r="BL63" s="412"/>
      <c r="BM63" s="167">
        <v>0</v>
      </c>
      <c r="BN63" s="412"/>
      <c r="BO63" s="167">
        <v>0</v>
      </c>
      <c r="BP63" s="412"/>
      <c r="BQ63" s="167">
        <v>0</v>
      </c>
      <c r="BR63" s="412"/>
      <c r="BS63" s="418">
        <v>0</v>
      </c>
      <c r="BT63" s="412"/>
      <c r="BU63" s="167">
        <v>0</v>
      </c>
      <c r="BV63" s="412"/>
      <c r="BW63" s="167">
        <v>0</v>
      </c>
      <c r="BX63" s="412"/>
      <c r="BY63" s="167">
        <v>0</v>
      </c>
      <c r="BZ63" s="412"/>
      <c r="CA63" s="167">
        <v>0</v>
      </c>
      <c r="CB63" s="412"/>
      <c r="CC63" s="167">
        <v>0</v>
      </c>
      <c r="CD63" s="412"/>
      <c r="CE63" s="167">
        <v>0</v>
      </c>
      <c r="CF63" s="412"/>
      <c r="CG63" s="167">
        <v>0</v>
      </c>
      <c r="CH63" s="412"/>
      <c r="CI63" s="167">
        <v>0</v>
      </c>
      <c r="CJ63" s="412"/>
      <c r="CK63" s="167">
        <v>0</v>
      </c>
      <c r="CL63" s="412"/>
      <c r="CM63" s="167">
        <v>0</v>
      </c>
      <c r="CN63" s="412"/>
      <c r="CO63" s="167">
        <v>0</v>
      </c>
      <c r="CP63" s="412"/>
      <c r="CQ63" s="167">
        <v>0</v>
      </c>
      <c r="CR63" s="412"/>
      <c r="CS63" s="167">
        <v>0</v>
      </c>
      <c r="CT63" s="177"/>
      <c r="CU63" s="167">
        <v>0</v>
      </c>
      <c r="CV63" s="177"/>
      <c r="CW63" s="167">
        <v>0</v>
      </c>
      <c r="CX63" s="177"/>
      <c r="CY63" s="166">
        <v>553667.17000000004</v>
      </c>
      <c r="CZ63" s="177"/>
      <c r="DA63" s="166">
        <v>553667.39</v>
      </c>
      <c r="DB63" s="177"/>
      <c r="DC63" s="166">
        <v>129213.35</v>
      </c>
      <c r="DD63" s="177"/>
      <c r="DE63" s="166">
        <v>36110.9</v>
      </c>
      <c r="DF63" s="177"/>
      <c r="DG63" s="166">
        <v>46064.46</v>
      </c>
      <c r="DH63" s="177"/>
      <c r="DI63" s="166">
        <v>-79818.8</v>
      </c>
      <c r="DJ63" s="177"/>
      <c r="DK63" s="166">
        <v>-93188.73</v>
      </c>
      <c r="DL63" s="177"/>
      <c r="DM63" s="166"/>
      <c r="DN63" s="177"/>
      <c r="DO63" s="166"/>
      <c r="DP63" s="177"/>
      <c r="DQ63" s="166"/>
      <c r="DR63" s="177"/>
      <c r="DS63" s="166"/>
      <c r="DT63" s="177"/>
      <c r="DU63" s="166"/>
      <c r="DV63" s="177"/>
      <c r="DW63" s="166"/>
      <c r="DX63" s="177"/>
      <c r="DY63" s="166"/>
      <c r="DZ63" s="177"/>
      <c r="EA63" s="166"/>
      <c r="EB63" s="177"/>
      <c r="EC63" s="167"/>
      <c r="ED63" s="177"/>
      <c r="EE63" s="167"/>
      <c r="EF63" s="177"/>
      <c r="EG63" s="167"/>
      <c r="EH63" s="177"/>
      <c r="EI63" s="167"/>
      <c r="EJ63" s="177"/>
      <c r="EK63" s="167"/>
      <c r="EL63" s="177"/>
      <c r="EM63" s="167"/>
      <c r="EN63" s="177"/>
      <c r="EO63" s="167"/>
      <c r="EP63" s="177"/>
      <c r="EQ63" s="166"/>
      <c r="ER63" s="177"/>
      <c r="ES63" s="166"/>
      <c r="ET63" s="177"/>
      <c r="EU63" s="166"/>
      <c r="EV63" s="177"/>
      <c r="EW63" s="166"/>
      <c r="EX63" s="177"/>
      <c r="EY63" s="166"/>
      <c r="EZ63" s="177"/>
      <c r="FA63" s="166"/>
      <c r="FB63" s="177"/>
      <c r="FC63" s="166"/>
      <c r="FD63" s="177"/>
      <c r="FE63" s="166"/>
      <c r="FF63" s="177"/>
      <c r="FG63" s="166"/>
      <c r="FH63" s="177"/>
      <c r="FI63" s="166"/>
      <c r="FJ63" s="177"/>
      <c r="FK63" s="166"/>
      <c r="FL63" s="177"/>
      <c r="FM63" s="166"/>
      <c r="FN63" s="177"/>
      <c r="FO63" s="166"/>
      <c r="FP63" s="177"/>
      <c r="FQ63" s="166"/>
      <c r="FR63" s="177"/>
      <c r="FS63" s="166"/>
      <c r="FT63" s="177"/>
      <c r="FU63" s="166"/>
      <c r="FV63" s="177"/>
      <c r="FW63" s="166"/>
      <c r="FX63" s="177"/>
      <c r="FY63" s="166"/>
      <c r="FZ63" s="177"/>
      <c r="GA63" s="166"/>
      <c r="GB63" s="177"/>
      <c r="GC63" s="166"/>
      <c r="GD63" s="177"/>
      <c r="GE63" s="166"/>
      <c r="GF63" s="177"/>
      <c r="GG63" s="166"/>
      <c r="GH63" s="166"/>
      <c r="GI63" s="166"/>
      <c r="GJ63" s="166"/>
      <c r="GK63" s="166"/>
      <c r="GL63" s="166"/>
      <c r="GM63" s="166"/>
      <c r="GN63" s="166"/>
      <c r="GO63" s="166"/>
      <c r="GP63" s="166"/>
      <c r="GQ63" s="166"/>
    </row>
    <row r="64" spans="1:199" ht="14.25" hidden="1" customHeight="1" outlineLevel="1">
      <c r="A64" s="446"/>
      <c r="B64" s="177" t="s">
        <v>851</v>
      </c>
      <c r="C64" s="167">
        <v>0</v>
      </c>
      <c r="D64" s="412"/>
      <c r="E64" s="167">
        <v>-2011.88</v>
      </c>
      <c r="F64" s="412"/>
      <c r="G64" s="167">
        <v>-2011.88</v>
      </c>
      <c r="H64" s="412"/>
      <c r="I64" s="167">
        <v>-368.04</v>
      </c>
      <c r="J64" s="412"/>
      <c r="K64" s="167">
        <v>-368.04</v>
      </c>
      <c r="L64" s="412"/>
      <c r="M64" s="167">
        <v>0</v>
      </c>
      <c r="N64" s="412"/>
      <c r="O64" s="167"/>
      <c r="P64" s="412"/>
      <c r="Q64" s="167"/>
      <c r="R64" s="412"/>
      <c r="S64" s="167"/>
      <c r="T64" s="412"/>
      <c r="U64" s="167"/>
      <c r="V64" s="412"/>
      <c r="W64" s="418"/>
      <c r="X64" s="412"/>
      <c r="Y64" s="167"/>
      <c r="Z64" s="412"/>
      <c r="AA64" s="167"/>
      <c r="AB64" s="412"/>
      <c r="AC64" s="167"/>
      <c r="AD64" s="412"/>
      <c r="AE64" s="167"/>
      <c r="AF64" s="412"/>
      <c r="AG64" s="167"/>
      <c r="AH64" s="412"/>
      <c r="AI64" s="167"/>
      <c r="AJ64" s="412"/>
      <c r="AK64" s="167"/>
      <c r="AL64" s="412"/>
      <c r="AM64" s="167"/>
      <c r="AN64" s="412"/>
      <c r="AO64" s="167"/>
      <c r="AP64" s="412"/>
      <c r="AQ64" s="167"/>
      <c r="AR64" s="412"/>
      <c r="AS64" s="167"/>
      <c r="AT64" s="412"/>
      <c r="AU64" s="418"/>
      <c r="AV64" s="412"/>
      <c r="AW64" s="167"/>
      <c r="AX64" s="412"/>
      <c r="AY64" s="167"/>
      <c r="AZ64" s="412"/>
      <c r="BA64" s="167"/>
      <c r="BB64" s="412"/>
      <c r="BC64" s="167"/>
      <c r="BD64" s="412"/>
      <c r="BE64" s="167"/>
      <c r="BF64" s="412"/>
      <c r="BG64" s="167"/>
      <c r="BH64" s="412"/>
      <c r="BI64" s="167"/>
      <c r="BJ64" s="412"/>
      <c r="BK64" s="167"/>
      <c r="BL64" s="412"/>
      <c r="BM64" s="167"/>
      <c r="BN64" s="412"/>
      <c r="BO64" s="167"/>
      <c r="BP64" s="412"/>
      <c r="BQ64" s="167"/>
      <c r="BR64" s="412"/>
      <c r="BS64" s="418"/>
      <c r="BT64" s="412"/>
      <c r="BU64" s="167"/>
      <c r="BV64" s="412"/>
      <c r="BW64" s="167"/>
      <c r="BX64" s="412"/>
      <c r="BY64" s="167"/>
      <c r="BZ64" s="412"/>
      <c r="CA64" s="167"/>
      <c r="CB64" s="412"/>
      <c r="CC64" s="167"/>
      <c r="CD64" s="412"/>
      <c r="CE64" s="167"/>
      <c r="CF64" s="412"/>
      <c r="CG64" s="167"/>
      <c r="CH64" s="412"/>
      <c r="CI64" s="167"/>
      <c r="CJ64" s="412"/>
      <c r="CK64" s="167"/>
      <c r="CL64" s="412"/>
      <c r="CM64" s="167"/>
      <c r="CN64" s="412"/>
      <c r="CO64" s="167"/>
      <c r="CP64" s="412"/>
      <c r="CQ64" s="167"/>
      <c r="CR64" s="412"/>
      <c r="CS64" s="167"/>
      <c r="CT64" s="412"/>
      <c r="CU64" s="167"/>
      <c r="CV64" s="412"/>
      <c r="CW64" s="167"/>
      <c r="CX64" s="412"/>
      <c r="CY64" s="448"/>
      <c r="CZ64" s="412"/>
      <c r="DA64" s="448"/>
      <c r="DB64" s="412"/>
      <c r="DC64" s="448"/>
      <c r="DD64" s="412"/>
      <c r="DE64" s="448"/>
      <c r="DF64" s="412"/>
      <c r="DG64" s="448"/>
      <c r="DH64" s="412"/>
      <c r="DI64" s="448"/>
      <c r="DJ64" s="412"/>
      <c r="DK64" s="448"/>
      <c r="DL64" s="412"/>
      <c r="DM64" s="448"/>
      <c r="DN64" s="412"/>
      <c r="DO64" s="448"/>
      <c r="DP64" s="412"/>
      <c r="DQ64" s="448"/>
      <c r="DR64" s="412"/>
      <c r="DS64" s="448"/>
      <c r="DT64" s="412"/>
      <c r="DU64" s="448"/>
      <c r="DV64" s="412"/>
      <c r="DW64" s="448"/>
      <c r="DX64" s="412"/>
      <c r="DY64" s="448"/>
      <c r="DZ64" s="412"/>
      <c r="EA64" s="448"/>
      <c r="EB64" s="412"/>
      <c r="EC64" s="167"/>
      <c r="ED64" s="412"/>
      <c r="EE64" s="167"/>
      <c r="EF64" s="412"/>
      <c r="EG64" s="167"/>
      <c r="EH64" s="412"/>
      <c r="EI64" s="167"/>
      <c r="EJ64" s="412"/>
      <c r="EK64" s="167"/>
      <c r="EL64" s="412"/>
      <c r="EM64" s="167"/>
      <c r="EN64" s="412"/>
      <c r="EO64" s="167"/>
      <c r="EP64" s="412"/>
      <c r="EQ64" s="448"/>
      <c r="ER64" s="412"/>
      <c r="ES64" s="448"/>
      <c r="ET64" s="412"/>
      <c r="EU64" s="448"/>
      <c r="EV64" s="412"/>
      <c r="EW64" s="448"/>
      <c r="EX64" s="412"/>
      <c r="EY64" s="448"/>
      <c r="EZ64" s="412"/>
      <c r="FA64" s="448"/>
      <c r="FB64" s="412"/>
      <c r="FC64" s="448"/>
      <c r="FD64" s="412"/>
      <c r="FE64" s="448"/>
      <c r="FF64" s="412"/>
      <c r="FG64" s="448"/>
      <c r="FH64" s="412"/>
      <c r="FI64" s="448"/>
      <c r="FJ64" s="412"/>
      <c r="FK64" s="448"/>
      <c r="FL64" s="412"/>
      <c r="FM64" s="448"/>
      <c r="FN64" s="412"/>
      <c r="FO64" s="448"/>
      <c r="FP64" s="412"/>
      <c r="FQ64" s="448"/>
      <c r="FR64" s="412"/>
      <c r="FS64" s="448"/>
      <c r="FT64" s="412"/>
      <c r="FU64" s="448"/>
      <c r="FV64" s="412"/>
      <c r="FW64" s="448"/>
      <c r="FX64" s="412"/>
      <c r="FY64" s="448"/>
      <c r="FZ64" s="412"/>
      <c r="GA64" s="448"/>
      <c r="GB64" s="412"/>
      <c r="GC64" s="448"/>
      <c r="GD64" s="412"/>
      <c r="GE64" s="448"/>
      <c r="GF64" s="412"/>
      <c r="GG64" s="448"/>
      <c r="GH64" s="448"/>
      <c r="GI64" s="448"/>
      <c r="GJ64" s="448"/>
      <c r="GK64" s="448"/>
      <c r="GL64" s="448"/>
      <c r="GM64" s="448"/>
      <c r="GN64" s="448"/>
      <c r="GO64" s="448"/>
      <c r="GP64" s="448"/>
      <c r="GQ64" s="448"/>
    </row>
    <row r="65" spans="1:209" ht="14.25" hidden="1" customHeight="1" outlineLevel="1">
      <c r="A65" s="158"/>
      <c r="B65" s="157" t="s">
        <v>330</v>
      </c>
      <c r="C65" s="167">
        <v>0</v>
      </c>
      <c r="D65" s="410"/>
      <c r="E65" s="167">
        <v>0</v>
      </c>
      <c r="F65" s="410"/>
      <c r="G65" s="167">
        <v>0</v>
      </c>
      <c r="H65" s="410"/>
      <c r="I65" s="167">
        <v>0</v>
      </c>
      <c r="J65" s="410"/>
      <c r="K65" s="167">
        <v>0</v>
      </c>
      <c r="L65" s="410"/>
      <c r="M65" s="167">
        <v>0</v>
      </c>
      <c r="N65" s="410"/>
      <c r="O65" s="167">
        <v>0</v>
      </c>
      <c r="P65" s="410"/>
      <c r="Q65" s="167">
        <v>0</v>
      </c>
      <c r="R65" s="410"/>
      <c r="S65" s="167">
        <v>0</v>
      </c>
      <c r="T65" s="410"/>
      <c r="U65" s="167">
        <v>0</v>
      </c>
      <c r="V65" s="410"/>
      <c r="W65" s="418">
        <v>0</v>
      </c>
      <c r="X65" s="410"/>
      <c r="Y65" s="167">
        <v>0</v>
      </c>
      <c r="Z65" s="410"/>
      <c r="AA65" s="167">
        <v>0</v>
      </c>
      <c r="AB65" s="410"/>
      <c r="AC65" s="167">
        <v>0</v>
      </c>
      <c r="AD65" s="410"/>
      <c r="AE65" s="167">
        <v>0</v>
      </c>
      <c r="AF65" s="410"/>
      <c r="AG65" s="167">
        <v>0</v>
      </c>
      <c r="AH65" s="410"/>
      <c r="AI65" s="167">
        <v>0</v>
      </c>
      <c r="AJ65" s="410"/>
      <c r="AK65" s="167">
        <v>0</v>
      </c>
      <c r="AL65" s="410"/>
      <c r="AM65" s="167">
        <v>0</v>
      </c>
      <c r="AN65" s="410"/>
      <c r="AO65" s="167">
        <v>0</v>
      </c>
      <c r="AP65" s="410"/>
      <c r="AQ65" s="167">
        <v>0</v>
      </c>
      <c r="AR65" s="410"/>
      <c r="AS65" s="167">
        <v>0</v>
      </c>
      <c r="AT65" s="410"/>
      <c r="AU65" s="418">
        <v>0</v>
      </c>
      <c r="AV65" s="410"/>
      <c r="AW65" s="167">
        <v>0</v>
      </c>
      <c r="AX65" s="410"/>
      <c r="AY65" s="167">
        <v>0</v>
      </c>
      <c r="AZ65" s="410"/>
      <c r="BA65" s="167">
        <v>0</v>
      </c>
      <c r="BB65" s="410"/>
      <c r="BC65" s="167">
        <v>0</v>
      </c>
      <c r="BD65" s="410"/>
      <c r="BE65" s="167">
        <v>0</v>
      </c>
      <c r="BF65" s="410"/>
      <c r="BG65" s="167">
        <v>0</v>
      </c>
      <c r="BH65" s="410"/>
      <c r="BI65" s="167">
        <v>0</v>
      </c>
      <c r="BJ65" s="410"/>
      <c r="BK65" s="167">
        <v>0</v>
      </c>
      <c r="BL65" s="410"/>
      <c r="BM65" s="167">
        <v>0</v>
      </c>
      <c r="BN65" s="410"/>
      <c r="BO65" s="167">
        <v>0</v>
      </c>
      <c r="BP65" s="410"/>
      <c r="BQ65" s="167">
        <v>0</v>
      </c>
      <c r="BR65" s="410"/>
      <c r="BS65" s="418">
        <v>0</v>
      </c>
      <c r="BT65" s="410"/>
      <c r="BU65" s="167">
        <v>0</v>
      </c>
      <c r="BV65" s="410"/>
      <c r="BW65" s="167">
        <v>0</v>
      </c>
      <c r="BX65" s="410"/>
      <c r="BY65" s="167">
        <v>0</v>
      </c>
      <c r="BZ65" s="410"/>
      <c r="CA65" s="167">
        <v>0</v>
      </c>
      <c r="CB65" s="410"/>
      <c r="CC65" s="167">
        <v>0</v>
      </c>
      <c r="CD65" s="410"/>
      <c r="CE65" s="167">
        <v>0</v>
      </c>
      <c r="CF65" s="410"/>
      <c r="CG65" s="167">
        <v>0</v>
      </c>
      <c r="CH65" s="410"/>
      <c r="CI65" s="167">
        <v>0</v>
      </c>
      <c r="CJ65" s="410"/>
      <c r="CK65" s="167">
        <v>0</v>
      </c>
      <c r="CL65" s="410"/>
      <c r="CM65" s="167">
        <v>0</v>
      </c>
      <c r="CN65" s="410"/>
      <c r="CO65" s="167">
        <v>0</v>
      </c>
      <c r="CP65" s="410"/>
      <c r="CQ65" s="167">
        <v>0</v>
      </c>
      <c r="CR65" s="410"/>
      <c r="CS65" s="167">
        <v>0</v>
      </c>
      <c r="CT65" s="157"/>
      <c r="CU65" s="166">
        <v>0</v>
      </c>
      <c r="CV65" s="157"/>
      <c r="CW65" s="166">
        <v>0</v>
      </c>
      <c r="CX65" s="157"/>
      <c r="CY65" s="166">
        <v>0</v>
      </c>
      <c r="CZ65" s="157"/>
      <c r="DA65" s="166">
        <v>0</v>
      </c>
      <c r="DB65" s="157"/>
      <c r="DC65" s="166">
        <v>0</v>
      </c>
      <c r="DD65" s="157"/>
      <c r="DE65" s="166">
        <v>0</v>
      </c>
      <c r="DF65" s="157"/>
      <c r="DG65" s="166">
        <v>0</v>
      </c>
      <c r="DH65" s="157"/>
      <c r="DI65" s="166">
        <v>0</v>
      </c>
      <c r="DJ65" s="157"/>
      <c r="DK65" s="179">
        <v>0</v>
      </c>
      <c r="DL65" s="157"/>
      <c r="DM65" s="166">
        <v>0</v>
      </c>
      <c r="DN65" s="157"/>
      <c r="DO65" s="166">
        <v>0</v>
      </c>
      <c r="DP65" s="157"/>
      <c r="DQ65" s="166">
        <v>0</v>
      </c>
      <c r="DR65" s="157"/>
      <c r="DS65" s="166">
        <v>0</v>
      </c>
      <c r="DT65" s="157"/>
      <c r="DU65" s="166">
        <v>0</v>
      </c>
      <c r="DV65" s="157"/>
      <c r="DW65" s="166">
        <v>0</v>
      </c>
      <c r="DX65" s="157"/>
      <c r="DY65" s="166">
        <v>0</v>
      </c>
      <c r="DZ65" s="157"/>
      <c r="EA65" s="166">
        <v>0</v>
      </c>
      <c r="EB65" s="157"/>
      <c r="EC65" s="166">
        <v>0</v>
      </c>
      <c r="ED65" s="157"/>
      <c r="EE65" s="166">
        <v>0</v>
      </c>
      <c r="EF65" s="157"/>
      <c r="EG65" s="167">
        <v>23831.85</v>
      </c>
      <c r="EH65" s="157"/>
      <c r="EI65" s="167">
        <v>0</v>
      </c>
      <c r="EJ65" s="157"/>
      <c r="EK65" s="167">
        <v>0</v>
      </c>
      <c r="EL65" s="157"/>
      <c r="EM65" s="167">
        <v>-100</v>
      </c>
      <c r="EN65" s="157"/>
      <c r="EO65" s="167">
        <v>0</v>
      </c>
      <c r="EP65" s="157"/>
      <c r="EQ65" s="166">
        <v>0</v>
      </c>
      <c r="ER65" s="157"/>
      <c r="ES65" s="166">
        <v>0</v>
      </c>
      <c r="ET65" s="157"/>
      <c r="EU65" s="166">
        <v>50855.6</v>
      </c>
      <c r="EV65" s="157"/>
      <c r="EW65" s="166">
        <v>0</v>
      </c>
      <c r="EX65" s="157"/>
      <c r="EY65" s="166">
        <v>0</v>
      </c>
      <c r="EZ65" s="157"/>
      <c r="FA65" s="166">
        <v>0</v>
      </c>
      <c r="FB65" s="157"/>
      <c r="FC65" s="166">
        <v>0</v>
      </c>
      <c r="FD65" s="157"/>
      <c r="FE65" s="166">
        <v>0</v>
      </c>
      <c r="FF65" s="157"/>
      <c r="FG65" s="166">
        <v>0</v>
      </c>
      <c r="FH65" s="157"/>
      <c r="FI65" s="166">
        <v>0</v>
      </c>
      <c r="FJ65" s="157"/>
      <c r="FK65" s="166">
        <v>13201.82</v>
      </c>
      <c r="FL65" s="157"/>
      <c r="FM65" s="166">
        <v>0</v>
      </c>
      <c r="FN65" s="157"/>
      <c r="FO65" s="166">
        <v>0</v>
      </c>
      <c r="FP65" s="157"/>
      <c r="FQ65" s="166">
        <v>0</v>
      </c>
      <c r="FR65" s="157"/>
      <c r="FS65" s="166">
        <v>0</v>
      </c>
      <c r="FT65" s="157"/>
      <c r="FU65" s="166">
        <v>0</v>
      </c>
      <c r="FV65" s="157"/>
      <c r="FW65" s="166">
        <v>0</v>
      </c>
      <c r="FX65" s="157"/>
      <c r="FY65" s="166">
        <v>0</v>
      </c>
      <c r="FZ65" s="157"/>
      <c r="GA65" s="166">
        <v>0</v>
      </c>
      <c r="GB65" s="157"/>
      <c r="GC65" s="166">
        <v>0</v>
      </c>
      <c r="GD65" s="157"/>
      <c r="GE65" s="166">
        <v>0</v>
      </c>
      <c r="GF65" s="157"/>
      <c r="GG65" s="166"/>
      <c r="GH65" s="166"/>
      <c r="GI65" s="166"/>
      <c r="GJ65" s="157"/>
      <c r="GK65" s="166"/>
      <c r="GL65" s="157"/>
      <c r="GM65" s="166"/>
      <c r="GN65" s="157"/>
      <c r="GO65" s="166"/>
      <c r="GP65" s="157"/>
      <c r="GQ65" s="166"/>
    </row>
    <row r="66" spans="1:209" ht="14.25" hidden="1" customHeight="1" outlineLevel="1">
      <c r="A66" s="158"/>
      <c r="B66" s="157" t="s">
        <v>331</v>
      </c>
      <c r="C66" s="167">
        <v>0</v>
      </c>
      <c r="D66" s="410"/>
      <c r="E66" s="167">
        <v>0</v>
      </c>
      <c r="F66" s="410"/>
      <c r="G66" s="167">
        <v>0</v>
      </c>
      <c r="H66" s="410"/>
      <c r="I66" s="167">
        <v>0</v>
      </c>
      <c r="J66" s="410"/>
      <c r="K66" s="167">
        <v>0</v>
      </c>
      <c r="L66" s="410"/>
      <c r="M66" s="167">
        <v>0</v>
      </c>
      <c r="N66" s="410"/>
      <c r="O66" s="167">
        <v>0</v>
      </c>
      <c r="P66" s="410"/>
      <c r="Q66" s="167">
        <v>0</v>
      </c>
      <c r="R66" s="410"/>
      <c r="S66" s="167">
        <v>0</v>
      </c>
      <c r="T66" s="410"/>
      <c r="U66" s="167">
        <v>0</v>
      </c>
      <c r="V66" s="410"/>
      <c r="W66" s="418">
        <v>0</v>
      </c>
      <c r="X66" s="410"/>
      <c r="Y66" s="167">
        <v>0</v>
      </c>
      <c r="Z66" s="410"/>
      <c r="AA66" s="167">
        <v>0</v>
      </c>
      <c r="AB66" s="410"/>
      <c r="AC66" s="167">
        <v>0</v>
      </c>
      <c r="AD66" s="410"/>
      <c r="AE66" s="167">
        <v>0</v>
      </c>
      <c r="AF66" s="410"/>
      <c r="AG66" s="167">
        <v>0</v>
      </c>
      <c r="AH66" s="410"/>
      <c r="AI66" s="167">
        <v>0</v>
      </c>
      <c r="AJ66" s="410"/>
      <c r="AK66" s="167">
        <v>0</v>
      </c>
      <c r="AL66" s="410"/>
      <c r="AM66" s="167">
        <v>0</v>
      </c>
      <c r="AN66" s="410"/>
      <c r="AO66" s="167">
        <v>0</v>
      </c>
      <c r="AP66" s="410"/>
      <c r="AQ66" s="167">
        <v>0</v>
      </c>
      <c r="AR66" s="410"/>
      <c r="AS66" s="167">
        <v>0</v>
      </c>
      <c r="AT66" s="410"/>
      <c r="AU66" s="418">
        <v>0</v>
      </c>
      <c r="AV66" s="410"/>
      <c r="AW66" s="167">
        <v>0</v>
      </c>
      <c r="AX66" s="410"/>
      <c r="AY66" s="167">
        <v>0</v>
      </c>
      <c r="AZ66" s="410"/>
      <c r="BA66" s="167">
        <v>0</v>
      </c>
      <c r="BB66" s="410"/>
      <c r="BC66" s="167">
        <v>0</v>
      </c>
      <c r="BD66" s="410"/>
      <c r="BE66" s="167">
        <v>0</v>
      </c>
      <c r="BF66" s="410"/>
      <c r="BG66" s="167">
        <v>0</v>
      </c>
      <c r="BH66" s="410"/>
      <c r="BI66" s="167">
        <v>0</v>
      </c>
      <c r="BJ66" s="410"/>
      <c r="BK66" s="167">
        <v>0</v>
      </c>
      <c r="BL66" s="410"/>
      <c r="BM66" s="167">
        <v>0</v>
      </c>
      <c r="BN66" s="410"/>
      <c r="BO66" s="167">
        <v>0</v>
      </c>
      <c r="BP66" s="410"/>
      <c r="BQ66" s="167">
        <v>0</v>
      </c>
      <c r="BR66" s="410"/>
      <c r="BS66" s="418">
        <v>0</v>
      </c>
      <c r="BT66" s="410"/>
      <c r="BU66" s="167">
        <v>0</v>
      </c>
      <c r="BV66" s="410"/>
      <c r="BW66" s="167">
        <v>0</v>
      </c>
      <c r="BX66" s="410"/>
      <c r="BY66" s="167">
        <v>0</v>
      </c>
      <c r="BZ66" s="410"/>
      <c r="CA66" s="167">
        <v>0</v>
      </c>
      <c r="CB66" s="410"/>
      <c r="CC66" s="167">
        <v>0</v>
      </c>
      <c r="CD66" s="410"/>
      <c r="CE66" s="167">
        <v>0</v>
      </c>
      <c r="CF66" s="410"/>
      <c r="CG66" s="167">
        <v>0</v>
      </c>
      <c r="CH66" s="410"/>
      <c r="CI66" s="167">
        <v>0</v>
      </c>
      <c r="CJ66" s="410"/>
      <c r="CK66" s="167">
        <v>0</v>
      </c>
      <c r="CL66" s="410"/>
      <c r="CM66" s="167">
        <v>0</v>
      </c>
      <c r="CN66" s="410"/>
      <c r="CO66" s="167">
        <v>0</v>
      </c>
      <c r="CP66" s="410"/>
      <c r="CQ66" s="167">
        <v>0</v>
      </c>
      <c r="CR66" s="410"/>
      <c r="CS66" s="167">
        <v>0</v>
      </c>
      <c r="CT66" s="157"/>
      <c r="CU66" s="167">
        <v>0</v>
      </c>
      <c r="CV66" s="157"/>
      <c r="CW66" s="167">
        <v>0</v>
      </c>
      <c r="CX66" s="157"/>
      <c r="CY66" s="167">
        <v>0</v>
      </c>
      <c r="CZ66" s="157"/>
      <c r="DA66" s="167">
        <v>0</v>
      </c>
      <c r="DB66" s="157"/>
      <c r="DC66" s="167">
        <v>0</v>
      </c>
      <c r="DD66" s="157"/>
      <c r="DE66" s="167">
        <v>0</v>
      </c>
      <c r="DF66" s="157"/>
      <c r="DG66" s="167">
        <v>0</v>
      </c>
      <c r="DH66" s="157"/>
      <c r="DI66" s="167">
        <v>0</v>
      </c>
      <c r="DJ66" s="157"/>
      <c r="DK66" s="167">
        <v>0</v>
      </c>
      <c r="DL66" s="157"/>
      <c r="DM66" s="167">
        <v>0</v>
      </c>
      <c r="DN66" s="157"/>
      <c r="DO66" s="167">
        <v>0</v>
      </c>
      <c r="DP66" s="157"/>
      <c r="DQ66" s="167">
        <v>-28558.86</v>
      </c>
      <c r="DR66" s="157"/>
      <c r="DS66" s="167">
        <v>76920.52</v>
      </c>
      <c r="DT66" s="157"/>
      <c r="DU66" s="167">
        <v>16091.73</v>
      </c>
      <c r="DV66" s="157"/>
      <c r="DW66" s="167">
        <v>103810.34</v>
      </c>
      <c r="DX66" s="157"/>
      <c r="DY66" s="166">
        <v>32783.49</v>
      </c>
      <c r="DZ66" s="157"/>
      <c r="EA66" s="166">
        <v>17793.490000000002</v>
      </c>
      <c r="EB66" s="157"/>
      <c r="EC66" s="166">
        <v>7127.35</v>
      </c>
      <c r="ED66" s="157"/>
      <c r="EE66" s="166"/>
      <c r="EF66" s="157"/>
      <c r="EG66" s="167"/>
      <c r="EH66" s="157"/>
      <c r="EI66" s="167"/>
      <c r="EJ66" s="157"/>
      <c r="EK66" s="167"/>
      <c r="EL66" s="157"/>
      <c r="EM66" s="167"/>
      <c r="EN66" s="157"/>
      <c r="EO66" s="167"/>
      <c r="EP66" s="157"/>
      <c r="EQ66" s="166"/>
      <c r="ER66" s="157"/>
      <c r="ES66" s="166"/>
      <c r="ET66" s="157"/>
      <c r="EU66" s="166"/>
      <c r="EV66" s="157"/>
      <c r="EW66" s="166"/>
      <c r="EX66" s="157"/>
      <c r="EY66" s="166"/>
      <c r="EZ66" s="157"/>
      <c r="FA66" s="166"/>
      <c r="FB66" s="157"/>
      <c r="FC66" s="166"/>
      <c r="FD66" s="157"/>
      <c r="FE66" s="166"/>
      <c r="FF66" s="157"/>
      <c r="FG66" s="166"/>
      <c r="FH66" s="157"/>
      <c r="FI66" s="166"/>
      <c r="FJ66" s="157"/>
      <c r="FK66" s="166"/>
      <c r="FL66" s="157"/>
      <c r="FM66" s="166"/>
      <c r="FN66" s="157"/>
      <c r="FO66" s="166"/>
      <c r="FP66" s="157"/>
      <c r="FQ66" s="166"/>
      <c r="FR66" s="157"/>
      <c r="FS66" s="166"/>
      <c r="FT66" s="157"/>
      <c r="FU66" s="166"/>
      <c r="FV66" s="157"/>
      <c r="FW66" s="166"/>
      <c r="FX66" s="157"/>
      <c r="FY66" s="166"/>
      <c r="FZ66" s="157"/>
      <c r="GA66" s="166"/>
      <c r="GB66" s="157"/>
      <c r="GC66" s="166"/>
      <c r="GD66" s="157"/>
      <c r="GE66" s="166"/>
      <c r="GF66" s="157"/>
      <c r="GG66" s="166"/>
      <c r="GH66" s="166"/>
      <c r="GI66" s="166"/>
      <c r="GJ66" s="157"/>
      <c r="GK66" s="166"/>
      <c r="GL66" s="157"/>
      <c r="GM66" s="166"/>
      <c r="GN66" s="157"/>
      <c r="GO66" s="166"/>
      <c r="GP66" s="157"/>
      <c r="GQ66" s="166"/>
    </row>
    <row r="67" spans="1:209" ht="14.25" hidden="1" customHeight="1" outlineLevel="1" thickBot="1">
      <c r="A67" s="158"/>
      <c r="B67" s="157" t="s">
        <v>332</v>
      </c>
      <c r="C67" s="167">
        <v>0</v>
      </c>
      <c r="D67" s="410"/>
      <c r="E67" s="167">
        <v>0</v>
      </c>
      <c r="F67" s="410"/>
      <c r="G67" s="167">
        <v>0</v>
      </c>
      <c r="H67" s="410"/>
      <c r="I67" s="167">
        <v>0</v>
      </c>
      <c r="J67" s="410"/>
      <c r="K67" s="167">
        <v>0</v>
      </c>
      <c r="L67" s="410"/>
      <c r="M67" s="167">
        <v>0</v>
      </c>
      <c r="N67" s="410"/>
      <c r="O67" s="167">
        <v>0</v>
      </c>
      <c r="P67" s="410"/>
      <c r="Q67" s="167">
        <v>0</v>
      </c>
      <c r="R67" s="410"/>
      <c r="S67" s="167">
        <v>0</v>
      </c>
      <c r="T67" s="410"/>
      <c r="U67" s="167">
        <v>0</v>
      </c>
      <c r="V67" s="410"/>
      <c r="W67" s="418">
        <v>0</v>
      </c>
      <c r="X67" s="410"/>
      <c r="Y67" s="167">
        <v>0</v>
      </c>
      <c r="Z67" s="410"/>
      <c r="AA67" s="167">
        <v>0</v>
      </c>
      <c r="AB67" s="410"/>
      <c r="AC67" s="167">
        <v>0</v>
      </c>
      <c r="AD67" s="410"/>
      <c r="AE67" s="167">
        <v>0</v>
      </c>
      <c r="AF67" s="410"/>
      <c r="AG67" s="167">
        <v>0</v>
      </c>
      <c r="AH67" s="410"/>
      <c r="AI67" s="167">
        <v>0</v>
      </c>
      <c r="AJ67" s="410"/>
      <c r="AK67" s="167">
        <v>0</v>
      </c>
      <c r="AL67" s="410"/>
      <c r="AM67" s="167">
        <v>0</v>
      </c>
      <c r="AN67" s="410"/>
      <c r="AO67" s="167">
        <v>0</v>
      </c>
      <c r="AP67" s="410"/>
      <c r="AQ67" s="167">
        <v>0</v>
      </c>
      <c r="AR67" s="410"/>
      <c r="AS67" s="167">
        <v>0</v>
      </c>
      <c r="AT67" s="410"/>
      <c r="AU67" s="418">
        <v>0</v>
      </c>
      <c r="AV67" s="410"/>
      <c r="AW67" s="167">
        <v>0</v>
      </c>
      <c r="AX67" s="410"/>
      <c r="AY67" s="167">
        <v>0</v>
      </c>
      <c r="AZ67" s="410"/>
      <c r="BA67" s="167">
        <v>0</v>
      </c>
      <c r="BB67" s="410"/>
      <c r="BC67" s="167">
        <v>0</v>
      </c>
      <c r="BD67" s="410"/>
      <c r="BE67" s="167">
        <v>0</v>
      </c>
      <c r="BF67" s="410"/>
      <c r="BG67" s="167">
        <v>0</v>
      </c>
      <c r="BH67" s="410"/>
      <c r="BI67" s="167">
        <v>0</v>
      </c>
      <c r="BJ67" s="410"/>
      <c r="BK67" s="167">
        <v>0</v>
      </c>
      <c r="BL67" s="410"/>
      <c r="BM67" s="167">
        <v>0</v>
      </c>
      <c r="BN67" s="410"/>
      <c r="BO67" s="167">
        <v>0</v>
      </c>
      <c r="BP67" s="410"/>
      <c r="BQ67" s="167">
        <v>0</v>
      </c>
      <c r="BR67" s="410"/>
      <c r="BS67" s="418">
        <v>0</v>
      </c>
      <c r="BT67" s="410"/>
      <c r="BU67" s="167">
        <v>0</v>
      </c>
      <c r="BV67" s="410"/>
      <c r="BW67" s="167">
        <v>0</v>
      </c>
      <c r="BX67" s="410"/>
      <c r="BY67" s="167">
        <v>0</v>
      </c>
      <c r="BZ67" s="410"/>
      <c r="CA67" s="167">
        <v>0</v>
      </c>
      <c r="CB67" s="410"/>
      <c r="CC67" s="167">
        <v>0</v>
      </c>
      <c r="CD67" s="410"/>
      <c r="CE67" s="167">
        <v>0</v>
      </c>
      <c r="CF67" s="410"/>
      <c r="CG67" s="167">
        <v>0</v>
      </c>
      <c r="CH67" s="410"/>
      <c r="CI67" s="167">
        <v>0</v>
      </c>
      <c r="CJ67" s="410"/>
      <c r="CK67" s="167">
        <v>0</v>
      </c>
      <c r="CL67" s="410"/>
      <c r="CM67" s="167">
        <v>0</v>
      </c>
      <c r="CN67" s="410"/>
      <c r="CO67" s="167">
        <v>0</v>
      </c>
      <c r="CP67" s="410"/>
      <c r="CQ67" s="167">
        <v>0</v>
      </c>
      <c r="CR67" s="410"/>
      <c r="CS67" s="167">
        <v>0</v>
      </c>
      <c r="CT67" s="157"/>
      <c r="CU67" s="166">
        <v>0</v>
      </c>
      <c r="CV67" s="157"/>
      <c r="CW67" s="166">
        <v>0</v>
      </c>
      <c r="CX67" s="157"/>
      <c r="CY67" s="166">
        <v>0</v>
      </c>
      <c r="CZ67" s="157"/>
      <c r="DA67" s="166">
        <v>0</v>
      </c>
      <c r="DB67" s="157"/>
      <c r="DC67" s="166">
        <v>0</v>
      </c>
      <c r="DD67" s="157"/>
      <c r="DE67" s="166">
        <v>0</v>
      </c>
      <c r="DF67" s="157"/>
      <c r="DG67" s="166">
        <v>0</v>
      </c>
      <c r="DH67" s="157"/>
      <c r="DI67" s="166">
        <v>0</v>
      </c>
      <c r="DJ67" s="157"/>
      <c r="DK67" s="166">
        <v>0</v>
      </c>
      <c r="DL67" s="157"/>
      <c r="DM67" s="166">
        <v>0</v>
      </c>
      <c r="DN67" s="157"/>
      <c r="DO67" s="166">
        <v>0</v>
      </c>
      <c r="DP67" s="157"/>
      <c r="DQ67" s="166">
        <v>0</v>
      </c>
      <c r="DR67" s="157"/>
      <c r="DS67" s="166">
        <v>0</v>
      </c>
      <c r="DT67" s="157"/>
      <c r="DU67" s="166">
        <v>0</v>
      </c>
      <c r="DV67" s="157"/>
      <c r="DW67" s="166">
        <v>0</v>
      </c>
      <c r="DX67" s="157"/>
      <c r="DY67" s="166">
        <v>0</v>
      </c>
      <c r="DZ67" s="157"/>
      <c r="EA67" s="166">
        <v>0</v>
      </c>
      <c r="EB67" s="157"/>
      <c r="EC67" s="166">
        <v>0</v>
      </c>
      <c r="ED67" s="157"/>
      <c r="EE67" s="166">
        <v>0</v>
      </c>
      <c r="EF67" s="157"/>
      <c r="EG67" s="167">
        <v>0</v>
      </c>
      <c r="EH67" s="157"/>
      <c r="EI67" s="167">
        <v>0</v>
      </c>
      <c r="EJ67" s="157"/>
      <c r="EK67" s="167">
        <v>0</v>
      </c>
      <c r="EL67" s="157"/>
      <c r="EM67" s="167">
        <v>0</v>
      </c>
      <c r="EN67" s="157"/>
      <c r="EO67" s="167">
        <v>0</v>
      </c>
      <c r="EP67" s="157"/>
      <c r="EQ67" s="166">
        <v>0</v>
      </c>
      <c r="ER67" s="157"/>
      <c r="ES67" s="166">
        <v>0</v>
      </c>
      <c r="ET67" s="157"/>
      <c r="EU67" s="166">
        <v>0</v>
      </c>
      <c r="EV67" s="157"/>
      <c r="EW67" s="166">
        <v>0</v>
      </c>
      <c r="EX67" s="157"/>
      <c r="EY67" s="166">
        <v>0</v>
      </c>
      <c r="EZ67" s="157"/>
      <c r="FA67" s="166">
        <v>956286.42</v>
      </c>
      <c r="FB67" s="157"/>
      <c r="FC67" s="166">
        <v>0</v>
      </c>
      <c r="FD67" s="157"/>
      <c r="FE67" s="166">
        <v>0</v>
      </c>
      <c r="FF67" s="157"/>
      <c r="FG67" s="166">
        <v>0</v>
      </c>
      <c r="FH67" s="157"/>
      <c r="FI67" s="166">
        <v>0</v>
      </c>
      <c r="FJ67" s="157"/>
      <c r="FK67" s="166">
        <v>0</v>
      </c>
      <c r="FL67" s="157"/>
      <c r="FM67" s="166">
        <v>0</v>
      </c>
      <c r="FN67" s="157"/>
      <c r="FO67" s="166">
        <v>0</v>
      </c>
      <c r="FP67" s="157"/>
      <c r="FQ67" s="166">
        <v>0</v>
      </c>
      <c r="FR67" s="157"/>
      <c r="FS67" s="166">
        <v>0</v>
      </c>
      <c r="FT67" s="157"/>
      <c r="FU67" s="166">
        <v>0</v>
      </c>
      <c r="FV67" s="157"/>
      <c r="FW67" s="166">
        <v>0</v>
      </c>
      <c r="FX67" s="157"/>
      <c r="FY67" s="166">
        <v>0</v>
      </c>
      <c r="FZ67" s="157"/>
      <c r="GA67" s="166">
        <v>0</v>
      </c>
      <c r="GB67" s="157"/>
      <c r="GC67" s="166">
        <v>0</v>
      </c>
      <c r="GD67" s="157"/>
      <c r="GE67" s="166">
        <v>0</v>
      </c>
      <c r="GF67" s="157"/>
      <c r="GG67" s="166"/>
      <c r="GH67" s="166"/>
      <c r="GI67" s="166"/>
      <c r="GJ67" s="157"/>
      <c r="GK67" s="166"/>
      <c r="GL67" s="157"/>
      <c r="GM67" s="166"/>
      <c r="GN67" s="157"/>
      <c r="GO67" s="166"/>
      <c r="GP67" s="157"/>
      <c r="GQ67" s="166"/>
      <c r="GR67" s="157"/>
      <c r="GS67" s="157"/>
      <c r="GT67" s="182"/>
      <c r="GU67" s="157"/>
      <c r="GV67" s="157"/>
      <c r="GW67" s="157"/>
      <c r="GX67" s="157"/>
      <c r="GY67" s="157"/>
      <c r="GZ67" s="157"/>
      <c r="HA67" s="157"/>
    </row>
    <row r="68" spans="1:209" ht="14.25" customHeight="1" collapsed="1" thickBot="1">
      <c r="A68" s="158"/>
      <c r="B68" s="157"/>
      <c r="C68" s="190">
        <f>SUM(C51:C67)</f>
        <v>56917884.770000003</v>
      </c>
      <c r="D68" s="410"/>
      <c r="E68" s="190">
        <f>SUM(E51:E67)</f>
        <v>48856904.890000008</v>
      </c>
      <c r="F68" s="410"/>
      <c r="G68" s="190">
        <f>SUM(G51:G67)</f>
        <v>70464383.74000001</v>
      </c>
      <c r="H68" s="410"/>
      <c r="I68" s="190">
        <f>SUM(I51:I67)</f>
        <v>101792951.27</v>
      </c>
      <c r="J68" s="410"/>
      <c r="K68" s="190">
        <f>SUM(K51:K67)</f>
        <v>95634007.189999998</v>
      </c>
      <c r="L68" s="410"/>
      <c r="M68" s="190">
        <f>SUM(M51:M67)</f>
        <v>96113838.150000006</v>
      </c>
      <c r="N68" s="410"/>
      <c r="O68" s="190">
        <f>SUM(O51:O67)</f>
        <v>101125224.45</v>
      </c>
      <c r="P68" s="410"/>
      <c r="Q68" s="190">
        <f>SUM(Q51:Q67)</f>
        <v>106078985.05</v>
      </c>
      <c r="R68" s="410"/>
      <c r="S68" s="190">
        <f>SUM(S51:S67)</f>
        <v>84062317.25999999</v>
      </c>
      <c r="T68" s="410"/>
      <c r="U68" s="190">
        <f>SUM(U51:U67)</f>
        <v>79705450.290000007</v>
      </c>
      <c r="V68" s="410"/>
      <c r="W68" s="987">
        <f>SUM(W51:W67)</f>
        <v>73153885.359999999</v>
      </c>
      <c r="X68" s="410"/>
      <c r="Y68" s="190">
        <v>46292578.969999999</v>
      </c>
      <c r="Z68" s="410"/>
      <c r="AA68" s="190">
        <v>57676189.770000003</v>
      </c>
      <c r="AB68" s="410"/>
      <c r="AC68" s="190">
        <f>SUM(AC51:AC67)</f>
        <v>68058089.730000004</v>
      </c>
      <c r="AD68" s="410"/>
      <c r="AE68" s="190">
        <f>SUM(AE51:AE67)</f>
        <v>61513708.109999999</v>
      </c>
      <c r="AF68" s="410"/>
      <c r="AG68" s="190">
        <f>SUM(AG51:AG67)</f>
        <v>59664889.489999995</v>
      </c>
      <c r="AH68" s="410"/>
      <c r="AI68" s="190">
        <v>56410385.189999998</v>
      </c>
      <c r="AJ68" s="410"/>
      <c r="AK68" s="190">
        <v>64220451.829999998</v>
      </c>
      <c r="AL68" s="410"/>
      <c r="AM68" s="190">
        <v>61442058.480000004</v>
      </c>
      <c r="AN68" s="410"/>
      <c r="AO68" s="190">
        <v>64823454.310000002</v>
      </c>
      <c r="AP68" s="410"/>
      <c r="AQ68" s="190">
        <v>57442093.840000004</v>
      </c>
      <c r="AR68" s="410"/>
      <c r="AS68" s="190">
        <v>67800010.430000007</v>
      </c>
      <c r="AT68" s="410"/>
      <c r="AU68" s="987">
        <f>SUM(AU51:AU67)</f>
        <v>84620866.629999995</v>
      </c>
      <c r="AV68" s="410"/>
      <c r="AW68" s="190">
        <v>54864644.359999999</v>
      </c>
      <c r="AX68" s="410"/>
      <c r="AY68" s="190">
        <v>53981013.639999993</v>
      </c>
      <c r="AZ68" s="410"/>
      <c r="BA68" s="190">
        <v>56663378.450000003</v>
      </c>
      <c r="BB68" s="410"/>
      <c r="BC68" s="190">
        <v>47082393.259999998</v>
      </c>
      <c r="BD68" s="410"/>
      <c r="BE68" s="190">
        <v>40212402.309999995</v>
      </c>
      <c r="BF68" s="410"/>
      <c r="BG68" s="190">
        <v>39233177.169999994</v>
      </c>
      <c r="BH68" s="410"/>
      <c r="BI68" s="190">
        <v>39406015.079999998</v>
      </c>
      <c r="BJ68" s="410"/>
      <c r="BK68" s="190">
        <v>37682454.829999998</v>
      </c>
      <c r="BL68" s="410"/>
      <c r="BM68" s="190">
        <v>35515182.669999994</v>
      </c>
      <c r="BN68" s="410"/>
      <c r="BO68" s="190">
        <v>31397066.060000002</v>
      </c>
      <c r="BP68" s="410"/>
      <c r="BQ68" s="190">
        <f>SUM(BQ51:BQ67)</f>
        <v>30753003.100000001</v>
      </c>
      <c r="BR68" s="410"/>
      <c r="BS68" s="987">
        <f>SUM(BS51:BS67)</f>
        <v>18085131.82</v>
      </c>
      <c r="BT68" s="410"/>
      <c r="BU68" s="190">
        <f>SUM(BU51:BU67)</f>
        <v>15242403.629999999</v>
      </c>
      <c r="BV68" s="410"/>
      <c r="BW68" s="190">
        <v>16580464.140000001</v>
      </c>
      <c r="BX68" s="410"/>
      <c r="BY68" s="190">
        <v>12304795.719999999</v>
      </c>
      <c r="BZ68" s="410"/>
      <c r="CA68" s="190">
        <v>5167189.9800000004</v>
      </c>
      <c r="CB68" s="410"/>
      <c r="CC68" s="190">
        <v>923254.59000000102</v>
      </c>
      <c r="CD68" s="410"/>
      <c r="CE68" s="190">
        <v>-763362.2</v>
      </c>
      <c r="CF68" s="410"/>
      <c r="CG68" s="190">
        <v>3136152.0399999996</v>
      </c>
      <c r="CH68" s="410"/>
      <c r="CI68" s="190">
        <v>5188609.8699999992</v>
      </c>
      <c r="CJ68" s="410"/>
      <c r="CK68" s="190">
        <v>8944969.3300000001</v>
      </c>
      <c r="CL68" s="410"/>
      <c r="CM68" s="190">
        <f>SUM(CM51:CM67)</f>
        <v>6970371.5199999996</v>
      </c>
      <c r="CN68" s="410"/>
      <c r="CO68" s="190">
        <f>SUM(CO51:CO67)</f>
        <v>17254037.980000004</v>
      </c>
      <c r="CP68" s="410"/>
      <c r="CQ68" s="190">
        <f>SUM(CQ51:CQ67)</f>
        <v>11543877.469999999</v>
      </c>
      <c r="CR68" s="410"/>
      <c r="CS68" s="190">
        <f>SUM(CS51:CS67)</f>
        <v>9276003.370000001</v>
      </c>
      <c r="CT68" s="157"/>
      <c r="CU68" s="171">
        <f>SUM(CU51:CU67)</f>
        <v>5943331.7199999997</v>
      </c>
      <c r="CV68" s="157"/>
      <c r="CW68" s="171">
        <f>SUM(CW51:CW67)</f>
        <v>10357142.25</v>
      </c>
      <c r="CX68" s="157"/>
      <c r="CY68" s="171">
        <f>SUM(CY51:CY67)</f>
        <v>8774948.8500000015</v>
      </c>
      <c r="CZ68" s="157"/>
      <c r="DA68" s="171">
        <f>SUM(DA51:DA67)</f>
        <v>8716059.7200000007</v>
      </c>
      <c r="DB68" s="157"/>
      <c r="DC68" s="171">
        <f>SUM(DC51:DC67)</f>
        <v>8028682.0899999999</v>
      </c>
      <c r="DD68" s="157"/>
      <c r="DE68" s="171">
        <f>SUM(DE51:DE67)</f>
        <v>10028322.340000002</v>
      </c>
      <c r="DF68" s="157"/>
      <c r="DG68" s="171">
        <f>SUM(DG51:DG67)</f>
        <v>12970283.76</v>
      </c>
      <c r="DH68" s="157"/>
      <c r="DI68" s="171">
        <f>SUM(DI51:DI67)</f>
        <v>9992336.6899999995</v>
      </c>
      <c r="DJ68" s="157"/>
      <c r="DK68" s="171">
        <f>SUM(DK51:DK67)</f>
        <v>7359064.3000000007</v>
      </c>
      <c r="DL68" s="157"/>
      <c r="DM68" s="171">
        <f>SUM(DM51:DM67)</f>
        <v>6410327.3499999996</v>
      </c>
      <c r="DN68" s="157"/>
      <c r="DO68" s="171">
        <v>3786626.8</v>
      </c>
      <c r="DP68" s="157"/>
      <c r="DQ68" s="171">
        <v>2889748.07</v>
      </c>
      <c r="DR68" s="157"/>
      <c r="DS68" s="171">
        <v>4376458.8278275616</v>
      </c>
      <c r="DT68" s="157"/>
      <c r="DU68" s="171">
        <v>7402248.3405810297</v>
      </c>
      <c r="DV68" s="157"/>
      <c r="DW68" s="171">
        <v>8659608.6250263136</v>
      </c>
      <c r="DX68" s="157"/>
      <c r="DY68" s="171">
        <v>6621626.8900000006</v>
      </c>
      <c r="DZ68" s="157"/>
      <c r="EA68" s="171">
        <v>6170585.3499999996</v>
      </c>
      <c r="EB68" s="157"/>
      <c r="EC68" s="171">
        <v>4224449.0599999996</v>
      </c>
      <c r="ED68" s="157"/>
      <c r="EE68" s="171">
        <v>8793020.3100000005</v>
      </c>
      <c r="EF68" s="157"/>
      <c r="EG68" s="171">
        <v>-4348680.5771474084</v>
      </c>
      <c r="EH68" s="157"/>
      <c r="EI68" s="171">
        <v>-10107344.449999999</v>
      </c>
      <c r="EJ68" s="157"/>
      <c r="EK68" s="171">
        <v>-7551822.2300000014</v>
      </c>
      <c r="EL68" s="157"/>
      <c r="EM68" s="171">
        <v>-215808.79000000021</v>
      </c>
      <c r="EN68" s="157"/>
      <c r="EO68" s="171">
        <v>3501535.1700000009</v>
      </c>
      <c r="EP68" s="157"/>
      <c r="EQ68" s="171">
        <v>4724630.5199999996</v>
      </c>
      <c r="ER68" s="157"/>
      <c r="ES68" s="171">
        <v>2352513.23</v>
      </c>
      <c r="ET68" s="157"/>
      <c r="EU68" s="171">
        <v>623716.17999999982</v>
      </c>
      <c r="EV68" s="157"/>
      <c r="EW68" s="171">
        <v>1879523.2799999998</v>
      </c>
      <c r="EX68" s="157"/>
      <c r="EY68" s="171">
        <v>1919971.0500000003</v>
      </c>
      <c r="EZ68" s="157"/>
      <c r="FA68" s="171">
        <v>3887097.4200000004</v>
      </c>
      <c r="FB68" s="157"/>
      <c r="FC68" s="171">
        <v>1759172.72</v>
      </c>
      <c r="FD68" s="157"/>
      <c r="FE68" s="171">
        <v>1066617.22</v>
      </c>
      <c r="FF68" s="157"/>
      <c r="FG68" s="171">
        <v>1168889.3699999999</v>
      </c>
      <c r="FH68" s="157"/>
      <c r="FI68" s="171">
        <v>1077597.8600000001</v>
      </c>
      <c r="FJ68" s="157"/>
      <c r="FK68" s="171">
        <v>1205336.79</v>
      </c>
      <c r="FL68" s="157"/>
      <c r="FM68" s="171">
        <v>768601.3899999999</v>
      </c>
      <c r="FN68" s="157"/>
      <c r="FO68" s="171">
        <v>775038.76</v>
      </c>
      <c r="FP68" s="157"/>
      <c r="FQ68" s="171">
        <v>1057596.56</v>
      </c>
      <c r="FR68" s="157"/>
      <c r="FS68" s="171">
        <v>424618.05000000005</v>
      </c>
      <c r="FT68" s="157"/>
      <c r="FU68" s="171">
        <v>189708.40000000002</v>
      </c>
      <c r="FV68" s="157"/>
      <c r="FW68" s="171">
        <v>-53690.740000000049</v>
      </c>
      <c r="FX68" s="157"/>
      <c r="FY68" s="171">
        <v>639883.41999999993</v>
      </c>
      <c r="FZ68" s="157"/>
      <c r="GA68" s="171">
        <v>644747.63000000012</v>
      </c>
      <c r="GB68" s="157"/>
      <c r="GC68" s="171">
        <v>826272.14</v>
      </c>
      <c r="GD68" s="157"/>
      <c r="GE68" s="171">
        <v>649559.5</v>
      </c>
      <c r="GF68" s="157"/>
      <c r="GG68" s="171">
        <v>777652.29</v>
      </c>
      <c r="GH68" s="166"/>
      <c r="GI68" s="171">
        <v>758443.39999999991</v>
      </c>
      <c r="GJ68" s="172"/>
      <c r="GK68" s="171">
        <v>412365.93</v>
      </c>
      <c r="GL68" s="172"/>
      <c r="GM68" s="171">
        <v>350414.55</v>
      </c>
      <c r="GN68" s="172"/>
      <c r="GO68" s="171">
        <v>310415.33</v>
      </c>
      <c r="GP68" s="172"/>
      <c r="GQ68" s="171">
        <v>304124.36</v>
      </c>
      <c r="GR68" s="172"/>
      <c r="GS68" s="178"/>
      <c r="GT68" s="165"/>
      <c r="GU68" s="157"/>
      <c r="GV68" s="157"/>
      <c r="GW68" s="157"/>
      <c r="GX68" s="157"/>
      <c r="GY68" s="157"/>
      <c r="GZ68" s="157"/>
      <c r="HA68" s="157"/>
    </row>
    <row r="69" spans="1:209" ht="9" customHeight="1" thickBot="1">
      <c r="A69" s="158"/>
      <c r="B69" s="157"/>
      <c r="C69" s="501"/>
      <c r="D69" s="410"/>
      <c r="E69" s="501"/>
      <c r="F69" s="410"/>
      <c r="G69" s="501"/>
      <c r="H69" s="410"/>
      <c r="I69" s="501"/>
      <c r="J69" s="410"/>
      <c r="K69" s="501"/>
      <c r="L69" s="410"/>
      <c r="M69" s="501"/>
      <c r="N69" s="410"/>
      <c r="O69" s="501"/>
      <c r="P69" s="410"/>
      <c r="Q69" s="501"/>
      <c r="R69" s="410"/>
      <c r="S69" s="501"/>
      <c r="T69" s="410"/>
      <c r="U69" s="501"/>
      <c r="V69" s="410"/>
      <c r="W69" s="825"/>
      <c r="X69" s="410"/>
      <c r="Y69" s="501"/>
      <c r="Z69" s="410"/>
      <c r="AA69" s="501"/>
      <c r="AB69" s="410"/>
      <c r="AC69" s="501"/>
      <c r="AD69" s="410"/>
      <c r="AE69" s="501"/>
      <c r="AF69" s="410"/>
      <c r="AG69" s="501"/>
      <c r="AH69" s="410"/>
      <c r="AI69" s="501"/>
      <c r="AJ69" s="410"/>
      <c r="AK69" s="501"/>
      <c r="AL69" s="410"/>
      <c r="AM69" s="501"/>
      <c r="AN69" s="410"/>
      <c r="AO69" s="501"/>
      <c r="AP69" s="410"/>
      <c r="AQ69" s="501"/>
      <c r="AR69" s="410"/>
      <c r="AS69" s="501"/>
      <c r="AT69" s="410"/>
      <c r="AU69" s="825"/>
      <c r="AV69" s="410"/>
      <c r="AW69" s="501"/>
      <c r="AX69" s="410"/>
      <c r="AY69" s="501"/>
      <c r="AZ69" s="410"/>
      <c r="BA69" s="501"/>
      <c r="BB69" s="410"/>
      <c r="BC69" s="501"/>
      <c r="BD69" s="410"/>
      <c r="BE69" s="501"/>
      <c r="BF69" s="410"/>
      <c r="BG69" s="511"/>
      <c r="BH69" s="410"/>
      <c r="BI69" s="501"/>
      <c r="BJ69" s="410"/>
      <c r="BK69" s="501"/>
      <c r="BL69" s="410"/>
      <c r="BM69" s="501"/>
      <c r="BN69" s="410"/>
      <c r="BO69" s="501"/>
      <c r="BP69" s="410"/>
      <c r="BQ69" s="501"/>
      <c r="BR69" s="410"/>
      <c r="BS69" s="825"/>
      <c r="BT69" s="410"/>
      <c r="BU69" s="501"/>
      <c r="BV69" s="410"/>
      <c r="BW69" s="157"/>
      <c r="BX69" s="410"/>
      <c r="BY69" s="157"/>
      <c r="BZ69" s="410"/>
      <c r="CA69" s="157"/>
      <c r="CB69" s="410"/>
      <c r="CC69" s="157"/>
      <c r="CD69" s="410"/>
      <c r="CE69" s="157"/>
      <c r="CF69" s="410"/>
      <c r="CG69" s="157"/>
      <c r="CH69" s="410"/>
      <c r="CI69" s="157"/>
      <c r="CJ69" s="410"/>
      <c r="CK69" s="157"/>
      <c r="CL69" s="410"/>
      <c r="CM69" s="157"/>
      <c r="CN69" s="410"/>
      <c r="CO69" s="157"/>
      <c r="CP69" s="410"/>
      <c r="CQ69" s="157"/>
      <c r="CR69" s="410"/>
      <c r="CS69" s="157"/>
      <c r="CT69" s="157"/>
      <c r="CU69" s="157"/>
      <c r="CV69" s="157"/>
      <c r="CW69" s="157"/>
      <c r="CX69" s="157"/>
      <c r="CY69" s="157"/>
      <c r="CZ69" s="157"/>
      <c r="DA69" s="157"/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157"/>
      <c r="DR69" s="157"/>
      <c r="DS69" s="157"/>
      <c r="DT69" s="157"/>
      <c r="DU69" s="157"/>
      <c r="DV69" s="157"/>
      <c r="DW69" s="157"/>
      <c r="DX69" s="157"/>
      <c r="DY69" s="157"/>
      <c r="DZ69" s="157"/>
      <c r="EA69" s="157"/>
      <c r="EB69" s="157"/>
      <c r="EC69" s="157"/>
      <c r="ED69" s="157"/>
      <c r="EE69" s="157"/>
      <c r="EF69" s="157"/>
      <c r="EG69" s="157"/>
      <c r="EH69" s="157"/>
      <c r="EI69" s="157"/>
      <c r="EJ69" s="157"/>
      <c r="EK69" s="157"/>
      <c r="EL69" s="157"/>
      <c r="EM69" s="157"/>
      <c r="EN69" s="157"/>
      <c r="EO69" s="157"/>
      <c r="EP69" s="157"/>
      <c r="EQ69" s="157"/>
      <c r="ER69" s="157"/>
      <c r="ES69" s="157"/>
      <c r="ET69" s="157"/>
      <c r="EU69" s="157"/>
      <c r="EV69" s="157"/>
      <c r="EW69" s="157"/>
      <c r="EX69" s="157"/>
      <c r="EY69" s="157"/>
      <c r="EZ69" s="157"/>
      <c r="FA69" s="157"/>
      <c r="FB69" s="157"/>
      <c r="FC69" s="157"/>
      <c r="FD69" s="157"/>
      <c r="FE69" s="157"/>
      <c r="FF69" s="157"/>
      <c r="FG69" s="157"/>
      <c r="FH69" s="157"/>
      <c r="FI69" s="157"/>
      <c r="FJ69" s="157"/>
      <c r="FK69" s="157"/>
      <c r="FL69" s="157"/>
      <c r="FM69" s="157"/>
      <c r="FN69" s="157"/>
      <c r="FO69" s="157"/>
      <c r="FP69" s="157"/>
      <c r="FQ69" s="157"/>
      <c r="FR69" s="157"/>
      <c r="FS69" s="157"/>
      <c r="FT69" s="157"/>
      <c r="FU69" s="157"/>
      <c r="FV69" s="157"/>
      <c r="FW69" s="157"/>
      <c r="FX69" s="157"/>
      <c r="FY69" s="157"/>
      <c r="FZ69" s="157"/>
      <c r="GA69" s="157"/>
      <c r="GB69" s="157"/>
      <c r="GC69" s="157"/>
      <c r="GD69" s="157"/>
      <c r="GE69" s="157"/>
      <c r="GF69" s="157"/>
      <c r="GG69" s="157"/>
      <c r="GH69" s="166"/>
      <c r="GI69" s="157"/>
      <c r="GJ69" s="157"/>
      <c r="GK69" s="157"/>
      <c r="GL69" s="157"/>
      <c r="GM69" s="157"/>
      <c r="GN69" s="157"/>
      <c r="GO69" s="157"/>
      <c r="GP69" s="157"/>
      <c r="GQ69" s="157"/>
      <c r="GR69" s="157"/>
      <c r="GS69" s="178"/>
      <c r="GT69" s="165"/>
      <c r="GU69" s="157"/>
      <c r="GV69" s="157"/>
      <c r="GW69" s="157"/>
      <c r="GX69" s="157"/>
      <c r="GY69" s="157"/>
      <c r="GZ69" s="157"/>
      <c r="HA69" s="157"/>
    </row>
    <row r="70" spans="1:209" ht="14.25" customHeight="1" thickBot="1">
      <c r="A70" s="163">
        <v>7</v>
      </c>
      <c r="B70" s="164" t="s">
        <v>228</v>
      </c>
      <c r="C70" s="639"/>
      <c r="D70" s="411"/>
      <c r="E70" s="639"/>
      <c r="F70" s="411"/>
      <c r="G70" s="639"/>
      <c r="H70" s="411"/>
      <c r="I70" s="639"/>
      <c r="J70" s="411"/>
      <c r="K70" s="639"/>
      <c r="L70" s="411"/>
      <c r="M70" s="639"/>
      <c r="N70" s="411"/>
      <c r="O70" s="639"/>
      <c r="P70" s="411"/>
      <c r="Q70" s="639"/>
      <c r="R70" s="411"/>
      <c r="S70" s="639"/>
      <c r="T70" s="411"/>
      <c r="U70" s="639"/>
      <c r="V70" s="411"/>
      <c r="W70" s="1167"/>
      <c r="X70" s="411"/>
      <c r="Y70" s="639"/>
      <c r="Z70" s="411"/>
      <c r="AA70" s="639"/>
      <c r="AB70" s="411"/>
      <c r="AC70" s="639"/>
      <c r="AD70" s="411"/>
      <c r="AE70" s="639"/>
      <c r="AF70" s="411"/>
      <c r="AG70" s="639"/>
      <c r="AH70" s="411"/>
      <c r="AI70" s="639"/>
      <c r="AJ70" s="411"/>
      <c r="AK70" s="639"/>
      <c r="AL70" s="411"/>
      <c r="AM70" s="639"/>
      <c r="AN70" s="411"/>
      <c r="AO70" s="639"/>
      <c r="AP70" s="411"/>
      <c r="AQ70" s="639"/>
      <c r="AR70" s="411"/>
      <c r="AS70" s="639"/>
      <c r="AT70" s="411"/>
      <c r="AU70" s="1167"/>
      <c r="AV70" s="411"/>
      <c r="AW70" s="639"/>
      <c r="AX70" s="411"/>
      <c r="AY70" s="639"/>
      <c r="AZ70" s="411"/>
      <c r="BA70" s="639"/>
      <c r="BB70" s="411"/>
      <c r="BC70" s="639"/>
      <c r="BD70" s="411"/>
      <c r="BE70" s="639"/>
      <c r="BF70" s="411"/>
      <c r="BG70" s="831"/>
      <c r="BH70" s="411"/>
      <c r="BI70" s="639"/>
      <c r="BJ70" s="411"/>
      <c r="BK70" s="639"/>
      <c r="BL70" s="411"/>
      <c r="BM70" s="639"/>
      <c r="BN70" s="411"/>
      <c r="BO70" s="639"/>
      <c r="BP70" s="411"/>
      <c r="BQ70" s="639"/>
      <c r="BR70" s="411"/>
      <c r="BS70" s="1167"/>
      <c r="BT70" s="411"/>
      <c r="BU70" s="639"/>
      <c r="BV70" s="411"/>
      <c r="BW70" s="164"/>
      <c r="BX70" s="411"/>
      <c r="BY70" s="164"/>
      <c r="BZ70" s="411"/>
      <c r="CA70" s="164"/>
      <c r="CB70" s="411"/>
      <c r="CC70" s="164"/>
      <c r="CD70" s="411"/>
      <c r="CE70" s="164"/>
      <c r="CF70" s="411"/>
      <c r="CG70" s="164"/>
      <c r="CH70" s="411"/>
      <c r="CI70" s="164"/>
      <c r="CJ70" s="411"/>
      <c r="CK70" s="164"/>
      <c r="CL70" s="411"/>
      <c r="CM70" s="164"/>
      <c r="CN70" s="411"/>
      <c r="CO70" s="164"/>
      <c r="CP70" s="411"/>
      <c r="CQ70" s="164"/>
      <c r="CR70" s="411"/>
      <c r="CS70" s="164"/>
      <c r="CT70" s="164"/>
      <c r="CU70" s="164"/>
      <c r="CV70" s="164"/>
      <c r="CW70" s="164"/>
      <c r="CX70" s="164"/>
      <c r="CY70" s="164"/>
      <c r="CZ70" s="164"/>
      <c r="DA70" s="164"/>
      <c r="DB70" s="164"/>
      <c r="DC70" s="164"/>
      <c r="DD70" s="164"/>
      <c r="DE70" s="164"/>
      <c r="DF70" s="164"/>
      <c r="DG70" s="164"/>
      <c r="DH70" s="164"/>
      <c r="DI70" s="164"/>
      <c r="DJ70" s="164"/>
      <c r="DK70" s="164"/>
      <c r="DL70" s="164"/>
      <c r="DM70" s="164"/>
      <c r="DN70" s="164"/>
      <c r="DO70" s="164"/>
      <c r="DP70" s="164"/>
      <c r="DQ70" s="164"/>
      <c r="DR70" s="164"/>
      <c r="DS70" s="164"/>
      <c r="DT70" s="164"/>
      <c r="DU70" s="164"/>
      <c r="DV70" s="164"/>
      <c r="DW70" s="164"/>
      <c r="DX70" s="164"/>
      <c r="DY70" s="164"/>
      <c r="DZ70" s="164"/>
      <c r="EA70" s="164"/>
      <c r="EB70" s="164"/>
      <c r="EC70" s="164"/>
      <c r="ED70" s="164"/>
      <c r="EE70" s="164"/>
      <c r="EF70" s="164"/>
      <c r="EG70" s="164"/>
      <c r="EH70" s="164"/>
      <c r="EI70" s="164"/>
      <c r="EJ70" s="164"/>
      <c r="EK70" s="164"/>
      <c r="EL70" s="164"/>
      <c r="EM70" s="164"/>
      <c r="EN70" s="164"/>
      <c r="EO70" s="164"/>
      <c r="EP70" s="164"/>
      <c r="EQ70" s="164"/>
      <c r="ER70" s="164"/>
      <c r="ES70" s="164"/>
      <c r="ET70" s="164"/>
      <c r="EU70" s="164"/>
      <c r="EV70" s="164"/>
      <c r="EW70" s="164"/>
      <c r="EX70" s="164"/>
      <c r="EY70" s="164"/>
      <c r="EZ70" s="164"/>
      <c r="FA70" s="164"/>
      <c r="FB70" s="164"/>
      <c r="FC70" s="164"/>
      <c r="FD70" s="164"/>
      <c r="FE70" s="164"/>
      <c r="FF70" s="164"/>
      <c r="FG70" s="164"/>
      <c r="FH70" s="164"/>
      <c r="FI70" s="164"/>
      <c r="FJ70" s="164"/>
      <c r="FK70" s="164"/>
      <c r="FL70" s="164"/>
      <c r="FM70" s="164"/>
      <c r="FN70" s="164"/>
      <c r="FO70" s="164"/>
      <c r="FP70" s="164"/>
      <c r="FQ70" s="164"/>
      <c r="FR70" s="164"/>
      <c r="FS70" s="164"/>
      <c r="FT70" s="164"/>
      <c r="FU70" s="164"/>
      <c r="FV70" s="164"/>
      <c r="FW70" s="164"/>
      <c r="FX70" s="164"/>
      <c r="FY70" s="164"/>
      <c r="FZ70" s="164"/>
      <c r="GA70" s="164"/>
      <c r="GB70" s="164"/>
      <c r="GC70" s="164"/>
      <c r="GD70" s="164"/>
      <c r="GE70" s="164"/>
      <c r="GF70" s="164"/>
      <c r="GG70" s="164"/>
      <c r="GH70" s="176"/>
      <c r="GI70" s="164"/>
      <c r="GJ70" s="195"/>
      <c r="GK70" s="164"/>
      <c r="GL70" s="195"/>
      <c r="GM70" s="164"/>
      <c r="GN70" s="195"/>
      <c r="GO70" s="164"/>
      <c r="GP70" s="195"/>
      <c r="GQ70" s="195"/>
      <c r="GR70" s="195"/>
      <c r="GS70" s="157"/>
      <c r="GT70" s="170"/>
      <c r="GU70" s="157"/>
      <c r="GV70" s="157"/>
      <c r="GW70" s="157"/>
      <c r="GX70" s="157"/>
      <c r="GY70" s="157"/>
      <c r="GZ70" s="157"/>
      <c r="HA70" s="157"/>
    </row>
    <row r="71" spans="1:209" ht="14.25" hidden="1" customHeight="1" outlineLevel="1">
      <c r="A71" s="158"/>
      <c r="B71" s="157" t="s">
        <v>333</v>
      </c>
      <c r="C71" s="535">
        <v>0</v>
      </c>
      <c r="D71" s="410"/>
      <c r="E71" s="535">
        <v>0</v>
      </c>
      <c r="F71" s="410"/>
      <c r="G71" s="535">
        <v>0</v>
      </c>
      <c r="H71" s="410"/>
      <c r="I71" s="535">
        <v>0</v>
      </c>
      <c r="J71" s="410"/>
      <c r="K71" s="535">
        <v>0</v>
      </c>
      <c r="L71" s="410"/>
      <c r="M71" s="535">
        <v>0</v>
      </c>
      <c r="N71" s="410"/>
      <c r="O71" s="535">
        <v>0</v>
      </c>
      <c r="P71" s="410"/>
      <c r="Q71" s="535">
        <v>0</v>
      </c>
      <c r="R71" s="410"/>
      <c r="S71" s="535">
        <v>0</v>
      </c>
      <c r="T71" s="410"/>
      <c r="U71" s="535">
        <v>0</v>
      </c>
      <c r="V71" s="410"/>
      <c r="W71" s="984">
        <v>0</v>
      </c>
      <c r="X71" s="410"/>
      <c r="Y71" s="535">
        <v>0</v>
      </c>
      <c r="Z71" s="410"/>
      <c r="AA71" s="535">
        <v>0</v>
      </c>
      <c r="AB71" s="410"/>
      <c r="AC71" s="535">
        <v>0</v>
      </c>
      <c r="AD71" s="410"/>
      <c r="AE71" s="535">
        <v>0</v>
      </c>
      <c r="AF71" s="410"/>
      <c r="AG71" s="535">
        <v>0</v>
      </c>
      <c r="AH71" s="410"/>
      <c r="AI71" s="535">
        <v>0</v>
      </c>
      <c r="AJ71" s="410"/>
      <c r="AK71" s="535">
        <v>0</v>
      </c>
      <c r="AL71" s="410"/>
      <c r="AM71" s="535">
        <v>0</v>
      </c>
      <c r="AN71" s="410"/>
      <c r="AO71" s="535">
        <v>0</v>
      </c>
      <c r="AP71" s="410"/>
      <c r="AQ71" s="535">
        <v>0</v>
      </c>
      <c r="AR71" s="410"/>
      <c r="AS71" s="535">
        <v>0</v>
      </c>
      <c r="AT71" s="410"/>
      <c r="AU71" s="984">
        <v>0</v>
      </c>
      <c r="AV71" s="410"/>
      <c r="AW71" s="535">
        <v>0</v>
      </c>
      <c r="AX71" s="410"/>
      <c r="AY71" s="535">
        <v>0</v>
      </c>
      <c r="AZ71" s="410"/>
      <c r="BA71" s="535">
        <v>0</v>
      </c>
      <c r="BB71" s="410"/>
      <c r="BC71" s="535">
        <v>0</v>
      </c>
      <c r="BD71" s="410"/>
      <c r="BE71" s="535">
        <v>0</v>
      </c>
      <c r="BF71" s="410"/>
      <c r="BG71" s="759">
        <v>0</v>
      </c>
      <c r="BH71" s="410"/>
      <c r="BI71" s="535">
        <v>0</v>
      </c>
      <c r="BJ71" s="410"/>
      <c r="BK71" s="535">
        <v>0</v>
      </c>
      <c r="BL71" s="410"/>
      <c r="BM71" s="535">
        <v>0</v>
      </c>
      <c r="BN71" s="410"/>
      <c r="BO71" s="535">
        <v>0</v>
      </c>
      <c r="BP71" s="410"/>
      <c r="BQ71" s="535">
        <v>0</v>
      </c>
      <c r="BR71" s="410"/>
      <c r="BS71" s="984">
        <v>0</v>
      </c>
      <c r="BT71" s="410"/>
      <c r="BU71" s="535">
        <v>0</v>
      </c>
      <c r="BV71" s="410"/>
      <c r="BW71" s="166">
        <v>0</v>
      </c>
      <c r="BX71" s="410"/>
      <c r="BY71" s="166">
        <v>0</v>
      </c>
      <c r="BZ71" s="410"/>
      <c r="CA71" s="166">
        <v>0</v>
      </c>
      <c r="CB71" s="410"/>
      <c r="CC71" s="166">
        <v>0</v>
      </c>
      <c r="CD71" s="410"/>
      <c r="CE71" s="166">
        <v>0</v>
      </c>
      <c r="CF71" s="410"/>
      <c r="CG71" s="166">
        <v>0</v>
      </c>
      <c r="CH71" s="410"/>
      <c r="CI71" s="166">
        <v>0</v>
      </c>
      <c r="CJ71" s="410"/>
      <c r="CK71" s="166">
        <v>0</v>
      </c>
      <c r="CL71" s="410"/>
      <c r="CM71" s="166">
        <v>0</v>
      </c>
      <c r="CN71" s="410"/>
      <c r="CO71" s="166">
        <v>0</v>
      </c>
      <c r="CP71" s="410"/>
      <c r="CQ71" s="166">
        <v>0</v>
      </c>
      <c r="CR71" s="410"/>
      <c r="CS71" s="166">
        <v>0</v>
      </c>
      <c r="CT71" s="157"/>
      <c r="CU71" s="166">
        <v>0</v>
      </c>
      <c r="CV71" s="157"/>
      <c r="CW71" s="166">
        <v>0</v>
      </c>
      <c r="CX71" s="157"/>
      <c r="CY71" s="166">
        <v>0</v>
      </c>
      <c r="CZ71" s="157"/>
      <c r="DA71" s="166">
        <v>0</v>
      </c>
      <c r="DB71" s="157"/>
      <c r="DC71" s="166">
        <v>0</v>
      </c>
      <c r="DD71" s="157"/>
      <c r="DE71" s="166">
        <v>0</v>
      </c>
      <c r="DF71" s="157"/>
      <c r="DG71" s="166">
        <v>0</v>
      </c>
      <c r="DH71" s="157"/>
      <c r="DI71" s="166">
        <v>0</v>
      </c>
      <c r="DJ71" s="157"/>
      <c r="DK71" s="166">
        <v>0</v>
      </c>
      <c r="DL71" s="157"/>
      <c r="DM71" s="166">
        <v>0</v>
      </c>
      <c r="DN71" s="157"/>
      <c r="DO71" s="166">
        <v>0</v>
      </c>
      <c r="DP71" s="157"/>
      <c r="DQ71" s="166">
        <v>0</v>
      </c>
      <c r="DR71" s="157"/>
      <c r="DS71" s="166">
        <v>0</v>
      </c>
      <c r="DT71" s="157"/>
      <c r="DU71" s="166">
        <v>0</v>
      </c>
      <c r="DV71" s="157"/>
      <c r="DW71" s="166">
        <v>0</v>
      </c>
      <c r="DX71" s="157"/>
      <c r="DY71" s="166">
        <v>0</v>
      </c>
      <c r="DZ71" s="157"/>
      <c r="EA71" s="166">
        <v>0</v>
      </c>
      <c r="EB71" s="157"/>
      <c r="EC71" s="166">
        <v>0</v>
      </c>
      <c r="ED71" s="157"/>
      <c r="EE71" s="166">
        <v>0</v>
      </c>
      <c r="EF71" s="157"/>
      <c r="EG71" s="166">
        <v>0</v>
      </c>
      <c r="EH71" s="157"/>
      <c r="EI71" s="166">
        <v>0</v>
      </c>
      <c r="EJ71" s="157"/>
      <c r="EK71" s="166">
        <v>0</v>
      </c>
      <c r="EL71" s="157"/>
      <c r="EM71" s="166">
        <v>0</v>
      </c>
      <c r="EN71" s="157"/>
      <c r="EO71" s="166">
        <v>2424.21</v>
      </c>
      <c r="EP71" s="157"/>
      <c r="EQ71" s="166">
        <v>2839</v>
      </c>
      <c r="ER71" s="166"/>
      <c r="ES71" s="166">
        <v>2839</v>
      </c>
      <c r="ET71" s="166"/>
      <c r="EU71" s="166">
        <v>2839</v>
      </c>
      <c r="EV71" s="166"/>
      <c r="EW71" s="166">
        <v>2839</v>
      </c>
      <c r="EX71" s="166"/>
      <c r="EY71" s="166">
        <v>2839</v>
      </c>
      <c r="EZ71" s="166"/>
      <c r="FA71" s="166">
        <v>2839</v>
      </c>
      <c r="FB71" s="166"/>
      <c r="FC71" s="166">
        <v>2839</v>
      </c>
      <c r="FD71" s="166"/>
      <c r="FE71" s="166">
        <v>2839</v>
      </c>
      <c r="FF71" s="166"/>
      <c r="FG71" s="166">
        <v>2839</v>
      </c>
      <c r="FH71" s="166"/>
      <c r="FI71" s="166">
        <v>2839</v>
      </c>
      <c r="FJ71" s="166"/>
      <c r="FK71" s="166">
        <v>2839</v>
      </c>
      <c r="FL71" s="166"/>
      <c r="FM71" s="166">
        <v>2839</v>
      </c>
      <c r="FN71" s="166"/>
      <c r="FO71" s="166">
        <v>2839</v>
      </c>
      <c r="FP71" s="166"/>
      <c r="FQ71" s="166">
        <v>2839</v>
      </c>
      <c r="FR71" s="157"/>
      <c r="FS71" s="166">
        <v>2839</v>
      </c>
      <c r="FT71" s="157"/>
      <c r="FU71" s="166">
        <v>2839</v>
      </c>
      <c r="FV71" s="157"/>
      <c r="FW71" s="166">
        <v>2839</v>
      </c>
      <c r="FX71" s="157"/>
      <c r="FY71" s="166">
        <v>2839</v>
      </c>
      <c r="FZ71" s="157"/>
      <c r="GA71" s="166">
        <v>2839</v>
      </c>
      <c r="GB71" s="157"/>
      <c r="GC71" s="166">
        <v>2839</v>
      </c>
      <c r="GD71" s="157"/>
      <c r="GE71" s="166">
        <v>2839</v>
      </c>
      <c r="GF71" s="157"/>
      <c r="GG71" s="166">
        <v>2839</v>
      </c>
      <c r="GH71" s="166"/>
      <c r="GI71" s="166">
        <v>2839</v>
      </c>
      <c r="GJ71" s="166"/>
      <c r="GK71" s="166">
        <v>2839</v>
      </c>
      <c r="GL71" s="166"/>
      <c r="GM71" s="166">
        <v>2839</v>
      </c>
      <c r="GN71" s="166"/>
      <c r="GO71" s="166">
        <v>2839</v>
      </c>
      <c r="GP71" s="166"/>
      <c r="GQ71" s="166">
        <v>2839</v>
      </c>
      <c r="GR71" s="166"/>
      <c r="GS71" s="157"/>
      <c r="GT71" s="170"/>
      <c r="GU71" s="157"/>
      <c r="GV71" s="157"/>
      <c r="GW71" s="157"/>
      <c r="GX71" s="157"/>
      <c r="GY71" s="157"/>
      <c r="GZ71" s="157"/>
      <c r="HA71" s="157"/>
    </row>
    <row r="72" spans="1:209" ht="14.25" hidden="1" customHeight="1" outlineLevel="1" thickBot="1">
      <c r="A72" s="158"/>
      <c r="B72" s="157" t="s">
        <v>334</v>
      </c>
      <c r="C72" s="535">
        <v>0</v>
      </c>
      <c r="D72" s="410"/>
      <c r="E72" s="535">
        <v>0</v>
      </c>
      <c r="F72" s="410"/>
      <c r="G72" s="535">
        <v>0</v>
      </c>
      <c r="H72" s="410"/>
      <c r="I72" s="535">
        <v>0</v>
      </c>
      <c r="J72" s="410"/>
      <c r="K72" s="535">
        <v>0</v>
      </c>
      <c r="L72" s="410"/>
      <c r="M72" s="535">
        <v>0</v>
      </c>
      <c r="N72" s="410"/>
      <c r="O72" s="535">
        <v>0</v>
      </c>
      <c r="P72" s="410"/>
      <c r="Q72" s="535">
        <v>0</v>
      </c>
      <c r="R72" s="410"/>
      <c r="S72" s="535">
        <v>0</v>
      </c>
      <c r="T72" s="410"/>
      <c r="U72" s="535">
        <v>0</v>
      </c>
      <c r="V72" s="410"/>
      <c r="W72" s="984">
        <v>0</v>
      </c>
      <c r="X72" s="410"/>
      <c r="Y72" s="535">
        <v>0</v>
      </c>
      <c r="Z72" s="410"/>
      <c r="AA72" s="535">
        <v>0</v>
      </c>
      <c r="AB72" s="410"/>
      <c r="AC72" s="535">
        <v>0</v>
      </c>
      <c r="AD72" s="410"/>
      <c r="AE72" s="535">
        <v>0</v>
      </c>
      <c r="AF72" s="410"/>
      <c r="AG72" s="535">
        <v>0</v>
      </c>
      <c r="AH72" s="410"/>
      <c r="AI72" s="535">
        <v>0</v>
      </c>
      <c r="AJ72" s="410"/>
      <c r="AK72" s="535">
        <v>0</v>
      </c>
      <c r="AL72" s="410"/>
      <c r="AM72" s="535">
        <v>0</v>
      </c>
      <c r="AN72" s="410"/>
      <c r="AO72" s="535">
        <v>0</v>
      </c>
      <c r="AP72" s="410"/>
      <c r="AQ72" s="535">
        <v>0</v>
      </c>
      <c r="AR72" s="410"/>
      <c r="AS72" s="535">
        <v>0</v>
      </c>
      <c r="AT72" s="410"/>
      <c r="AU72" s="984">
        <v>0</v>
      </c>
      <c r="AV72" s="410"/>
      <c r="AW72" s="535">
        <v>0</v>
      </c>
      <c r="AX72" s="410"/>
      <c r="AY72" s="535">
        <v>0</v>
      </c>
      <c r="AZ72" s="410"/>
      <c r="BA72" s="535">
        <v>0</v>
      </c>
      <c r="BB72" s="410"/>
      <c r="BC72" s="535">
        <v>0</v>
      </c>
      <c r="BD72" s="410"/>
      <c r="BE72" s="535">
        <v>0</v>
      </c>
      <c r="BF72" s="410"/>
      <c r="BG72" s="759">
        <v>0</v>
      </c>
      <c r="BH72" s="410"/>
      <c r="BI72" s="535">
        <v>0</v>
      </c>
      <c r="BJ72" s="410"/>
      <c r="BK72" s="535">
        <v>0</v>
      </c>
      <c r="BL72" s="410"/>
      <c r="BM72" s="535">
        <v>0</v>
      </c>
      <c r="BN72" s="410"/>
      <c r="BO72" s="535">
        <v>0</v>
      </c>
      <c r="BP72" s="410"/>
      <c r="BQ72" s="535">
        <v>0</v>
      </c>
      <c r="BR72" s="410"/>
      <c r="BS72" s="984">
        <v>0</v>
      </c>
      <c r="BT72" s="410"/>
      <c r="BU72" s="535">
        <v>0</v>
      </c>
      <c r="BV72" s="410"/>
      <c r="BW72" s="166">
        <v>0</v>
      </c>
      <c r="BX72" s="410"/>
      <c r="BY72" s="166">
        <v>0</v>
      </c>
      <c r="BZ72" s="410"/>
      <c r="CA72" s="166">
        <v>0</v>
      </c>
      <c r="CB72" s="410"/>
      <c r="CC72" s="166">
        <v>0</v>
      </c>
      <c r="CD72" s="410"/>
      <c r="CE72" s="166">
        <v>0</v>
      </c>
      <c r="CF72" s="410"/>
      <c r="CG72" s="166">
        <v>0</v>
      </c>
      <c r="CH72" s="410"/>
      <c r="CI72" s="166">
        <v>0</v>
      </c>
      <c r="CJ72" s="410"/>
      <c r="CK72" s="166">
        <v>0</v>
      </c>
      <c r="CL72" s="410"/>
      <c r="CM72" s="166">
        <v>0</v>
      </c>
      <c r="CN72" s="410"/>
      <c r="CO72" s="166">
        <v>0</v>
      </c>
      <c r="CP72" s="410"/>
      <c r="CQ72" s="166">
        <v>0</v>
      </c>
      <c r="CR72" s="410"/>
      <c r="CS72" s="166">
        <v>0</v>
      </c>
      <c r="CT72" s="157"/>
      <c r="CU72" s="166">
        <v>0</v>
      </c>
      <c r="CV72" s="157"/>
      <c r="CW72" s="166">
        <v>0</v>
      </c>
      <c r="CX72" s="157"/>
      <c r="CY72" s="166">
        <v>0</v>
      </c>
      <c r="CZ72" s="157"/>
      <c r="DA72" s="166">
        <v>0</v>
      </c>
      <c r="DB72" s="157"/>
      <c r="DC72" s="166">
        <v>0</v>
      </c>
      <c r="DD72" s="157"/>
      <c r="DE72" s="166">
        <v>0</v>
      </c>
      <c r="DF72" s="157"/>
      <c r="DG72" s="166">
        <v>0</v>
      </c>
      <c r="DH72" s="157"/>
      <c r="DI72" s="166">
        <v>0</v>
      </c>
      <c r="DJ72" s="157"/>
      <c r="DK72" s="166">
        <v>0</v>
      </c>
      <c r="DL72" s="157"/>
      <c r="DM72" s="166">
        <v>0</v>
      </c>
      <c r="DN72" s="157"/>
      <c r="DO72" s="166">
        <v>0</v>
      </c>
      <c r="DP72" s="157"/>
      <c r="DQ72" s="166">
        <v>0</v>
      </c>
      <c r="DR72" s="157"/>
      <c r="DS72" s="166">
        <v>0</v>
      </c>
      <c r="DT72" s="157"/>
      <c r="DU72" s="166">
        <v>0</v>
      </c>
      <c r="DV72" s="157"/>
      <c r="DW72" s="166">
        <v>0</v>
      </c>
      <c r="DX72" s="157"/>
      <c r="DY72" s="166">
        <v>0</v>
      </c>
      <c r="DZ72" s="157"/>
      <c r="EA72" s="166">
        <v>0</v>
      </c>
      <c r="EB72" s="157"/>
      <c r="EC72" s="166">
        <v>0</v>
      </c>
      <c r="ED72" s="157"/>
      <c r="EE72" s="166">
        <v>0</v>
      </c>
      <c r="EF72" s="157"/>
      <c r="EG72" s="166">
        <v>0</v>
      </c>
      <c r="EH72" s="157"/>
      <c r="EI72" s="166">
        <v>0</v>
      </c>
      <c r="EJ72" s="157"/>
      <c r="EK72" s="166">
        <v>0</v>
      </c>
      <c r="EL72" s="157"/>
      <c r="EM72" s="166">
        <v>0</v>
      </c>
      <c r="EN72" s="157"/>
      <c r="EO72" s="166">
        <v>1708</v>
      </c>
      <c r="EP72" s="157"/>
      <c r="EQ72" s="166">
        <v>1708</v>
      </c>
      <c r="ER72" s="166"/>
      <c r="ES72" s="166">
        <v>1708</v>
      </c>
      <c r="ET72" s="166"/>
      <c r="EU72" s="166">
        <v>1708</v>
      </c>
      <c r="EV72" s="166"/>
      <c r="EW72" s="166">
        <v>1708</v>
      </c>
      <c r="EX72" s="166"/>
      <c r="EY72" s="166">
        <v>1708</v>
      </c>
      <c r="EZ72" s="166"/>
      <c r="FA72" s="166">
        <v>1708</v>
      </c>
      <c r="FB72" s="166"/>
      <c r="FC72" s="166">
        <v>1708</v>
      </c>
      <c r="FD72" s="166"/>
      <c r="FE72" s="166">
        <v>1708</v>
      </c>
      <c r="FF72" s="166"/>
      <c r="FG72" s="166">
        <v>1708</v>
      </c>
      <c r="FH72" s="166"/>
      <c r="FI72" s="166">
        <v>1708</v>
      </c>
      <c r="FJ72" s="166"/>
      <c r="FK72" s="166">
        <v>1708</v>
      </c>
      <c r="FL72" s="166"/>
      <c r="FM72" s="166">
        <v>1708</v>
      </c>
      <c r="FN72" s="166"/>
      <c r="FO72" s="166">
        <v>1708</v>
      </c>
      <c r="FP72" s="166"/>
      <c r="FQ72" s="166">
        <v>1708</v>
      </c>
      <c r="FR72" s="157"/>
      <c r="FS72" s="166">
        <v>1708</v>
      </c>
      <c r="FT72" s="157"/>
      <c r="FU72" s="166">
        <v>1708</v>
      </c>
      <c r="FV72" s="157"/>
      <c r="FW72" s="166">
        <v>1708</v>
      </c>
      <c r="FX72" s="157"/>
      <c r="FY72" s="166">
        <v>1708</v>
      </c>
      <c r="FZ72" s="157"/>
      <c r="GA72" s="166">
        <v>1708</v>
      </c>
      <c r="GB72" s="157"/>
      <c r="GC72" s="166">
        <v>1708</v>
      </c>
      <c r="GD72" s="157"/>
      <c r="GE72" s="166">
        <v>1708</v>
      </c>
      <c r="GF72" s="157"/>
      <c r="GG72" s="166">
        <v>1708</v>
      </c>
      <c r="GH72" s="166"/>
      <c r="GI72" s="166">
        <v>1708.212</v>
      </c>
      <c r="GJ72" s="166"/>
      <c r="GK72" s="166">
        <v>1708.212</v>
      </c>
      <c r="GL72" s="166"/>
      <c r="GM72" s="166">
        <v>1708.212</v>
      </c>
      <c r="GN72" s="166"/>
      <c r="GO72" s="166">
        <v>1708.212</v>
      </c>
      <c r="GP72" s="166"/>
      <c r="GQ72" s="166">
        <v>1708.212</v>
      </c>
      <c r="GR72" s="166"/>
      <c r="GS72" s="157"/>
      <c r="GT72" s="170"/>
      <c r="GU72" s="157"/>
      <c r="GV72" s="157"/>
      <c r="GW72" s="157"/>
      <c r="GX72" s="157"/>
      <c r="GY72" s="157"/>
      <c r="GZ72" s="157"/>
      <c r="HA72" s="157"/>
    </row>
    <row r="73" spans="1:209" ht="14.25" customHeight="1" collapsed="1" thickBot="1">
      <c r="A73" s="158"/>
      <c r="B73" s="157"/>
      <c r="C73" s="190">
        <v>0</v>
      </c>
      <c r="D73" s="410"/>
      <c r="E73" s="190">
        <v>0</v>
      </c>
      <c r="F73" s="410"/>
      <c r="G73" s="190">
        <v>0</v>
      </c>
      <c r="H73" s="410"/>
      <c r="I73" s="190">
        <v>0</v>
      </c>
      <c r="J73" s="410"/>
      <c r="K73" s="190">
        <v>0</v>
      </c>
      <c r="L73" s="410"/>
      <c r="M73" s="190">
        <v>0</v>
      </c>
      <c r="N73" s="410"/>
      <c r="O73" s="190">
        <v>0</v>
      </c>
      <c r="P73" s="410"/>
      <c r="Q73" s="190">
        <v>0</v>
      </c>
      <c r="R73" s="410"/>
      <c r="S73" s="190">
        <v>0</v>
      </c>
      <c r="T73" s="410"/>
      <c r="U73" s="190">
        <v>0</v>
      </c>
      <c r="V73" s="410"/>
      <c r="W73" s="987">
        <v>0</v>
      </c>
      <c r="X73" s="410"/>
      <c r="Y73" s="190">
        <v>0</v>
      </c>
      <c r="Z73" s="410"/>
      <c r="AA73" s="190">
        <v>0</v>
      </c>
      <c r="AB73" s="410"/>
      <c r="AC73" s="190">
        <v>0</v>
      </c>
      <c r="AD73" s="410"/>
      <c r="AE73" s="190">
        <v>0</v>
      </c>
      <c r="AF73" s="410"/>
      <c r="AG73" s="190">
        <v>0</v>
      </c>
      <c r="AH73" s="410"/>
      <c r="AI73" s="190">
        <v>0</v>
      </c>
      <c r="AJ73" s="410"/>
      <c r="AK73" s="190">
        <v>0</v>
      </c>
      <c r="AL73" s="410"/>
      <c r="AM73" s="190">
        <v>0</v>
      </c>
      <c r="AN73" s="410"/>
      <c r="AO73" s="190">
        <v>0</v>
      </c>
      <c r="AP73" s="410"/>
      <c r="AQ73" s="190">
        <v>0</v>
      </c>
      <c r="AR73" s="410"/>
      <c r="AS73" s="190">
        <v>0</v>
      </c>
      <c r="AT73" s="410"/>
      <c r="AU73" s="987">
        <v>0</v>
      </c>
      <c r="AV73" s="410"/>
      <c r="AW73" s="190">
        <v>0</v>
      </c>
      <c r="AX73" s="410"/>
      <c r="AY73" s="190">
        <v>0</v>
      </c>
      <c r="AZ73" s="410"/>
      <c r="BA73" s="190">
        <v>0</v>
      </c>
      <c r="BB73" s="410"/>
      <c r="BC73" s="190">
        <v>0</v>
      </c>
      <c r="BD73" s="410"/>
      <c r="BE73" s="190">
        <v>0</v>
      </c>
      <c r="BF73" s="410"/>
      <c r="BG73" s="190">
        <v>0</v>
      </c>
      <c r="BH73" s="410"/>
      <c r="BI73" s="190">
        <v>0</v>
      </c>
      <c r="BJ73" s="410"/>
      <c r="BK73" s="190">
        <v>0</v>
      </c>
      <c r="BL73" s="410"/>
      <c r="BM73" s="190">
        <v>0</v>
      </c>
      <c r="BN73" s="410"/>
      <c r="BO73" s="190">
        <v>0</v>
      </c>
      <c r="BP73" s="410"/>
      <c r="BQ73" s="190">
        <v>0</v>
      </c>
      <c r="BR73" s="410"/>
      <c r="BS73" s="987">
        <v>0</v>
      </c>
      <c r="BT73" s="410"/>
      <c r="BU73" s="190">
        <v>0</v>
      </c>
      <c r="BV73" s="410"/>
      <c r="BW73" s="171">
        <v>0</v>
      </c>
      <c r="BX73" s="410"/>
      <c r="BY73" s="171">
        <v>0</v>
      </c>
      <c r="BZ73" s="410"/>
      <c r="CA73" s="171">
        <v>0</v>
      </c>
      <c r="CB73" s="410"/>
      <c r="CC73" s="171">
        <v>0</v>
      </c>
      <c r="CD73" s="410"/>
      <c r="CE73" s="171">
        <v>0</v>
      </c>
      <c r="CF73" s="410"/>
      <c r="CG73" s="171">
        <v>0</v>
      </c>
      <c r="CH73" s="410"/>
      <c r="CI73" s="171">
        <v>0</v>
      </c>
      <c r="CJ73" s="410"/>
      <c r="CK73" s="171">
        <v>0</v>
      </c>
      <c r="CL73" s="410"/>
      <c r="CM73" s="171">
        <v>0</v>
      </c>
      <c r="CN73" s="410"/>
      <c r="CO73" s="171">
        <v>0</v>
      </c>
      <c r="CP73" s="410"/>
      <c r="CQ73" s="171">
        <v>0</v>
      </c>
      <c r="CR73" s="410"/>
      <c r="CS73" s="171">
        <v>0</v>
      </c>
      <c r="CT73" s="157"/>
      <c r="CU73" s="171">
        <v>0</v>
      </c>
      <c r="CV73" s="157"/>
      <c r="CW73" s="171">
        <v>0</v>
      </c>
      <c r="CX73" s="157"/>
      <c r="CY73" s="171">
        <v>0</v>
      </c>
      <c r="CZ73" s="157"/>
      <c r="DA73" s="171">
        <v>0</v>
      </c>
      <c r="DB73" s="157"/>
      <c r="DC73" s="171">
        <v>0</v>
      </c>
      <c r="DD73" s="157"/>
      <c r="DE73" s="171">
        <v>0</v>
      </c>
      <c r="DF73" s="157"/>
      <c r="DG73" s="171">
        <v>0</v>
      </c>
      <c r="DH73" s="157"/>
      <c r="DI73" s="171">
        <v>0</v>
      </c>
      <c r="DJ73" s="157"/>
      <c r="DK73" s="171">
        <v>0</v>
      </c>
      <c r="DL73" s="157"/>
      <c r="DM73" s="171">
        <v>0</v>
      </c>
      <c r="DN73" s="157"/>
      <c r="DO73" s="171">
        <v>0</v>
      </c>
      <c r="DP73" s="157"/>
      <c r="DQ73" s="171">
        <v>0</v>
      </c>
      <c r="DR73" s="157"/>
      <c r="DS73" s="171">
        <v>0</v>
      </c>
      <c r="DT73" s="157"/>
      <c r="DU73" s="171">
        <v>0</v>
      </c>
      <c r="DV73" s="157"/>
      <c r="DW73" s="171">
        <v>0</v>
      </c>
      <c r="DX73" s="157"/>
      <c r="DY73" s="171">
        <v>0</v>
      </c>
      <c r="DZ73" s="157"/>
      <c r="EA73" s="171">
        <v>0</v>
      </c>
      <c r="EB73" s="157"/>
      <c r="EC73" s="171">
        <v>0</v>
      </c>
      <c r="ED73" s="157"/>
      <c r="EE73" s="171">
        <v>0</v>
      </c>
      <c r="EF73" s="157"/>
      <c r="EG73" s="171">
        <v>0</v>
      </c>
      <c r="EH73" s="157"/>
      <c r="EI73" s="171">
        <v>0</v>
      </c>
      <c r="EJ73" s="157"/>
      <c r="EK73" s="171">
        <v>0</v>
      </c>
      <c r="EL73" s="157"/>
      <c r="EM73" s="171">
        <v>0</v>
      </c>
      <c r="EN73" s="157"/>
      <c r="EO73" s="171">
        <v>4132.21</v>
      </c>
      <c r="EP73" s="157"/>
      <c r="EQ73" s="171">
        <v>4547</v>
      </c>
      <c r="ER73" s="157"/>
      <c r="ES73" s="171">
        <v>4547</v>
      </c>
      <c r="ET73" s="157"/>
      <c r="EU73" s="171">
        <v>4547</v>
      </c>
      <c r="EV73" s="157"/>
      <c r="EW73" s="171">
        <v>4547</v>
      </c>
      <c r="EX73" s="157"/>
      <c r="EY73" s="171">
        <v>4547</v>
      </c>
      <c r="EZ73" s="157"/>
      <c r="FA73" s="171">
        <v>4547</v>
      </c>
      <c r="FB73" s="157"/>
      <c r="FC73" s="171">
        <v>4547</v>
      </c>
      <c r="FD73" s="157"/>
      <c r="FE73" s="171">
        <v>4547</v>
      </c>
      <c r="FF73" s="157"/>
      <c r="FG73" s="171">
        <v>4547</v>
      </c>
      <c r="FH73" s="157"/>
      <c r="FI73" s="171">
        <v>4547</v>
      </c>
      <c r="FJ73" s="157"/>
      <c r="FK73" s="171">
        <v>4547</v>
      </c>
      <c r="FL73" s="157"/>
      <c r="FM73" s="171">
        <v>4547</v>
      </c>
      <c r="FN73" s="157"/>
      <c r="FO73" s="171">
        <v>4547</v>
      </c>
      <c r="FP73" s="157"/>
      <c r="FQ73" s="171">
        <v>4547</v>
      </c>
      <c r="FR73" s="157"/>
      <c r="FS73" s="171">
        <v>4547</v>
      </c>
      <c r="FT73" s="157"/>
      <c r="FU73" s="171">
        <v>4547</v>
      </c>
      <c r="FV73" s="157"/>
      <c r="FW73" s="171">
        <v>4547</v>
      </c>
      <c r="FX73" s="157"/>
      <c r="FY73" s="171">
        <v>4547</v>
      </c>
      <c r="FZ73" s="157"/>
      <c r="GA73" s="171">
        <v>4547</v>
      </c>
      <c r="GB73" s="157"/>
      <c r="GC73" s="171">
        <v>4547</v>
      </c>
      <c r="GD73" s="157"/>
      <c r="GE73" s="171">
        <v>4547</v>
      </c>
      <c r="GF73" s="157"/>
      <c r="GG73" s="171">
        <v>4547</v>
      </c>
      <c r="GH73" s="166"/>
      <c r="GI73" s="171">
        <v>4547.2119999999995</v>
      </c>
      <c r="GJ73" s="172"/>
      <c r="GK73" s="171">
        <v>4547.2119999999995</v>
      </c>
      <c r="GL73" s="172"/>
      <c r="GM73" s="171">
        <v>4547.2119999999995</v>
      </c>
      <c r="GN73" s="172"/>
      <c r="GO73" s="171">
        <v>4547.2119999999995</v>
      </c>
      <c r="GP73" s="172"/>
      <c r="GQ73" s="171">
        <v>4547.2119999999995</v>
      </c>
      <c r="GR73" s="172"/>
      <c r="GS73" s="162"/>
      <c r="GT73" s="170"/>
      <c r="GU73" s="157"/>
      <c r="GV73" s="157"/>
      <c r="GW73" s="157"/>
      <c r="GX73" s="157"/>
      <c r="GY73" s="157"/>
      <c r="GZ73" s="157"/>
      <c r="HA73" s="157"/>
    </row>
    <row r="74" spans="1:209" ht="14.25" customHeight="1">
      <c r="A74" s="158"/>
      <c r="B74" s="157"/>
      <c r="C74" s="535"/>
      <c r="D74" s="410"/>
      <c r="E74" s="535"/>
      <c r="F74" s="410"/>
      <c r="G74" s="535"/>
      <c r="H74" s="410"/>
      <c r="I74" s="535"/>
      <c r="J74" s="410"/>
      <c r="K74" s="535"/>
      <c r="L74" s="410"/>
      <c r="M74" s="535"/>
      <c r="N74" s="410"/>
      <c r="O74" s="535"/>
      <c r="P74" s="410"/>
      <c r="Q74" s="535"/>
      <c r="R74" s="410"/>
      <c r="S74" s="535"/>
      <c r="T74" s="410"/>
      <c r="U74" s="535"/>
      <c r="V74" s="410"/>
      <c r="W74" s="984"/>
      <c r="X74" s="410"/>
      <c r="Y74" s="535"/>
      <c r="Z74" s="410"/>
      <c r="AA74" s="535"/>
      <c r="AB74" s="410"/>
      <c r="AC74" s="535"/>
      <c r="AD74" s="410"/>
      <c r="AE74" s="535"/>
      <c r="AF74" s="410"/>
      <c r="AG74" s="535"/>
      <c r="AH74" s="410"/>
      <c r="AI74" s="535"/>
      <c r="AJ74" s="410"/>
      <c r="AK74" s="535"/>
      <c r="AL74" s="410"/>
      <c r="AM74" s="535"/>
      <c r="AN74" s="410"/>
      <c r="AO74" s="535"/>
      <c r="AP74" s="410"/>
      <c r="AQ74" s="535"/>
      <c r="AR74" s="410"/>
      <c r="AS74" s="535"/>
      <c r="AT74" s="410"/>
      <c r="AU74" s="984"/>
      <c r="AV74" s="410"/>
      <c r="AW74" s="535"/>
      <c r="AX74" s="410"/>
      <c r="AY74" s="535"/>
      <c r="AZ74" s="410"/>
      <c r="BA74" s="535"/>
      <c r="BB74" s="410"/>
      <c r="BC74" s="535"/>
      <c r="BD74" s="410"/>
      <c r="BE74" s="535"/>
      <c r="BF74" s="410"/>
      <c r="BG74" s="759"/>
      <c r="BH74" s="410"/>
      <c r="BI74" s="535"/>
      <c r="BJ74" s="410"/>
      <c r="BK74" s="535"/>
      <c r="BL74" s="410"/>
      <c r="BM74" s="535"/>
      <c r="BN74" s="410"/>
      <c r="BO74" s="535"/>
      <c r="BP74" s="410"/>
      <c r="BQ74" s="535"/>
      <c r="BR74" s="410"/>
      <c r="BS74" s="984"/>
      <c r="BT74" s="410"/>
      <c r="BU74" s="535"/>
      <c r="BV74" s="410"/>
      <c r="BW74" s="166"/>
      <c r="BX74" s="410"/>
      <c r="BY74" s="166"/>
      <c r="BZ74" s="410"/>
      <c r="CA74" s="166"/>
      <c r="CB74" s="410"/>
      <c r="CC74" s="166"/>
      <c r="CD74" s="410"/>
      <c r="CE74" s="166"/>
      <c r="CF74" s="410"/>
      <c r="CG74" s="166"/>
      <c r="CH74" s="410"/>
      <c r="CI74" s="166"/>
      <c r="CJ74" s="410"/>
      <c r="CK74" s="166"/>
      <c r="CL74" s="410"/>
      <c r="CM74" s="166"/>
      <c r="CN74" s="410"/>
      <c r="CO74" s="166"/>
      <c r="CP74" s="410"/>
      <c r="CQ74" s="166"/>
      <c r="CR74" s="410"/>
      <c r="CS74" s="166"/>
      <c r="CT74" s="157"/>
      <c r="CU74" s="166"/>
      <c r="CV74" s="157"/>
      <c r="CW74" s="166"/>
      <c r="CX74" s="157"/>
      <c r="CY74" s="166"/>
      <c r="CZ74" s="157"/>
      <c r="DA74" s="166"/>
      <c r="DB74" s="157"/>
      <c r="DC74" s="166"/>
      <c r="DD74" s="157"/>
      <c r="DE74" s="166"/>
      <c r="DF74" s="157"/>
      <c r="DG74" s="166"/>
      <c r="DH74" s="157"/>
      <c r="DI74" s="166"/>
      <c r="DJ74" s="157"/>
      <c r="DK74" s="166"/>
      <c r="DL74" s="157"/>
      <c r="DM74" s="166"/>
      <c r="DN74" s="157"/>
      <c r="DO74" s="166"/>
      <c r="DP74" s="157"/>
      <c r="DQ74" s="166"/>
      <c r="DR74" s="157"/>
      <c r="DS74" s="166"/>
      <c r="DT74" s="157"/>
      <c r="DU74" s="166"/>
      <c r="DV74" s="157"/>
      <c r="DW74" s="166"/>
      <c r="DX74" s="157"/>
      <c r="DY74" s="166"/>
      <c r="DZ74" s="157"/>
      <c r="EA74" s="166"/>
      <c r="EB74" s="157"/>
      <c r="EC74" s="166"/>
      <c r="ED74" s="157"/>
      <c r="EE74" s="166"/>
      <c r="EF74" s="157"/>
      <c r="EG74" s="166"/>
      <c r="EH74" s="157"/>
      <c r="EI74" s="166"/>
      <c r="EJ74" s="157"/>
      <c r="EK74" s="166"/>
      <c r="EL74" s="157"/>
      <c r="EM74" s="166"/>
      <c r="EN74" s="157"/>
      <c r="EO74" s="166"/>
      <c r="EP74" s="157"/>
      <c r="EQ74" s="166"/>
      <c r="ER74" s="157"/>
      <c r="ES74" s="166"/>
      <c r="ET74" s="157"/>
      <c r="EU74" s="166"/>
      <c r="EV74" s="157"/>
      <c r="EW74" s="166"/>
      <c r="EX74" s="157"/>
      <c r="EY74" s="166"/>
      <c r="EZ74" s="157"/>
      <c r="FA74" s="166"/>
      <c r="FB74" s="157"/>
      <c r="FC74" s="166"/>
      <c r="FD74" s="157"/>
      <c r="FE74" s="166"/>
      <c r="FF74" s="157"/>
      <c r="FG74" s="166"/>
      <c r="FH74" s="157"/>
      <c r="FI74" s="166"/>
      <c r="FJ74" s="157"/>
      <c r="FK74" s="166"/>
      <c r="FL74" s="157"/>
      <c r="FM74" s="166"/>
      <c r="FN74" s="157"/>
      <c r="FO74" s="166"/>
      <c r="FP74" s="157"/>
      <c r="FQ74" s="157"/>
      <c r="FR74" s="157"/>
      <c r="FS74" s="157"/>
      <c r="FT74" s="157"/>
      <c r="FU74" s="157"/>
      <c r="FV74" s="157"/>
      <c r="FW74" s="157"/>
      <c r="FX74" s="157"/>
      <c r="FY74" s="157"/>
      <c r="FZ74" s="157"/>
      <c r="GA74" s="157"/>
      <c r="GB74" s="157"/>
      <c r="GC74" s="157"/>
      <c r="GD74" s="157"/>
      <c r="GE74" s="157"/>
      <c r="GF74" s="157"/>
      <c r="GG74" s="157"/>
      <c r="GH74" s="166"/>
      <c r="GI74" s="157"/>
      <c r="GJ74" s="157"/>
      <c r="GK74" s="157"/>
      <c r="GL74" s="157"/>
      <c r="GM74" s="157"/>
      <c r="GN74" s="157"/>
      <c r="GO74" s="157"/>
      <c r="GP74" s="157"/>
      <c r="GQ74" s="157"/>
      <c r="GR74" s="157"/>
      <c r="GS74" s="173"/>
      <c r="GT74" s="170"/>
      <c r="GU74" s="157"/>
      <c r="GV74" s="157"/>
      <c r="GW74" s="157"/>
      <c r="GX74" s="157"/>
      <c r="GY74" s="157"/>
      <c r="GZ74" s="157"/>
      <c r="HA74" s="157"/>
    </row>
    <row r="75" spans="1:209" ht="9" customHeight="1" thickBot="1">
      <c r="A75" s="158"/>
      <c r="B75" s="157"/>
      <c r="C75" s="501"/>
      <c r="D75" s="410"/>
      <c r="E75" s="501"/>
      <c r="F75" s="410"/>
      <c r="G75" s="501"/>
      <c r="H75" s="410"/>
      <c r="I75" s="501"/>
      <c r="J75" s="410"/>
      <c r="K75" s="501"/>
      <c r="L75" s="410"/>
      <c r="M75" s="501"/>
      <c r="N75" s="410"/>
      <c r="O75" s="501"/>
      <c r="P75" s="410"/>
      <c r="Q75" s="501"/>
      <c r="R75" s="410"/>
      <c r="S75" s="501"/>
      <c r="T75" s="410"/>
      <c r="U75" s="501"/>
      <c r="V75" s="410"/>
      <c r="W75" s="825"/>
      <c r="X75" s="410"/>
      <c r="Y75" s="501"/>
      <c r="Z75" s="410"/>
      <c r="AA75" s="501"/>
      <c r="AB75" s="410"/>
      <c r="AC75" s="501"/>
      <c r="AD75" s="410"/>
      <c r="AE75" s="501"/>
      <c r="AF75" s="410"/>
      <c r="AG75" s="501"/>
      <c r="AH75" s="410"/>
      <c r="AI75" s="501"/>
      <c r="AJ75" s="410"/>
      <c r="AK75" s="501"/>
      <c r="AL75" s="410"/>
      <c r="AM75" s="501"/>
      <c r="AN75" s="410"/>
      <c r="AO75" s="501"/>
      <c r="AP75" s="410"/>
      <c r="AQ75" s="501"/>
      <c r="AR75" s="410"/>
      <c r="AS75" s="501"/>
      <c r="AT75" s="410"/>
      <c r="AU75" s="825"/>
      <c r="AV75" s="410"/>
      <c r="AW75" s="501"/>
      <c r="AX75" s="410"/>
      <c r="AY75" s="501"/>
      <c r="AZ75" s="410"/>
      <c r="BA75" s="501"/>
      <c r="BB75" s="410"/>
      <c r="BC75" s="501"/>
      <c r="BD75" s="410"/>
      <c r="BE75" s="501"/>
      <c r="BF75" s="410"/>
      <c r="BG75" s="511"/>
      <c r="BH75" s="410"/>
      <c r="BI75" s="501"/>
      <c r="BJ75" s="410"/>
      <c r="BK75" s="501"/>
      <c r="BL75" s="410"/>
      <c r="BM75" s="501"/>
      <c r="BN75" s="410"/>
      <c r="BO75" s="501"/>
      <c r="BP75" s="410"/>
      <c r="BQ75" s="501"/>
      <c r="BR75" s="410"/>
      <c r="BS75" s="825"/>
      <c r="BT75" s="410"/>
      <c r="BU75" s="501"/>
      <c r="BV75" s="410"/>
      <c r="BW75" s="157"/>
      <c r="BX75" s="410"/>
      <c r="BY75" s="157"/>
      <c r="BZ75" s="410"/>
      <c r="CA75" s="157"/>
      <c r="CB75" s="410"/>
      <c r="CC75" s="157"/>
      <c r="CD75" s="410"/>
      <c r="CE75" s="157"/>
      <c r="CF75" s="410"/>
      <c r="CG75" s="157"/>
      <c r="CH75" s="410"/>
      <c r="CI75" s="157"/>
      <c r="CJ75" s="410"/>
      <c r="CK75" s="157"/>
      <c r="CL75" s="410"/>
      <c r="CM75" s="157"/>
      <c r="CN75" s="410"/>
      <c r="CO75" s="157"/>
      <c r="CP75" s="410"/>
      <c r="CQ75" s="157"/>
      <c r="CR75" s="410"/>
      <c r="CS75" s="157"/>
      <c r="CT75" s="157"/>
      <c r="CU75" s="157"/>
      <c r="CV75" s="157"/>
      <c r="CW75" s="157"/>
      <c r="CX75" s="157"/>
      <c r="CY75" s="157"/>
      <c r="CZ75" s="157"/>
      <c r="DA75" s="157"/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157"/>
      <c r="DR75" s="157"/>
      <c r="DS75" s="157"/>
      <c r="DT75" s="157"/>
      <c r="DU75" s="157"/>
      <c r="DV75" s="157"/>
      <c r="DW75" s="157"/>
      <c r="DX75" s="157"/>
      <c r="DY75" s="157"/>
      <c r="DZ75" s="157"/>
      <c r="EA75" s="157"/>
      <c r="EB75" s="157"/>
      <c r="EC75" s="157"/>
      <c r="ED75" s="157"/>
      <c r="EE75" s="157"/>
      <c r="EF75" s="157"/>
      <c r="EG75" s="157"/>
      <c r="EH75" s="157"/>
      <c r="EI75" s="157"/>
      <c r="EJ75" s="157"/>
      <c r="EK75" s="157"/>
      <c r="EL75" s="157"/>
      <c r="EM75" s="157"/>
      <c r="EN75" s="157"/>
      <c r="EO75" s="157"/>
      <c r="EP75" s="157"/>
      <c r="EQ75" s="157"/>
      <c r="ER75" s="157"/>
      <c r="ES75" s="157"/>
      <c r="ET75" s="157"/>
      <c r="EU75" s="157"/>
      <c r="EV75" s="157"/>
      <c r="EW75" s="157"/>
      <c r="EX75" s="157"/>
      <c r="EY75" s="157"/>
      <c r="EZ75" s="157"/>
      <c r="FA75" s="157"/>
      <c r="FB75" s="157"/>
      <c r="FC75" s="157"/>
      <c r="FD75" s="157"/>
      <c r="FE75" s="157"/>
      <c r="FF75" s="157"/>
      <c r="FG75" s="157"/>
      <c r="FH75" s="157"/>
      <c r="FI75" s="157"/>
      <c r="FJ75" s="157"/>
      <c r="FK75" s="157"/>
      <c r="FL75" s="157"/>
      <c r="FM75" s="157"/>
      <c r="FN75" s="157"/>
      <c r="FO75" s="157"/>
      <c r="FP75" s="157"/>
      <c r="FQ75" s="157"/>
      <c r="FR75" s="157"/>
      <c r="FS75" s="157"/>
      <c r="FT75" s="157"/>
      <c r="FU75" s="157"/>
      <c r="FV75" s="157"/>
      <c r="FW75" s="157"/>
      <c r="FX75" s="157"/>
      <c r="FY75" s="157"/>
      <c r="FZ75" s="157"/>
      <c r="GA75" s="157"/>
      <c r="GB75" s="157"/>
      <c r="GC75" s="157"/>
      <c r="GD75" s="157"/>
      <c r="GE75" s="157"/>
      <c r="GF75" s="157"/>
      <c r="GG75" s="157"/>
      <c r="GH75" s="166"/>
      <c r="GI75" s="157"/>
      <c r="GJ75" s="157"/>
      <c r="GK75" s="157"/>
      <c r="GL75" s="157"/>
      <c r="GM75" s="157"/>
      <c r="GN75" s="157"/>
      <c r="GO75" s="157"/>
      <c r="GP75" s="157"/>
      <c r="GQ75" s="157"/>
      <c r="GR75" s="157"/>
      <c r="GS75" s="178"/>
      <c r="GT75" s="170"/>
      <c r="GU75" s="157"/>
      <c r="GV75" s="157"/>
      <c r="GW75" s="157"/>
      <c r="GX75" s="157"/>
      <c r="GY75" s="157"/>
      <c r="GZ75" s="196" t="s">
        <v>335</v>
      </c>
      <c r="HA75" s="197">
        <v>761889.09649818763</v>
      </c>
    </row>
    <row r="76" spans="1:209" ht="14.25" customHeight="1" thickBot="1">
      <c r="A76" s="163">
        <v>8</v>
      </c>
      <c r="B76" s="164" t="s">
        <v>336</v>
      </c>
      <c r="C76" s="725"/>
      <c r="D76" s="411"/>
      <c r="E76" s="725"/>
      <c r="F76" s="411"/>
      <c r="G76" s="725"/>
      <c r="H76" s="411"/>
      <c r="I76" s="725"/>
      <c r="J76" s="411"/>
      <c r="K76" s="725"/>
      <c r="L76" s="411"/>
      <c r="M76" s="725"/>
      <c r="N76" s="411"/>
      <c r="O76" s="725"/>
      <c r="P76" s="411"/>
      <c r="Q76" s="725"/>
      <c r="R76" s="411"/>
      <c r="S76" s="725"/>
      <c r="T76" s="411"/>
      <c r="U76" s="725"/>
      <c r="V76" s="411"/>
      <c r="W76" s="723"/>
      <c r="X76" s="411"/>
      <c r="Y76" s="725"/>
      <c r="Z76" s="411"/>
      <c r="AA76" s="725"/>
      <c r="AB76" s="411"/>
      <c r="AC76" s="725"/>
      <c r="AD76" s="411"/>
      <c r="AE76" s="725"/>
      <c r="AF76" s="411"/>
      <c r="AG76" s="725"/>
      <c r="AH76" s="411"/>
      <c r="AI76" s="725"/>
      <c r="AJ76" s="411"/>
      <c r="AK76" s="725"/>
      <c r="AL76" s="411"/>
      <c r="AM76" s="725"/>
      <c r="AN76" s="411"/>
      <c r="AO76" s="725"/>
      <c r="AP76" s="411"/>
      <c r="AQ76" s="725"/>
      <c r="AR76" s="411"/>
      <c r="AS76" s="725"/>
      <c r="AT76" s="411"/>
      <c r="AU76" s="723"/>
      <c r="AV76" s="411"/>
      <c r="AW76" s="725"/>
      <c r="AX76" s="411"/>
      <c r="AY76" s="725"/>
      <c r="AZ76" s="411"/>
      <c r="BA76" s="725"/>
      <c r="BB76" s="411"/>
      <c r="BC76" s="725"/>
      <c r="BD76" s="411"/>
      <c r="BE76" s="501"/>
      <c r="BF76" s="411"/>
      <c r="BG76" s="511"/>
      <c r="BH76" s="411"/>
      <c r="BI76" s="501"/>
      <c r="BJ76" s="411"/>
      <c r="BK76" s="501"/>
      <c r="BL76" s="411"/>
      <c r="BM76" s="501"/>
      <c r="BN76" s="411"/>
      <c r="BO76" s="501"/>
      <c r="BP76" s="411"/>
      <c r="BQ76" s="501"/>
      <c r="BR76" s="411"/>
      <c r="BS76" s="825"/>
      <c r="BT76" s="411"/>
      <c r="BU76" s="501"/>
      <c r="BV76" s="411"/>
      <c r="BW76" s="157"/>
      <c r="BX76" s="411"/>
      <c r="BY76" s="164"/>
      <c r="BZ76" s="411"/>
      <c r="CA76" s="164"/>
      <c r="CB76" s="411"/>
      <c r="CC76" s="164"/>
      <c r="CD76" s="411"/>
      <c r="CE76" s="164"/>
      <c r="CF76" s="411"/>
      <c r="CG76" s="164"/>
      <c r="CH76" s="411"/>
      <c r="CI76" s="164"/>
      <c r="CJ76" s="411"/>
      <c r="CK76" s="164"/>
      <c r="CL76" s="411"/>
      <c r="CM76" s="164"/>
      <c r="CN76" s="411"/>
      <c r="CO76" s="164"/>
      <c r="CP76" s="411"/>
      <c r="CQ76" s="164"/>
      <c r="CR76" s="411"/>
      <c r="CS76" s="164"/>
      <c r="CT76" s="164"/>
      <c r="CU76" s="164"/>
      <c r="CV76" s="164"/>
      <c r="CW76" s="164"/>
      <c r="CX76" s="164"/>
      <c r="CY76" s="164"/>
      <c r="CZ76" s="164"/>
      <c r="DA76" s="164"/>
      <c r="DB76" s="164"/>
      <c r="DC76" s="164"/>
      <c r="DD76" s="164"/>
      <c r="DE76" s="164"/>
      <c r="DF76" s="164"/>
      <c r="DG76" s="164"/>
      <c r="DH76" s="164"/>
      <c r="DI76" s="164"/>
      <c r="DJ76" s="164"/>
      <c r="DK76" s="164"/>
      <c r="DL76" s="164"/>
      <c r="DM76" s="164"/>
      <c r="DN76" s="164"/>
      <c r="DO76" s="164"/>
      <c r="DP76" s="164"/>
      <c r="DQ76" s="164"/>
      <c r="DR76" s="164"/>
      <c r="DS76" s="164"/>
      <c r="DT76" s="164"/>
      <c r="DU76" s="164"/>
      <c r="DV76" s="164"/>
      <c r="DW76" s="164"/>
      <c r="DX76" s="164"/>
      <c r="DY76" s="164"/>
      <c r="DZ76" s="164"/>
      <c r="EA76" s="164"/>
      <c r="EB76" s="164"/>
      <c r="EC76" s="164"/>
      <c r="ED76" s="164"/>
      <c r="EE76" s="164"/>
      <c r="EF76" s="164"/>
      <c r="EG76" s="164"/>
      <c r="EH76" s="164"/>
      <c r="EI76" s="164"/>
      <c r="EJ76" s="164"/>
      <c r="EK76" s="164"/>
      <c r="EL76" s="164"/>
      <c r="EM76" s="164"/>
      <c r="EN76" s="164"/>
      <c r="EO76" s="164"/>
      <c r="EP76" s="164"/>
      <c r="EQ76" s="164"/>
      <c r="ER76" s="164"/>
      <c r="ES76" s="164"/>
      <c r="ET76" s="164"/>
      <c r="EU76" s="164"/>
      <c r="EV76" s="164"/>
      <c r="EW76" s="164"/>
      <c r="EX76" s="164"/>
      <c r="EY76" s="164"/>
      <c r="EZ76" s="164"/>
      <c r="FA76" s="164"/>
      <c r="FB76" s="164"/>
      <c r="FC76" s="164"/>
      <c r="FD76" s="164"/>
      <c r="FE76" s="164"/>
      <c r="FF76" s="164"/>
      <c r="FG76" s="164"/>
      <c r="FH76" s="164"/>
      <c r="FI76" s="164"/>
      <c r="FJ76" s="164"/>
      <c r="FK76" s="164"/>
      <c r="FL76" s="164"/>
      <c r="FM76" s="164"/>
      <c r="FN76" s="164"/>
      <c r="FO76" s="164"/>
      <c r="FP76" s="164"/>
      <c r="FQ76" s="164"/>
      <c r="FR76" s="164"/>
      <c r="FS76" s="164"/>
      <c r="FT76" s="164"/>
      <c r="FU76" s="164"/>
      <c r="FV76" s="164"/>
      <c r="FW76" s="164"/>
      <c r="FX76" s="164"/>
      <c r="FY76" s="164"/>
      <c r="FZ76" s="164"/>
      <c r="GA76" s="164"/>
      <c r="GB76" s="164"/>
      <c r="GC76" s="164"/>
      <c r="GD76" s="164"/>
      <c r="GE76" s="164"/>
      <c r="GF76" s="164"/>
      <c r="GG76" s="164"/>
      <c r="GH76" s="176"/>
      <c r="GI76" s="164"/>
      <c r="GJ76" s="195"/>
      <c r="GK76" s="164"/>
      <c r="GL76" s="195"/>
      <c r="GM76" s="164"/>
      <c r="GN76" s="195"/>
      <c r="GO76" s="164"/>
      <c r="GP76" s="195"/>
      <c r="GQ76" s="195"/>
      <c r="GR76" s="195"/>
      <c r="GS76" s="173"/>
      <c r="GT76" s="165"/>
      <c r="GU76" s="157"/>
      <c r="GV76" s="157"/>
      <c r="GW76" s="157"/>
      <c r="GX76" s="157"/>
      <c r="GY76" s="157"/>
      <c r="GZ76" s="196" t="s">
        <v>335</v>
      </c>
      <c r="HA76" s="197">
        <v>375445.5767250146</v>
      </c>
    </row>
    <row r="77" spans="1:209" ht="14.25" hidden="1" customHeight="1" outlineLevel="1">
      <c r="A77" s="158"/>
      <c r="B77" s="157" t="s">
        <v>337</v>
      </c>
      <c r="C77" s="725">
        <v>0</v>
      </c>
      <c r="D77" s="410"/>
      <c r="E77" s="725">
        <v>0</v>
      </c>
      <c r="F77" s="410"/>
      <c r="G77" s="725">
        <v>0</v>
      </c>
      <c r="H77" s="410"/>
      <c r="I77" s="725">
        <v>0</v>
      </c>
      <c r="J77" s="410"/>
      <c r="K77" s="725">
        <v>0</v>
      </c>
      <c r="L77" s="410"/>
      <c r="M77" s="725">
        <v>0</v>
      </c>
      <c r="N77" s="410"/>
      <c r="O77" s="725">
        <v>0</v>
      </c>
      <c r="P77" s="410"/>
      <c r="Q77" s="725">
        <v>0</v>
      </c>
      <c r="R77" s="410"/>
      <c r="S77" s="725">
        <v>0</v>
      </c>
      <c r="T77" s="410"/>
      <c r="U77" s="725">
        <v>0</v>
      </c>
      <c r="V77" s="410"/>
      <c r="W77" s="723">
        <v>0</v>
      </c>
      <c r="X77" s="410"/>
      <c r="Y77" s="725">
        <v>0</v>
      </c>
      <c r="Z77" s="410"/>
      <c r="AA77" s="725">
        <v>0</v>
      </c>
      <c r="AB77" s="410"/>
      <c r="AC77" s="725">
        <v>0</v>
      </c>
      <c r="AD77" s="410"/>
      <c r="AE77" s="725">
        <v>0</v>
      </c>
      <c r="AF77" s="410"/>
      <c r="AG77" s="725">
        <v>0</v>
      </c>
      <c r="AH77" s="410"/>
      <c r="AI77" s="725">
        <v>0</v>
      </c>
      <c r="AJ77" s="410"/>
      <c r="AK77" s="725">
        <v>0</v>
      </c>
      <c r="AL77" s="410"/>
      <c r="AM77" s="725">
        <v>0</v>
      </c>
      <c r="AN77" s="410"/>
      <c r="AO77" s="725">
        <v>0</v>
      </c>
      <c r="AP77" s="410"/>
      <c r="AQ77" s="725">
        <v>0</v>
      </c>
      <c r="AR77" s="410"/>
      <c r="AS77" s="725">
        <v>0</v>
      </c>
      <c r="AT77" s="410"/>
      <c r="AU77" s="723">
        <v>0</v>
      </c>
      <c r="AV77" s="410"/>
      <c r="AW77" s="725">
        <v>0</v>
      </c>
      <c r="AX77" s="410"/>
      <c r="AY77" s="725">
        <v>0</v>
      </c>
      <c r="AZ77" s="410"/>
      <c r="BA77" s="725">
        <v>0</v>
      </c>
      <c r="BB77" s="410"/>
      <c r="BC77" s="725">
        <v>0</v>
      </c>
      <c r="BD77" s="410"/>
      <c r="BE77" s="536">
        <v>0</v>
      </c>
      <c r="BF77" s="410"/>
      <c r="BG77" s="614">
        <v>0</v>
      </c>
      <c r="BH77" s="410"/>
      <c r="BI77" s="536">
        <v>0</v>
      </c>
      <c r="BJ77" s="410"/>
      <c r="BK77" s="536">
        <v>0</v>
      </c>
      <c r="BL77" s="410"/>
      <c r="BM77" s="536">
        <v>0</v>
      </c>
      <c r="BN77" s="410"/>
      <c r="BO77" s="536">
        <v>0</v>
      </c>
      <c r="BP77" s="410"/>
      <c r="BQ77" s="536">
        <v>0</v>
      </c>
      <c r="BR77" s="410"/>
      <c r="BS77" s="1168">
        <v>0</v>
      </c>
      <c r="BT77" s="410"/>
      <c r="BU77" s="536">
        <v>0</v>
      </c>
      <c r="BV77" s="410"/>
      <c r="BW77" s="191">
        <v>0</v>
      </c>
      <c r="BX77" s="410"/>
      <c r="BY77" s="191">
        <v>0</v>
      </c>
      <c r="BZ77" s="410"/>
      <c r="CA77" s="191">
        <v>0</v>
      </c>
      <c r="CB77" s="410"/>
      <c r="CC77" s="191">
        <v>0</v>
      </c>
      <c r="CD77" s="410"/>
      <c r="CE77" s="191">
        <v>0</v>
      </c>
      <c r="CF77" s="410"/>
      <c r="CG77" s="191">
        <v>0</v>
      </c>
      <c r="CH77" s="410"/>
      <c r="CI77" s="191">
        <v>0</v>
      </c>
      <c r="CJ77" s="410"/>
      <c r="CK77" s="191">
        <v>0</v>
      </c>
      <c r="CL77" s="410"/>
      <c r="CM77" s="191">
        <v>0</v>
      </c>
      <c r="CN77" s="410"/>
      <c r="CO77" s="191">
        <v>0</v>
      </c>
      <c r="CP77" s="410"/>
      <c r="CQ77" s="191">
        <v>0</v>
      </c>
      <c r="CR77" s="410"/>
      <c r="CS77" s="191">
        <v>0</v>
      </c>
      <c r="CT77" s="157"/>
      <c r="CU77" s="191">
        <v>0</v>
      </c>
      <c r="CV77" s="157"/>
      <c r="CW77" s="191">
        <v>0</v>
      </c>
      <c r="CX77" s="157"/>
      <c r="CY77" s="191">
        <v>0</v>
      </c>
      <c r="CZ77" s="157"/>
      <c r="DA77" s="191">
        <v>0</v>
      </c>
      <c r="DB77" s="157"/>
      <c r="DC77" s="191">
        <v>0</v>
      </c>
      <c r="DD77" s="157"/>
      <c r="DE77" s="191">
        <v>0</v>
      </c>
      <c r="DF77" s="157"/>
      <c r="DG77" s="191">
        <v>0</v>
      </c>
      <c r="DH77" s="157"/>
      <c r="DI77" s="191">
        <v>0</v>
      </c>
      <c r="DJ77" s="157"/>
      <c r="DK77" s="191">
        <v>0</v>
      </c>
      <c r="DL77" s="157"/>
      <c r="DM77" s="191">
        <v>0</v>
      </c>
      <c r="DN77" s="157"/>
      <c r="DO77" s="191">
        <v>0</v>
      </c>
      <c r="DP77" s="157"/>
      <c r="DQ77" s="191">
        <v>0</v>
      </c>
      <c r="DR77" s="157"/>
      <c r="DS77" s="191">
        <v>0</v>
      </c>
      <c r="DT77" s="157"/>
      <c r="DU77" s="191">
        <v>0</v>
      </c>
      <c r="DV77" s="157"/>
      <c r="DW77" s="191">
        <v>0</v>
      </c>
      <c r="DX77" s="157"/>
      <c r="DY77" s="191">
        <v>0</v>
      </c>
      <c r="DZ77" s="157"/>
      <c r="EA77" s="191">
        <v>0</v>
      </c>
      <c r="EB77" s="157"/>
      <c r="EC77" s="191">
        <v>0</v>
      </c>
      <c r="ED77" s="157"/>
      <c r="EE77" s="191">
        <v>0</v>
      </c>
      <c r="EF77" s="157"/>
      <c r="EG77" s="198">
        <v>0</v>
      </c>
      <c r="EH77" s="157"/>
      <c r="EI77" s="198">
        <v>0</v>
      </c>
      <c r="EJ77" s="157"/>
      <c r="EK77" s="198">
        <v>0</v>
      </c>
      <c r="EL77" s="157"/>
      <c r="EM77" s="198">
        <v>0</v>
      </c>
      <c r="EN77" s="157"/>
      <c r="EO77" s="198">
        <v>0</v>
      </c>
      <c r="EP77" s="157"/>
      <c r="EQ77" s="191">
        <v>0</v>
      </c>
      <c r="ER77" s="157"/>
      <c r="ES77" s="191">
        <v>0</v>
      </c>
      <c r="ET77" s="157"/>
      <c r="EU77" s="191">
        <v>0</v>
      </c>
      <c r="EV77" s="157"/>
      <c r="EW77" s="191">
        <v>0</v>
      </c>
      <c r="EX77" s="157"/>
      <c r="EY77" s="191">
        <v>0</v>
      </c>
      <c r="EZ77" s="157"/>
      <c r="FA77" s="191">
        <v>0</v>
      </c>
      <c r="FB77" s="157"/>
      <c r="FC77" s="191">
        <v>1392141.45</v>
      </c>
      <c r="FD77" s="157"/>
      <c r="FE77" s="191">
        <v>1431419.97</v>
      </c>
      <c r="FF77" s="157"/>
      <c r="FG77" s="191">
        <v>1395677.41</v>
      </c>
      <c r="FH77" s="157"/>
      <c r="FI77" s="191">
        <v>1392114.82</v>
      </c>
      <c r="FJ77" s="157"/>
      <c r="FK77" s="191">
        <v>1359767.15</v>
      </c>
      <c r="FL77" s="157"/>
      <c r="FM77" s="191">
        <v>1329319.28</v>
      </c>
      <c r="FN77" s="157"/>
      <c r="FO77" s="191">
        <v>1373454.22</v>
      </c>
      <c r="FP77" s="157"/>
      <c r="FQ77" s="191">
        <v>1315214.44</v>
      </c>
      <c r="FR77" s="157"/>
      <c r="FS77" s="191">
        <v>1392121.68</v>
      </c>
      <c r="FT77" s="157"/>
      <c r="FU77" s="191">
        <v>1323403.8600000001</v>
      </c>
      <c r="FV77" s="157"/>
      <c r="FW77" s="191">
        <v>1401335.2</v>
      </c>
      <c r="FX77" s="157"/>
      <c r="FY77" s="191">
        <v>1255468.83</v>
      </c>
      <c r="FZ77" s="157"/>
      <c r="GA77" s="191">
        <v>1293990.73</v>
      </c>
      <c r="GB77" s="157"/>
      <c r="GC77" s="191">
        <v>1190867.47</v>
      </c>
      <c r="GD77" s="157"/>
      <c r="GE77" s="191">
        <v>1161387.02</v>
      </c>
      <c r="GF77" s="157"/>
      <c r="GG77" s="191">
        <v>1097872.27</v>
      </c>
      <c r="GH77" s="166"/>
      <c r="GI77" s="191">
        <v>1084809.9099999999</v>
      </c>
      <c r="GJ77" s="191"/>
      <c r="GK77" s="191">
        <v>1084006.51</v>
      </c>
      <c r="GL77" s="191"/>
      <c r="GM77" s="191">
        <v>1124147.5900000001</v>
      </c>
      <c r="GN77" s="191"/>
      <c r="GO77" s="191">
        <v>1238472.74</v>
      </c>
      <c r="GP77" s="191"/>
      <c r="GQ77" s="191">
        <v>1268119.7300000002</v>
      </c>
      <c r="GR77" s="191"/>
      <c r="GS77" s="178"/>
      <c r="GT77" s="165"/>
      <c r="GU77" s="157"/>
      <c r="GV77" s="157"/>
      <c r="GW77" s="157"/>
      <c r="GX77" s="157"/>
      <c r="GY77" s="157"/>
      <c r="GZ77" s="196" t="s">
        <v>338</v>
      </c>
      <c r="HA77" s="197">
        <v>668814.31199735659</v>
      </c>
    </row>
    <row r="78" spans="1:209" ht="14.25" hidden="1" customHeight="1" outlineLevel="1">
      <c r="A78" s="158"/>
      <c r="B78" s="157" t="s">
        <v>339</v>
      </c>
      <c r="C78" s="725">
        <v>0</v>
      </c>
      <c r="D78" s="410"/>
      <c r="E78" s="725">
        <v>0</v>
      </c>
      <c r="F78" s="410"/>
      <c r="G78" s="725">
        <v>0</v>
      </c>
      <c r="H78" s="410"/>
      <c r="I78" s="725">
        <v>0</v>
      </c>
      <c r="J78" s="410"/>
      <c r="K78" s="725">
        <v>0</v>
      </c>
      <c r="L78" s="410"/>
      <c r="M78" s="725">
        <v>0</v>
      </c>
      <c r="N78" s="410"/>
      <c r="O78" s="725">
        <v>0</v>
      </c>
      <c r="P78" s="410"/>
      <c r="Q78" s="725">
        <v>0</v>
      </c>
      <c r="R78" s="410"/>
      <c r="S78" s="725">
        <v>0</v>
      </c>
      <c r="T78" s="410"/>
      <c r="U78" s="725">
        <v>0</v>
      </c>
      <c r="V78" s="410"/>
      <c r="W78" s="723">
        <v>0</v>
      </c>
      <c r="X78" s="410"/>
      <c r="Y78" s="725">
        <v>0</v>
      </c>
      <c r="Z78" s="410"/>
      <c r="AA78" s="725">
        <v>0</v>
      </c>
      <c r="AB78" s="410"/>
      <c r="AC78" s="725">
        <v>0</v>
      </c>
      <c r="AD78" s="410"/>
      <c r="AE78" s="725">
        <v>0</v>
      </c>
      <c r="AF78" s="410"/>
      <c r="AG78" s="725">
        <v>0</v>
      </c>
      <c r="AH78" s="410"/>
      <c r="AI78" s="725">
        <v>0</v>
      </c>
      <c r="AJ78" s="410"/>
      <c r="AK78" s="725">
        <v>0</v>
      </c>
      <c r="AL78" s="410"/>
      <c r="AM78" s="725">
        <v>0</v>
      </c>
      <c r="AN78" s="410"/>
      <c r="AO78" s="725">
        <v>0</v>
      </c>
      <c r="AP78" s="410"/>
      <c r="AQ78" s="725">
        <v>0</v>
      </c>
      <c r="AR78" s="410"/>
      <c r="AS78" s="725">
        <v>0</v>
      </c>
      <c r="AT78" s="410"/>
      <c r="AU78" s="723">
        <v>0</v>
      </c>
      <c r="AV78" s="410"/>
      <c r="AW78" s="725">
        <v>0</v>
      </c>
      <c r="AX78" s="410"/>
      <c r="AY78" s="725">
        <v>0</v>
      </c>
      <c r="AZ78" s="410"/>
      <c r="BA78" s="725">
        <v>0</v>
      </c>
      <c r="BB78" s="410"/>
      <c r="BC78" s="725">
        <v>0</v>
      </c>
      <c r="BD78" s="410"/>
      <c r="BE78" s="536">
        <v>0</v>
      </c>
      <c r="BF78" s="410"/>
      <c r="BG78" s="614">
        <v>0</v>
      </c>
      <c r="BH78" s="410"/>
      <c r="BI78" s="536">
        <v>0</v>
      </c>
      <c r="BJ78" s="410"/>
      <c r="BK78" s="536">
        <v>0</v>
      </c>
      <c r="BL78" s="410"/>
      <c r="BM78" s="536">
        <v>0</v>
      </c>
      <c r="BN78" s="410"/>
      <c r="BO78" s="536">
        <v>0</v>
      </c>
      <c r="BP78" s="410"/>
      <c r="BQ78" s="536">
        <v>0</v>
      </c>
      <c r="BR78" s="410"/>
      <c r="BS78" s="1168">
        <v>0</v>
      </c>
      <c r="BT78" s="410"/>
      <c r="BU78" s="536">
        <v>0</v>
      </c>
      <c r="BV78" s="410"/>
      <c r="BW78" s="191">
        <v>0</v>
      </c>
      <c r="BX78" s="410"/>
      <c r="BY78" s="191">
        <v>0</v>
      </c>
      <c r="BZ78" s="410"/>
      <c r="CA78" s="191">
        <v>0</v>
      </c>
      <c r="CB78" s="410"/>
      <c r="CC78" s="191">
        <v>0</v>
      </c>
      <c r="CD78" s="410"/>
      <c r="CE78" s="191">
        <v>0</v>
      </c>
      <c r="CF78" s="410"/>
      <c r="CG78" s="191">
        <v>0</v>
      </c>
      <c r="CH78" s="410"/>
      <c r="CI78" s="191">
        <v>0</v>
      </c>
      <c r="CJ78" s="410"/>
      <c r="CK78" s="191">
        <v>0</v>
      </c>
      <c r="CL78" s="410"/>
      <c r="CM78" s="191">
        <v>0</v>
      </c>
      <c r="CN78" s="410"/>
      <c r="CO78" s="191">
        <v>0</v>
      </c>
      <c r="CP78" s="410"/>
      <c r="CQ78" s="191">
        <v>0</v>
      </c>
      <c r="CR78" s="410"/>
      <c r="CS78" s="191">
        <v>0</v>
      </c>
      <c r="CT78" s="157"/>
      <c r="CU78" s="191">
        <v>0</v>
      </c>
      <c r="CV78" s="157"/>
      <c r="CW78" s="191">
        <v>0</v>
      </c>
      <c r="CX78" s="157"/>
      <c r="CY78" s="191">
        <v>0</v>
      </c>
      <c r="CZ78" s="157"/>
      <c r="DA78" s="191">
        <v>0</v>
      </c>
      <c r="DB78" s="157"/>
      <c r="DC78" s="191">
        <v>0</v>
      </c>
      <c r="DD78" s="157"/>
      <c r="DE78" s="191">
        <v>0</v>
      </c>
      <c r="DF78" s="157"/>
      <c r="DG78" s="191">
        <v>0</v>
      </c>
      <c r="DH78" s="157"/>
      <c r="DI78" s="191">
        <v>0</v>
      </c>
      <c r="DJ78" s="157"/>
      <c r="DK78" s="191">
        <v>0</v>
      </c>
      <c r="DL78" s="157"/>
      <c r="DM78" s="191">
        <v>0</v>
      </c>
      <c r="DN78" s="157"/>
      <c r="DO78" s="191">
        <v>0</v>
      </c>
      <c r="DP78" s="157"/>
      <c r="DQ78" s="191">
        <v>0</v>
      </c>
      <c r="DR78" s="157"/>
      <c r="DS78" s="191">
        <v>0</v>
      </c>
      <c r="DT78" s="157"/>
      <c r="DU78" s="191">
        <v>0</v>
      </c>
      <c r="DV78" s="157"/>
      <c r="DW78" s="191">
        <v>0</v>
      </c>
      <c r="DX78" s="157"/>
      <c r="DY78" s="191">
        <v>0</v>
      </c>
      <c r="DZ78" s="157"/>
      <c r="EA78" s="191">
        <v>0</v>
      </c>
      <c r="EB78" s="157"/>
      <c r="EC78" s="191">
        <v>0</v>
      </c>
      <c r="ED78" s="157"/>
      <c r="EE78" s="191">
        <v>0</v>
      </c>
      <c r="EF78" s="157"/>
      <c r="EG78" s="191">
        <v>0</v>
      </c>
      <c r="EH78" s="157"/>
      <c r="EI78" s="191">
        <v>0</v>
      </c>
      <c r="EJ78" s="157"/>
      <c r="EK78" s="191">
        <v>0</v>
      </c>
      <c r="EL78" s="157"/>
      <c r="EM78" s="191">
        <v>0</v>
      </c>
      <c r="EN78" s="157"/>
      <c r="EO78" s="191">
        <v>0</v>
      </c>
      <c r="EP78" s="157"/>
      <c r="EQ78" s="191">
        <v>0</v>
      </c>
      <c r="ER78" s="157"/>
      <c r="ES78" s="191">
        <v>0</v>
      </c>
      <c r="ET78" s="157"/>
      <c r="EU78" s="191">
        <v>0</v>
      </c>
      <c r="EV78" s="157"/>
      <c r="EW78" s="191">
        <v>0</v>
      </c>
      <c r="EX78" s="157"/>
      <c r="EY78" s="191">
        <v>0</v>
      </c>
      <c r="EZ78" s="157"/>
      <c r="FA78" s="191">
        <v>0</v>
      </c>
      <c r="FB78" s="157"/>
      <c r="FC78" s="191">
        <v>0</v>
      </c>
      <c r="FD78" s="157"/>
      <c r="FE78" s="191">
        <v>0</v>
      </c>
      <c r="FF78" s="157"/>
      <c r="FG78" s="191">
        <v>0</v>
      </c>
      <c r="FH78" s="157"/>
      <c r="FI78" s="191">
        <v>0</v>
      </c>
      <c r="FJ78" s="157"/>
      <c r="FK78" s="191">
        <v>0</v>
      </c>
      <c r="FL78" s="157"/>
      <c r="FM78" s="191">
        <v>0</v>
      </c>
      <c r="FN78" s="157"/>
      <c r="FO78" s="191">
        <v>0</v>
      </c>
      <c r="FP78" s="157"/>
      <c r="FQ78" s="191">
        <v>8444.89</v>
      </c>
      <c r="FR78" s="157"/>
      <c r="FS78" s="191">
        <v>10538.91</v>
      </c>
      <c r="FT78" s="157"/>
      <c r="FU78" s="191">
        <v>10080.11</v>
      </c>
      <c r="FV78" s="157"/>
      <c r="FW78" s="191">
        <v>771235.6</v>
      </c>
      <c r="FX78" s="157"/>
      <c r="FY78" s="191">
        <v>689521.73</v>
      </c>
      <c r="FZ78" s="157"/>
      <c r="GA78" s="191">
        <v>709764.98</v>
      </c>
      <c r="GB78" s="157"/>
      <c r="GC78" s="191">
        <v>652377.49</v>
      </c>
      <c r="GD78" s="157"/>
      <c r="GE78" s="191">
        <v>635387.66</v>
      </c>
      <c r="GF78" s="157"/>
      <c r="GG78" s="191">
        <v>600356.82999999996</v>
      </c>
      <c r="GH78" s="166"/>
      <c r="GI78" s="191">
        <v>617397.85</v>
      </c>
      <c r="GJ78" s="191"/>
      <c r="GK78" s="191">
        <v>616350.82000000007</v>
      </c>
      <c r="GL78" s="191"/>
      <c r="GM78" s="191">
        <v>638489.19999999995</v>
      </c>
      <c r="GN78" s="191"/>
      <c r="GO78" s="191">
        <v>702658.6</v>
      </c>
      <c r="GP78" s="191"/>
      <c r="GQ78" s="191">
        <v>718711.8</v>
      </c>
      <c r="GR78" s="191"/>
      <c r="GS78" s="180"/>
      <c r="GT78" s="170"/>
      <c r="GU78" s="157"/>
      <c r="GV78" s="157"/>
      <c r="GW78" s="157"/>
      <c r="GX78" s="157"/>
      <c r="GY78" s="157"/>
      <c r="GZ78" s="196" t="s">
        <v>340</v>
      </c>
      <c r="HA78" s="197">
        <v>233612.93895764678</v>
      </c>
    </row>
    <row r="79" spans="1:209" ht="14.25" hidden="1" customHeight="1" outlineLevel="1">
      <c r="A79" s="158"/>
      <c r="B79" s="157" t="s">
        <v>340</v>
      </c>
      <c r="C79" s="725">
        <v>0</v>
      </c>
      <c r="D79" s="410"/>
      <c r="E79" s="725">
        <v>0</v>
      </c>
      <c r="F79" s="410"/>
      <c r="G79" s="725">
        <v>0</v>
      </c>
      <c r="H79" s="410"/>
      <c r="I79" s="725">
        <v>0</v>
      </c>
      <c r="J79" s="410"/>
      <c r="K79" s="725">
        <v>0</v>
      </c>
      <c r="L79" s="410"/>
      <c r="M79" s="725">
        <v>0</v>
      </c>
      <c r="N79" s="410"/>
      <c r="O79" s="725">
        <v>0</v>
      </c>
      <c r="P79" s="410"/>
      <c r="Q79" s="725">
        <v>0</v>
      </c>
      <c r="R79" s="410"/>
      <c r="S79" s="725">
        <v>0</v>
      </c>
      <c r="T79" s="410"/>
      <c r="U79" s="725">
        <v>0</v>
      </c>
      <c r="V79" s="410"/>
      <c r="W79" s="723">
        <v>0</v>
      </c>
      <c r="X79" s="410"/>
      <c r="Y79" s="725">
        <v>0</v>
      </c>
      <c r="Z79" s="410"/>
      <c r="AA79" s="725">
        <v>0</v>
      </c>
      <c r="AB79" s="410"/>
      <c r="AC79" s="725">
        <v>0</v>
      </c>
      <c r="AD79" s="410"/>
      <c r="AE79" s="725">
        <v>0</v>
      </c>
      <c r="AF79" s="410"/>
      <c r="AG79" s="725">
        <v>0</v>
      </c>
      <c r="AH79" s="410"/>
      <c r="AI79" s="725">
        <v>0</v>
      </c>
      <c r="AJ79" s="410"/>
      <c r="AK79" s="725">
        <v>0</v>
      </c>
      <c r="AL79" s="410"/>
      <c r="AM79" s="725">
        <v>0</v>
      </c>
      <c r="AN79" s="410"/>
      <c r="AO79" s="725">
        <v>0</v>
      </c>
      <c r="AP79" s="410"/>
      <c r="AQ79" s="725">
        <v>0</v>
      </c>
      <c r="AR79" s="410"/>
      <c r="AS79" s="725">
        <v>0</v>
      </c>
      <c r="AT79" s="410"/>
      <c r="AU79" s="723">
        <v>0</v>
      </c>
      <c r="AV79" s="410"/>
      <c r="AW79" s="725">
        <v>0</v>
      </c>
      <c r="AX79" s="410"/>
      <c r="AY79" s="725">
        <v>0</v>
      </c>
      <c r="AZ79" s="410"/>
      <c r="BA79" s="725">
        <v>0</v>
      </c>
      <c r="BB79" s="410"/>
      <c r="BC79" s="725">
        <v>0</v>
      </c>
      <c r="BD79" s="410"/>
      <c r="BE79" s="536">
        <v>0</v>
      </c>
      <c r="BF79" s="410"/>
      <c r="BG79" s="614">
        <v>0</v>
      </c>
      <c r="BH79" s="410"/>
      <c r="BI79" s="536">
        <v>0</v>
      </c>
      <c r="BJ79" s="410"/>
      <c r="BK79" s="536">
        <v>0</v>
      </c>
      <c r="BL79" s="410"/>
      <c r="BM79" s="536">
        <v>0</v>
      </c>
      <c r="BN79" s="410"/>
      <c r="BO79" s="536">
        <v>0</v>
      </c>
      <c r="BP79" s="410"/>
      <c r="BQ79" s="536">
        <v>0</v>
      </c>
      <c r="BR79" s="410"/>
      <c r="BS79" s="1168">
        <v>0</v>
      </c>
      <c r="BT79" s="410"/>
      <c r="BU79" s="536">
        <v>0</v>
      </c>
      <c r="BV79" s="410"/>
      <c r="BW79" s="191">
        <v>0</v>
      </c>
      <c r="BX79" s="410"/>
      <c r="BY79" s="191">
        <v>0</v>
      </c>
      <c r="BZ79" s="410"/>
      <c r="CA79" s="191">
        <v>0</v>
      </c>
      <c r="CB79" s="410"/>
      <c r="CC79" s="191">
        <v>0</v>
      </c>
      <c r="CD79" s="410"/>
      <c r="CE79" s="191">
        <v>0</v>
      </c>
      <c r="CF79" s="410"/>
      <c r="CG79" s="191">
        <v>0</v>
      </c>
      <c r="CH79" s="410"/>
      <c r="CI79" s="191">
        <v>0</v>
      </c>
      <c r="CJ79" s="410"/>
      <c r="CK79" s="191">
        <v>0</v>
      </c>
      <c r="CL79" s="410"/>
      <c r="CM79" s="191">
        <v>0</v>
      </c>
      <c r="CN79" s="410"/>
      <c r="CO79" s="191">
        <v>0</v>
      </c>
      <c r="CP79" s="410"/>
      <c r="CQ79" s="191">
        <v>0</v>
      </c>
      <c r="CR79" s="410"/>
      <c r="CS79" s="191">
        <v>0</v>
      </c>
      <c r="CT79" s="157"/>
      <c r="CU79" s="191">
        <v>0</v>
      </c>
      <c r="CV79" s="157"/>
      <c r="CW79" s="191">
        <v>0</v>
      </c>
      <c r="CX79" s="157"/>
      <c r="CY79" s="191">
        <v>0</v>
      </c>
      <c r="CZ79" s="157"/>
      <c r="DA79" s="191">
        <v>0</v>
      </c>
      <c r="DB79" s="157"/>
      <c r="DC79" s="191">
        <v>0</v>
      </c>
      <c r="DD79" s="157"/>
      <c r="DE79" s="191">
        <v>0</v>
      </c>
      <c r="DF79" s="157"/>
      <c r="DG79" s="191">
        <v>0</v>
      </c>
      <c r="DH79" s="157"/>
      <c r="DI79" s="191">
        <v>0</v>
      </c>
      <c r="DJ79" s="157"/>
      <c r="DK79" s="191">
        <v>0</v>
      </c>
      <c r="DL79" s="157"/>
      <c r="DM79" s="191">
        <v>0</v>
      </c>
      <c r="DN79" s="157"/>
      <c r="DO79" s="191">
        <v>0</v>
      </c>
      <c r="DP79" s="157"/>
      <c r="DQ79" s="191">
        <v>0</v>
      </c>
      <c r="DR79" s="157"/>
      <c r="DS79" s="191">
        <v>0</v>
      </c>
      <c r="DT79" s="157"/>
      <c r="DU79" s="191">
        <v>0</v>
      </c>
      <c r="DV79" s="157"/>
      <c r="DW79" s="191">
        <v>0</v>
      </c>
      <c r="DX79" s="157"/>
      <c r="DY79" s="191">
        <v>0</v>
      </c>
      <c r="DZ79" s="157"/>
      <c r="EA79" s="191">
        <v>0</v>
      </c>
      <c r="EB79" s="157"/>
      <c r="EC79" s="191">
        <v>0</v>
      </c>
      <c r="ED79" s="157"/>
      <c r="EE79" s="191">
        <v>0</v>
      </c>
      <c r="EF79" s="157"/>
      <c r="EG79" s="198">
        <v>0</v>
      </c>
      <c r="EH79" s="157"/>
      <c r="EI79" s="198">
        <v>0</v>
      </c>
      <c r="EJ79" s="157"/>
      <c r="EK79" s="198">
        <v>203442.62</v>
      </c>
      <c r="EL79" s="157"/>
      <c r="EM79" s="198">
        <v>177224.17</v>
      </c>
      <c r="EN79" s="157"/>
      <c r="EO79" s="191">
        <v>160123.6</v>
      </c>
      <c r="EP79" s="157"/>
      <c r="EQ79" s="191">
        <v>159069.1</v>
      </c>
      <c r="ER79" s="157"/>
      <c r="ES79" s="191">
        <v>162722.19</v>
      </c>
      <c r="ET79" s="157"/>
      <c r="EU79" s="191">
        <v>168486.89</v>
      </c>
      <c r="EV79" s="157"/>
      <c r="EW79" s="191">
        <v>170424.75</v>
      </c>
      <c r="EX79" s="157"/>
      <c r="EY79" s="191">
        <v>171241.96</v>
      </c>
      <c r="EZ79" s="157"/>
      <c r="FA79" s="191">
        <v>162145.04</v>
      </c>
      <c r="FB79" s="157"/>
      <c r="FC79" s="191">
        <v>418398.49</v>
      </c>
      <c r="FD79" s="157"/>
      <c r="FE79" s="191">
        <v>422549.79</v>
      </c>
      <c r="FF79" s="157"/>
      <c r="FG79" s="191">
        <v>413568.46</v>
      </c>
      <c r="FH79" s="157"/>
      <c r="FI79" s="191">
        <v>418834.58999999997</v>
      </c>
      <c r="FJ79" s="157"/>
      <c r="FK79" s="191">
        <v>414349.91000000003</v>
      </c>
      <c r="FL79" s="157"/>
      <c r="FM79" s="191">
        <v>405986.63</v>
      </c>
      <c r="FN79" s="157"/>
      <c r="FO79" s="191">
        <v>431140.12</v>
      </c>
      <c r="FP79" s="157"/>
      <c r="FQ79" s="191">
        <v>407428.27</v>
      </c>
      <c r="FR79" s="157"/>
      <c r="FS79" s="191">
        <v>431198.91000000003</v>
      </c>
      <c r="FT79" s="157"/>
      <c r="FU79" s="191">
        <v>427110.06</v>
      </c>
      <c r="FV79" s="157"/>
      <c r="FW79" s="191">
        <v>451080.53</v>
      </c>
      <c r="FX79" s="157"/>
      <c r="FY79" s="191">
        <v>405470.74</v>
      </c>
      <c r="FZ79" s="157"/>
      <c r="GA79" s="191">
        <v>419113.4</v>
      </c>
      <c r="GB79" s="157"/>
      <c r="GC79" s="191">
        <v>385810.15</v>
      </c>
      <c r="GD79" s="157"/>
      <c r="GE79" s="191">
        <v>388497.6</v>
      </c>
      <c r="GF79" s="157"/>
      <c r="GG79" s="191">
        <v>380165.21</v>
      </c>
      <c r="GH79" s="166"/>
      <c r="GI79" s="191">
        <v>371835.81000000006</v>
      </c>
      <c r="GJ79" s="191"/>
      <c r="GK79" s="191">
        <v>377642.17000000004</v>
      </c>
      <c r="GL79" s="191"/>
      <c r="GM79" s="191">
        <v>387814.01</v>
      </c>
      <c r="GN79" s="191"/>
      <c r="GO79" s="191">
        <v>423493.64</v>
      </c>
      <c r="GP79" s="191"/>
      <c r="GQ79" s="191">
        <v>424406.52</v>
      </c>
      <c r="GR79" s="191"/>
      <c r="GS79" s="181"/>
      <c r="GT79" s="170"/>
      <c r="GU79" s="157"/>
      <c r="GV79" s="157"/>
      <c r="GW79" s="157"/>
      <c r="GX79" s="157"/>
      <c r="GY79" s="157"/>
      <c r="GZ79" s="196" t="s">
        <v>340</v>
      </c>
      <c r="HA79" s="197">
        <v>147900.2471039115</v>
      </c>
    </row>
    <row r="80" spans="1:209" ht="14.25" hidden="1" customHeight="1" outlineLevel="1">
      <c r="A80" s="158"/>
      <c r="B80" s="157" t="s">
        <v>341</v>
      </c>
      <c r="C80" s="725">
        <v>0</v>
      </c>
      <c r="D80" s="410"/>
      <c r="E80" s="725">
        <v>0</v>
      </c>
      <c r="F80" s="410"/>
      <c r="G80" s="725">
        <v>0</v>
      </c>
      <c r="H80" s="410"/>
      <c r="I80" s="725">
        <v>0</v>
      </c>
      <c r="J80" s="410"/>
      <c r="K80" s="725">
        <v>0</v>
      </c>
      <c r="L80" s="410"/>
      <c r="M80" s="725">
        <v>0</v>
      </c>
      <c r="N80" s="410"/>
      <c r="O80" s="725">
        <v>0</v>
      </c>
      <c r="P80" s="410"/>
      <c r="Q80" s="725">
        <v>0</v>
      </c>
      <c r="R80" s="410"/>
      <c r="S80" s="725">
        <v>0</v>
      </c>
      <c r="T80" s="410"/>
      <c r="U80" s="725">
        <v>0</v>
      </c>
      <c r="V80" s="410"/>
      <c r="W80" s="723">
        <v>0</v>
      </c>
      <c r="X80" s="410"/>
      <c r="Y80" s="725">
        <v>0</v>
      </c>
      <c r="Z80" s="410"/>
      <c r="AA80" s="725">
        <v>0</v>
      </c>
      <c r="AB80" s="410"/>
      <c r="AC80" s="725">
        <v>0</v>
      </c>
      <c r="AD80" s="410"/>
      <c r="AE80" s="725">
        <v>0</v>
      </c>
      <c r="AF80" s="410"/>
      <c r="AG80" s="725">
        <v>0</v>
      </c>
      <c r="AH80" s="410"/>
      <c r="AI80" s="725">
        <v>0</v>
      </c>
      <c r="AJ80" s="410"/>
      <c r="AK80" s="725">
        <v>0</v>
      </c>
      <c r="AL80" s="410"/>
      <c r="AM80" s="725">
        <v>0</v>
      </c>
      <c r="AN80" s="410"/>
      <c r="AO80" s="725">
        <v>0</v>
      </c>
      <c r="AP80" s="410"/>
      <c r="AQ80" s="725">
        <v>0</v>
      </c>
      <c r="AR80" s="410"/>
      <c r="AS80" s="725">
        <v>0</v>
      </c>
      <c r="AT80" s="410"/>
      <c r="AU80" s="723">
        <v>0</v>
      </c>
      <c r="AV80" s="410"/>
      <c r="AW80" s="725">
        <v>0</v>
      </c>
      <c r="AX80" s="410"/>
      <c r="AY80" s="725">
        <v>0</v>
      </c>
      <c r="AZ80" s="410"/>
      <c r="BA80" s="725">
        <v>0</v>
      </c>
      <c r="BB80" s="410"/>
      <c r="BC80" s="725">
        <v>0</v>
      </c>
      <c r="BD80" s="410"/>
      <c r="BE80" s="536">
        <v>0</v>
      </c>
      <c r="BF80" s="410"/>
      <c r="BG80" s="614">
        <v>0</v>
      </c>
      <c r="BH80" s="410"/>
      <c r="BI80" s="536">
        <v>0</v>
      </c>
      <c r="BJ80" s="410"/>
      <c r="BK80" s="536">
        <v>0</v>
      </c>
      <c r="BL80" s="410"/>
      <c r="BM80" s="536">
        <v>0</v>
      </c>
      <c r="BN80" s="410"/>
      <c r="BO80" s="536">
        <v>0</v>
      </c>
      <c r="BP80" s="410"/>
      <c r="BQ80" s="536">
        <v>0</v>
      </c>
      <c r="BR80" s="410"/>
      <c r="BS80" s="1168">
        <v>0</v>
      </c>
      <c r="BT80" s="410"/>
      <c r="BU80" s="536">
        <v>0</v>
      </c>
      <c r="BV80" s="410"/>
      <c r="BW80" s="191">
        <v>0</v>
      </c>
      <c r="BX80" s="410"/>
      <c r="BY80" s="191">
        <v>0</v>
      </c>
      <c r="BZ80" s="410"/>
      <c r="CA80" s="191">
        <v>0</v>
      </c>
      <c r="CB80" s="410"/>
      <c r="CC80" s="191">
        <v>0</v>
      </c>
      <c r="CD80" s="410"/>
      <c r="CE80" s="191">
        <v>0</v>
      </c>
      <c r="CF80" s="410"/>
      <c r="CG80" s="191">
        <v>0</v>
      </c>
      <c r="CH80" s="410"/>
      <c r="CI80" s="191">
        <v>0</v>
      </c>
      <c r="CJ80" s="410"/>
      <c r="CK80" s="191">
        <v>0</v>
      </c>
      <c r="CL80" s="410"/>
      <c r="CM80" s="191">
        <v>0</v>
      </c>
      <c r="CN80" s="410"/>
      <c r="CO80" s="191">
        <v>0</v>
      </c>
      <c r="CP80" s="410"/>
      <c r="CQ80" s="191">
        <v>0</v>
      </c>
      <c r="CR80" s="410"/>
      <c r="CS80" s="191">
        <v>0</v>
      </c>
      <c r="CT80" s="157"/>
      <c r="CU80" s="191">
        <v>0</v>
      </c>
      <c r="CV80" s="157"/>
      <c r="CW80" s="191">
        <v>0</v>
      </c>
      <c r="CX80" s="157"/>
      <c r="CY80" s="191">
        <v>0</v>
      </c>
      <c r="CZ80" s="157"/>
      <c r="DA80" s="191">
        <v>0</v>
      </c>
      <c r="DB80" s="157"/>
      <c r="DC80" s="191">
        <v>0</v>
      </c>
      <c r="DD80" s="157"/>
      <c r="DE80" s="191">
        <v>0</v>
      </c>
      <c r="DF80" s="157"/>
      <c r="DG80" s="191">
        <v>0</v>
      </c>
      <c r="DH80" s="157"/>
      <c r="DI80" s="191">
        <v>0</v>
      </c>
      <c r="DJ80" s="157"/>
      <c r="DK80" s="191">
        <v>0</v>
      </c>
      <c r="DL80" s="157"/>
      <c r="DM80" s="191">
        <v>0</v>
      </c>
      <c r="DN80" s="157"/>
      <c r="DO80" s="191">
        <v>0</v>
      </c>
      <c r="DP80" s="157"/>
      <c r="DQ80" s="191">
        <v>0</v>
      </c>
      <c r="DR80" s="157"/>
      <c r="DS80" s="191">
        <v>0</v>
      </c>
      <c r="DT80" s="157"/>
      <c r="DU80" s="191">
        <v>0</v>
      </c>
      <c r="DV80" s="157"/>
      <c r="DW80" s="191">
        <v>0</v>
      </c>
      <c r="DX80" s="157"/>
      <c r="DY80" s="191">
        <v>0</v>
      </c>
      <c r="DZ80" s="157"/>
      <c r="EA80" s="191">
        <v>0</v>
      </c>
      <c r="EB80" s="157"/>
      <c r="EC80" s="191">
        <v>0</v>
      </c>
      <c r="ED80" s="157"/>
      <c r="EE80" s="191">
        <v>0</v>
      </c>
      <c r="EF80" s="157"/>
      <c r="EG80" s="191">
        <v>0</v>
      </c>
      <c r="EH80" s="157"/>
      <c r="EI80" s="191">
        <v>0</v>
      </c>
      <c r="EJ80" s="157"/>
      <c r="EK80" s="191">
        <v>0</v>
      </c>
      <c r="EL80" s="157"/>
      <c r="EM80" s="191">
        <v>0</v>
      </c>
      <c r="EN80" s="157"/>
      <c r="EO80" s="191">
        <v>0</v>
      </c>
      <c r="EP80" s="157"/>
      <c r="EQ80" s="191">
        <v>0</v>
      </c>
      <c r="ER80" s="157"/>
      <c r="ES80" s="191">
        <v>0</v>
      </c>
      <c r="ET80" s="157"/>
      <c r="EU80" s="191">
        <v>0</v>
      </c>
      <c r="EV80" s="157"/>
      <c r="EW80" s="191">
        <v>340849.51</v>
      </c>
      <c r="EX80" s="157"/>
      <c r="EY80" s="191">
        <v>342483.91</v>
      </c>
      <c r="EZ80" s="157"/>
      <c r="FA80" s="191">
        <v>324290.09000000003</v>
      </c>
      <c r="FB80" s="157"/>
      <c r="FC80" s="191">
        <v>324476.39</v>
      </c>
      <c r="FD80" s="157"/>
      <c r="FE80" s="191">
        <v>327672.48</v>
      </c>
      <c r="FF80" s="157"/>
      <c r="FG80" s="191">
        <v>320683.95</v>
      </c>
      <c r="FH80" s="157"/>
      <c r="FI80" s="191">
        <v>332320.96999999997</v>
      </c>
      <c r="FJ80" s="157"/>
      <c r="FK80" s="191">
        <v>328787.18</v>
      </c>
      <c r="FL80" s="157"/>
      <c r="FM80" s="191">
        <v>322172.94</v>
      </c>
      <c r="FN80" s="157"/>
      <c r="FO80" s="191">
        <v>334231.46999999997</v>
      </c>
      <c r="FP80" s="157"/>
      <c r="FQ80" s="191">
        <v>315825.48</v>
      </c>
      <c r="FR80" s="157"/>
      <c r="FS80" s="191">
        <v>334226.83</v>
      </c>
      <c r="FT80" s="157"/>
      <c r="FU80" s="191">
        <v>338885.54</v>
      </c>
      <c r="FV80" s="157"/>
      <c r="FW80" s="191">
        <v>349872.31</v>
      </c>
      <c r="FX80" s="157"/>
      <c r="FY80" s="191">
        <v>315698.46000000002</v>
      </c>
      <c r="FZ80" s="157"/>
      <c r="GA80" s="191">
        <v>325030.8</v>
      </c>
      <c r="GB80" s="157"/>
      <c r="GC80" s="191">
        <v>299182.18</v>
      </c>
      <c r="GD80" s="157"/>
      <c r="GE80" s="191">
        <v>301243.84000000003</v>
      </c>
      <c r="GF80" s="157"/>
      <c r="GG80" s="191">
        <v>301639.03999999998</v>
      </c>
      <c r="GH80" s="166"/>
      <c r="GI80" s="191">
        <v>295052.19</v>
      </c>
      <c r="GJ80" s="191"/>
      <c r="GK80" s="191">
        <v>299680.05</v>
      </c>
      <c r="GL80" s="191"/>
      <c r="GM80" s="191">
        <v>300643.90999999997</v>
      </c>
      <c r="GN80" s="191"/>
      <c r="GO80" s="191">
        <v>328278.85000000003</v>
      </c>
      <c r="GP80" s="191"/>
      <c r="GQ80" s="191">
        <v>328961.98</v>
      </c>
      <c r="GR80" s="191"/>
      <c r="GS80" s="180"/>
      <c r="GT80" s="182"/>
      <c r="GU80" s="157"/>
      <c r="GV80" s="157"/>
      <c r="GW80" s="157"/>
      <c r="GX80" s="157"/>
      <c r="GY80" s="157"/>
      <c r="GZ80" s="196" t="s">
        <v>341</v>
      </c>
      <c r="HA80" s="197">
        <v>296152.52449112746</v>
      </c>
    </row>
    <row r="81" spans="1:209" ht="14.25" hidden="1" customHeight="1" outlineLevel="1">
      <c r="A81" s="158"/>
      <c r="B81" s="157" t="s">
        <v>342</v>
      </c>
      <c r="C81" s="725">
        <v>0</v>
      </c>
      <c r="D81" s="410"/>
      <c r="E81" s="725">
        <v>0</v>
      </c>
      <c r="F81" s="410"/>
      <c r="G81" s="725">
        <v>0</v>
      </c>
      <c r="H81" s="410"/>
      <c r="I81" s="725">
        <v>0</v>
      </c>
      <c r="J81" s="410"/>
      <c r="K81" s="725">
        <v>0</v>
      </c>
      <c r="L81" s="410"/>
      <c r="M81" s="725">
        <v>0</v>
      </c>
      <c r="N81" s="410"/>
      <c r="O81" s="725">
        <v>0</v>
      </c>
      <c r="P81" s="410"/>
      <c r="Q81" s="725">
        <v>0</v>
      </c>
      <c r="R81" s="410"/>
      <c r="S81" s="725">
        <v>0</v>
      </c>
      <c r="T81" s="410"/>
      <c r="U81" s="725">
        <v>0</v>
      </c>
      <c r="V81" s="410"/>
      <c r="W81" s="723">
        <v>0</v>
      </c>
      <c r="X81" s="410"/>
      <c r="Y81" s="725">
        <v>0</v>
      </c>
      <c r="Z81" s="410"/>
      <c r="AA81" s="725">
        <v>0</v>
      </c>
      <c r="AB81" s="410"/>
      <c r="AC81" s="725">
        <v>0</v>
      </c>
      <c r="AD81" s="410"/>
      <c r="AE81" s="725">
        <v>0</v>
      </c>
      <c r="AF81" s="410"/>
      <c r="AG81" s="725">
        <v>0</v>
      </c>
      <c r="AH81" s="410"/>
      <c r="AI81" s="725">
        <v>0</v>
      </c>
      <c r="AJ81" s="410"/>
      <c r="AK81" s="725">
        <v>0</v>
      </c>
      <c r="AL81" s="410"/>
      <c r="AM81" s="725">
        <v>0</v>
      </c>
      <c r="AN81" s="410"/>
      <c r="AO81" s="725">
        <v>0</v>
      </c>
      <c r="AP81" s="410"/>
      <c r="AQ81" s="725">
        <v>0</v>
      </c>
      <c r="AR81" s="410"/>
      <c r="AS81" s="725">
        <v>0</v>
      </c>
      <c r="AT81" s="410"/>
      <c r="AU81" s="723">
        <v>0</v>
      </c>
      <c r="AV81" s="410"/>
      <c r="AW81" s="725">
        <v>0</v>
      </c>
      <c r="AX81" s="410"/>
      <c r="AY81" s="725">
        <v>0</v>
      </c>
      <c r="AZ81" s="410"/>
      <c r="BA81" s="725">
        <v>0</v>
      </c>
      <c r="BB81" s="410"/>
      <c r="BC81" s="725">
        <v>0</v>
      </c>
      <c r="BD81" s="410"/>
      <c r="BE81" s="536">
        <v>0</v>
      </c>
      <c r="BF81" s="410"/>
      <c r="BG81" s="614">
        <v>0</v>
      </c>
      <c r="BH81" s="410"/>
      <c r="BI81" s="536">
        <v>0</v>
      </c>
      <c r="BJ81" s="410"/>
      <c r="BK81" s="536">
        <v>0</v>
      </c>
      <c r="BL81" s="410"/>
      <c r="BM81" s="536">
        <v>0</v>
      </c>
      <c r="BN81" s="410"/>
      <c r="BO81" s="536">
        <v>0</v>
      </c>
      <c r="BP81" s="410"/>
      <c r="BQ81" s="536">
        <v>0</v>
      </c>
      <c r="BR81" s="410"/>
      <c r="BS81" s="1168">
        <v>0</v>
      </c>
      <c r="BT81" s="410"/>
      <c r="BU81" s="536">
        <v>0</v>
      </c>
      <c r="BV81" s="410"/>
      <c r="BW81" s="191">
        <v>0</v>
      </c>
      <c r="BX81" s="410"/>
      <c r="BY81" s="191">
        <v>0</v>
      </c>
      <c r="BZ81" s="410"/>
      <c r="CA81" s="191">
        <v>0</v>
      </c>
      <c r="CB81" s="410"/>
      <c r="CC81" s="191">
        <v>0</v>
      </c>
      <c r="CD81" s="410"/>
      <c r="CE81" s="191">
        <v>0</v>
      </c>
      <c r="CF81" s="410"/>
      <c r="CG81" s="191">
        <v>0</v>
      </c>
      <c r="CH81" s="410"/>
      <c r="CI81" s="191">
        <v>0</v>
      </c>
      <c r="CJ81" s="410"/>
      <c r="CK81" s="191">
        <v>0</v>
      </c>
      <c r="CL81" s="410"/>
      <c r="CM81" s="191">
        <v>0</v>
      </c>
      <c r="CN81" s="410"/>
      <c r="CO81" s="191">
        <v>0</v>
      </c>
      <c r="CP81" s="410"/>
      <c r="CQ81" s="191">
        <v>0</v>
      </c>
      <c r="CR81" s="410"/>
      <c r="CS81" s="191">
        <v>0</v>
      </c>
      <c r="CT81" s="157"/>
      <c r="CU81" s="191">
        <v>0</v>
      </c>
      <c r="CV81" s="157"/>
      <c r="CW81" s="191">
        <v>0</v>
      </c>
      <c r="CX81" s="157"/>
      <c r="CY81" s="191">
        <v>0</v>
      </c>
      <c r="CZ81" s="157"/>
      <c r="DA81" s="191">
        <v>0</v>
      </c>
      <c r="DB81" s="157"/>
      <c r="DC81" s="191">
        <v>0</v>
      </c>
      <c r="DD81" s="157"/>
      <c r="DE81" s="191">
        <v>0</v>
      </c>
      <c r="DF81" s="157"/>
      <c r="DG81" s="191">
        <v>0</v>
      </c>
      <c r="DH81" s="157"/>
      <c r="DI81" s="191">
        <v>0</v>
      </c>
      <c r="DJ81" s="157"/>
      <c r="DK81" s="191">
        <v>0</v>
      </c>
      <c r="DL81" s="157"/>
      <c r="DM81" s="191">
        <v>0</v>
      </c>
      <c r="DN81" s="157"/>
      <c r="DO81" s="191">
        <v>0</v>
      </c>
      <c r="DP81" s="157"/>
      <c r="DQ81" s="191">
        <v>0</v>
      </c>
      <c r="DR81" s="157"/>
      <c r="DS81" s="191">
        <v>0</v>
      </c>
      <c r="DT81" s="157"/>
      <c r="DU81" s="191">
        <v>0</v>
      </c>
      <c r="DV81" s="157"/>
      <c r="DW81" s="191">
        <v>0</v>
      </c>
      <c r="DX81" s="157"/>
      <c r="DY81" s="191">
        <v>0</v>
      </c>
      <c r="DZ81" s="157"/>
      <c r="EA81" s="191">
        <v>0</v>
      </c>
      <c r="EB81" s="157"/>
      <c r="EC81" s="191">
        <v>0</v>
      </c>
      <c r="ED81" s="157"/>
      <c r="EE81" s="191">
        <v>0</v>
      </c>
      <c r="EF81" s="157"/>
      <c r="EG81" s="191">
        <v>0</v>
      </c>
      <c r="EH81" s="157"/>
      <c r="EI81" s="191">
        <v>0</v>
      </c>
      <c r="EJ81" s="157"/>
      <c r="EK81" s="191">
        <v>0</v>
      </c>
      <c r="EL81" s="157"/>
      <c r="EM81" s="191">
        <v>0</v>
      </c>
      <c r="EN81" s="157"/>
      <c r="EO81" s="191">
        <v>0</v>
      </c>
      <c r="EP81" s="157"/>
      <c r="EQ81" s="191">
        <v>0</v>
      </c>
      <c r="ER81" s="157"/>
      <c r="ES81" s="191">
        <v>454580.43</v>
      </c>
      <c r="ET81" s="157"/>
      <c r="EU81" s="191">
        <v>465184.8</v>
      </c>
      <c r="EV81" s="157"/>
      <c r="EW81" s="191">
        <v>463198.17</v>
      </c>
      <c r="EX81" s="157"/>
      <c r="EY81" s="191">
        <v>461534.98</v>
      </c>
      <c r="EZ81" s="157"/>
      <c r="FA81" s="191">
        <v>433823.07</v>
      </c>
      <c r="FB81" s="157"/>
      <c r="FC81" s="191">
        <v>422883.05</v>
      </c>
      <c r="FD81" s="157"/>
      <c r="FE81" s="191">
        <v>451297.1</v>
      </c>
      <c r="FF81" s="157"/>
      <c r="FG81" s="191">
        <v>439795.51</v>
      </c>
      <c r="FH81" s="157"/>
      <c r="FI81" s="191">
        <v>435613.81</v>
      </c>
      <c r="FJ81" s="157"/>
      <c r="FK81" s="191">
        <v>428025.73</v>
      </c>
      <c r="FL81" s="157"/>
      <c r="FM81" s="191">
        <v>418234.18</v>
      </c>
      <c r="FN81" s="157"/>
      <c r="FO81" s="191">
        <v>431880.25</v>
      </c>
      <c r="FP81" s="157"/>
      <c r="FQ81" s="191">
        <v>429590.15</v>
      </c>
      <c r="FR81" s="157"/>
      <c r="FS81" s="191">
        <v>454571.1</v>
      </c>
      <c r="FT81" s="157"/>
      <c r="FU81" s="191">
        <v>431994.02</v>
      </c>
      <c r="FV81" s="157"/>
      <c r="FW81" s="191">
        <v>446368.04</v>
      </c>
      <c r="FX81" s="157"/>
      <c r="FY81" s="191">
        <v>399708.66</v>
      </c>
      <c r="FZ81" s="157"/>
      <c r="GA81" s="191">
        <v>411773.99</v>
      </c>
      <c r="GB81" s="157"/>
      <c r="GC81" s="191">
        <v>394266.51</v>
      </c>
      <c r="GD81" s="157"/>
      <c r="GE81" s="191">
        <v>384090.64</v>
      </c>
      <c r="GF81" s="157"/>
      <c r="GG81" s="191">
        <v>362528.96</v>
      </c>
      <c r="GH81" s="166"/>
      <c r="GI81" s="191">
        <v>358124.88</v>
      </c>
      <c r="GJ81" s="191"/>
      <c r="GK81" s="191">
        <v>357776.79</v>
      </c>
      <c r="GL81" s="191"/>
      <c r="GM81" s="191">
        <v>370929.05</v>
      </c>
      <c r="GN81" s="191"/>
      <c r="GO81" s="191">
        <v>424612.19</v>
      </c>
      <c r="GP81" s="191"/>
      <c r="GQ81" s="191">
        <v>434770.79</v>
      </c>
      <c r="GR81" s="191"/>
      <c r="GS81" s="180"/>
      <c r="GT81" s="165"/>
      <c r="GU81" s="157"/>
      <c r="GV81" s="157"/>
      <c r="GW81" s="157"/>
      <c r="GX81" s="157"/>
      <c r="GY81" s="157"/>
      <c r="GZ81" s="196" t="s">
        <v>342</v>
      </c>
      <c r="HA81" s="197">
        <v>406110.30719247961</v>
      </c>
    </row>
    <row r="82" spans="1:209" ht="14.25" hidden="1" customHeight="1" outlineLevel="1">
      <c r="A82" s="158"/>
      <c r="B82" s="157" t="s">
        <v>343</v>
      </c>
      <c r="C82" s="725">
        <v>0</v>
      </c>
      <c r="D82" s="410"/>
      <c r="E82" s="725">
        <v>0</v>
      </c>
      <c r="F82" s="410"/>
      <c r="G82" s="725">
        <v>0</v>
      </c>
      <c r="H82" s="410"/>
      <c r="I82" s="725">
        <v>0</v>
      </c>
      <c r="J82" s="410"/>
      <c r="K82" s="725">
        <v>0</v>
      </c>
      <c r="L82" s="410"/>
      <c r="M82" s="725">
        <v>0</v>
      </c>
      <c r="N82" s="410"/>
      <c r="O82" s="725">
        <v>0</v>
      </c>
      <c r="P82" s="410"/>
      <c r="Q82" s="725">
        <v>0</v>
      </c>
      <c r="R82" s="410"/>
      <c r="S82" s="725">
        <v>0</v>
      </c>
      <c r="T82" s="410"/>
      <c r="U82" s="725">
        <v>0</v>
      </c>
      <c r="V82" s="410"/>
      <c r="W82" s="723">
        <v>0</v>
      </c>
      <c r="X82" s="410"/>
      <c r="Y82" s="725">
        <v>0</v>
      </c>
      <c r="Z82" s="410"/>
      <c r="AA82" s="725">
        <v>0</v>
      </c>
      <c r="AB82" s="410"/>
      <c r="AC82" s="725">
        <v>0</v>
      </c>
      <c r="AD82" s="410"/>
      <c r="AE82" s="725">
        <v>0</v>
      </c>
      <c r="AF82" s="410"/>
      <c r="AG82" s="725">
        <v>0</v>
      </c>
      <c r="AH82" s="410"/>
      <c r="AI82" s="725">
        <v>0</v>
      </c>
      <c r="AJ82" s="410"/>
      <c r="AK82" s="725">
        <v>0</v>
      </c>
      <c r="AL82" s="410"/>
      <c r="AM82" s="725">
        <v>0</v>
      </c>
      <c r="AN82" s="410"/>
      <c r="AO82" s="725">
        <v>0</v>
      </c>
      <c r="AP82" s="410"/>
      <c r="AQ82" s="725">
        <v>0</v>
      </c>
      <c r="AR82" s="410"/>
      <c r="AS82" s="725">
        <v>0</v>
      </c>
      <c r="AT82" s="410"/>
      <c r="AU82" s="723">
        <v>0</v>
      </c>
      <c r="AV82" s="410"/>
      <c r="AW82" s="725">
        <v>0</v>
      </c>
      <c r="AX82" s="410"/>
      <c r="AY82" s="725">
        <v>0</v>
      </c>
      <c r="AZ82" s="410"/>
      <c r="BA82" s="725">
        <v>0</v>
      </c>
      <c r="BB82" s="410"/>
      <c r="BC82" s="725">
        <v>0</v>
      </c>
      <c r="BD82" s="410"/>
      <c r="BE82" s="536">
        <v>0</v>
      </c>
      <c r="BF82" s="410"/>
      <c r="BG82" s="614">
        <v>0</v>
      </c>
      <c r="BH82" s="410"/>
      <c r="BI82" s="536">
        <v>0</v>
      </c>
      <c r="BJ82" s="410"/>
      <c r="BK82" s="536">
        <v>0</v>
      </c>
      <c r="BL82" s="410"/>
      <c r="BM82" s="536">
        <v>0</v>
      </c>
      <c r="BN82" s="410"/>
      <c r="BO82" s="536">
        <v>0</v>
      </c>
      <c r="BP82" s="410"/>
      <c r="BQ82" s="536">
        <v>0</v>
      </c>
      <c r="BR82" s="410"/>
      <c r="BS82" s="1168">
        <v>0</v>
      </c>
      <c r="BT82" s="410"/>
      <c r="BU82" s="536">
        <v>0</v>
      </c>
      <c r="BV82" s="410"/>
      <c r="BW82" s="191">
        <v>0</v>
      </c>
      <c r="BX82" s="410"/>
      <c r="BY82" s="191">
        <v>0</v>
      </c>
      <c r="BZ82" s="410"/>
      <c r="CA82" s="191">
        <v>0</v>
      </c>
      <c r="CB82" s="410"/>
      <c r="CC82" s="191">
        <v>0</v>
      </c>
      <c r="CD82" s="410"/>
      <c r="CE82" s="191">
        <v>0</v>
      </c>
      <c r="CF82" s="410"/>
      <c r="CG82" s="191">
        <v>0</v>
      </c>
      <c r="CH82" s="410"/>
      <c r="CI82" s="191">
        <v>0</v>
      </c>
      <c r="CJ82" s="410"/>
      <c r="CK82" s="191">
        <v>0</v>
      </c>
      <c r="CL82" s="410"/>
      <c r="CM82" s="191">
        <v>0</v>
      </c>
      <c r="CN82" s="410"/>
      <c r="CO82" s="191">
        <v>0</v>
      </c>
      <c r="CP82" s="410"/>
      <c r="CQ82" s="191">
        <v>0</v>
      </c>
      <c r="CR82" s="410"/>
      <c r="CS82" s="191">
        <v>0</v>
      </c>
      <c r="CT82" s="157"/>
      <c r="CU82" s="191">
        <v>0</v>
      </c>
      <c r="CV82" s="157"/>
      <c r="CW82" s="191">
        <v>0</v>
      </c>
      <c r="CX82" s="157"/>
      <c r="CY82" s="191">
        <v>0</v>
      </c>
      <c r="CZ82" s="157"/>
      <c r="DA82" s="191">
        <v>0</v>
      </c>
      <c r="DB82" s="157"/>
      <c r="DC82" s="191">
        <v>0</v>
      </c>
      <c r="DD82" s="157"/>
      <c r="DE82" s="191">
        <v>0</v>
      </c>
      <c r="DF82" s="157"/>
      <c r="DG82" s="191">
        <v>0</v>
      </c>
      <c r="DH82" s="157"/>
      <c r="DI82" s="191">
        <v>0</v>
      </c>
      <c r="DJ82" s="157"/>
      <c r="DK82" s="191">
        <v>0</v>
      </c>
      <c r="DL82" s="157"/>
      <c r="DM82" s="191">
        <v>0</v>
      </c>
      <c r="DN82" s="157"/>
      <c r="DO82" s="191">
        <v>0</v>
      </c>
      <c r="DP82" s="157"/>
      <c r="DQ82" s="191">
        <v>0</v>
      </c>
      <c r="DR82" s="157"/>
      <c r="DS82" s="191">
        <v>0</v>
      </c>
      <c r="DT82" s="157"/>
      <c r="DU82" s="191">
        <v>0</v>
      </c>
      <c r="DV82" s="157"/>
      <c r="DW82" s="191">
        <v>0</v>
      </c>
      <c r="DX82" s="157"/>
      <c r="DY82" s="191">
        <v>0</v>
      </c>
      <c r="DZ82" s="157"/>
      <c r="EA82" s="191">
        <v>0</v>
      </c>
      <c r="EB82" s="157"/>
      <c r="EC82" s="191">
        <v>0</v>
      </c>
      <c r="ED82" s="157"/>
      <c r="EE82" s="191">
        <v>0</v>
      </c>
      <c r="EF82" s="157"/>
      <c r="EG82" s="191">
        <v>0</v>
      </c>
      <c r="EH82" s="157"/>
      <c r="EI82" s="191">
        <v>0</v>
      </c>
      <c r="EJ82" s="157"/>
      <c r="EK82" s="191">
        <v>406885.06</v>
      </c>
      <c r="EL82" s="157"/>
      <c r="EM82" s="191">
        <v>354448.18</v>
      </c>
      <c r="EN82" s="157"/>
      <c r="EO82" s="191">
        <v>320247.19</v>
      </c>
      <c r="EP82" s="157"/>
      <c r="EQ82" s="191">
        <v>318138.19</v>
      </c>
      <c r="ER82" s="157"/>
      <c r="ES82" s="191">
        <v>325444.37</v>
      </c>
      <c r="ET82" s="157"/>
      <c r="EU82" s="191">
        <v>336973.77</v>
      </c>
      <c r="EV82" s="157"/>
      <c r="EW82" s="191">
        <v>340849.51</v>
      </c>
      <c r="EX82" s="157"/>
      <c r="EY82" s="191">
        <v>342483.91</v>
      </c>
      <c r="EZ82" s="157"/>
      <c r="FA82" s="191">
        <v>324290.09000000003</v>
      </c>
      <c r="FB82" s="157"/>
      <c r="FC82" s="191">
        <v>324476.39</v>
      </c>
      <c r="FD82" s="157"/>
      <c r="FE82" s="191">
        <v>327672.48</v>
      </c>
      <c r="FF82" s="157"/>
      <c r="FG82" s="191">
        <v>320683.95</v>
      </c>
      <c r="FH82" s="157"/>
      <c r="FI82" s="191">
        <v>332320.96999999997</v>
      </c>
      <c r="FJ82" s="157"/>
      <c r="FK82" s="191">
        <v>328787.18</v>
      </c>
      <c r="FL82" s="157"/>
      <c r="FM82" s="191">
        <v>322172.94</v>
      </c>
      <c r="FN82" s="157"/>
      <c r="FO82" s="191">
        <v>334231.46999999997</v>
      </c>
      <c r="FP82" s="157"/>
      <c r="FQ82" s="191">
        <v>315825.48</v>
      </c>
      <c r="FR82" s="157"/>
      <c r="FS82" s="191">
        <v>334226.83</v>
      </c>
      <c r="FT82" s="157"/>
      <c r="FU82" s="191">
        <v>338885.54</v>
      </c>
      <c r="FV82" s="157"/>
      <c r="FW82" s="191">
        <v>349872.31</v>
      </c>
      <c r="FX82" s="157"/>
      <c r="FY82" s="191">
        <v>315698.46000000002</v>
      </c>
      <c r="FZ82" s="157"/>
      <c r="GA82" s="191">
        <v>325030.8</v>
      </c>
      <c r="GB82" s="157"/>
      <c r="GC82" s="191">
        <v>299182.18</v>
      </c>
      <c r="GD82" s="157"/>
      <c r="GE82" s="191">
        <v>301243.84000000003</v>
      </c>
      <c r="GF82" s="157"/>
      <c r="GG82" s="191">
        <v>301639.03999999998</v>
      </c>
      <c r="GH82" s="166"/>
      <c r="GI82" s="191">
        <v>295052.19</v>
      </c>
      <c r="GJ82" s="191"/>
      <c r="GK82" s="191">
        <v>299680.05</v>
      </c>
      <c r="GL82" s="191"/>
      <c r="GM82" s="191">
        <v>300643.90999999997</v>
      </c>
      <c r="GN82" s="191"/>
      <c r="GO82" s="191">
        <v>328278.85000000003</v>
      </c>
      <c r="GP82" s="191"/>
      <c r="GQ82" s="191">
        <v>328961.98</v>
      </c>
      <c r="GR82" s="191"/>
      <c r="GS82" s="162"/>
      <c r="GT82" s="182"/>
      <c r="GU82" s="157"/>
      <c r="GV82" s="157"/>
      <c r="GW82" s="157"/>
      <c r="GX82" s="157"/>
      <c r="GY82" s="157"/>
      <c r="GZ82" s="196"/>
      <c r="HA82" s="197"/>
    </row>
    <row r="83" spans="1:209" ht="14.25" hidden="1" customHeight="1" outlineLevel="1">
      <c r="A83" s="158"/>
      <c r="B83" s="157" t="s">
        <v>344</v>
      </c>
      <c r="C83" s="725">
        <v>0</v>
      </c>
      <c r="D83" s="410"/>
      <c r="E83" s="725">
        <v>0</v>
      </c>
      <c r="F83" s="410"/>
      <c r="G83" s="725">
        <v>0</v>
      </c>
      <c r="H83" s="410"/>
      <c r="I83" s="725">
        <v>0</v>
      </c>
      <c r="J83" s="410"/>
      <c r="K83" s="725">
        <v>0</v>
      </c>
      <c r="L83" s="410"/>
      <c r="M83" s="725">
        <v>0</v>
      </c>
      <c r="N83" s="410"/>
      <c r="O83" s="725">
        <v>0</v>
      </c>
      <c r="P83" s="410"/>
      <c r="Q83" s="725">
        <v>0</v>
      </c>
      <c r="R83" s="410"/>
      <c r="S83" s="725">
        <v>0</v>
      </c>
      <c r="T83" s="410"/>
      <c r="U83" s="725">
        <v>0</v>
      </c>
      <c r="V83" s="410"/>
      <c r="W83" s="723">
        <v>0</v>
      </c>
      <c r="X83" s="410"/>
      <c r="Y83" s="725">
        <v>0</v>
      </c>
      <c r="Z83" s="410"/>
      <c r="AA83" s="725">
        <v>0</v>
      </c>
      <c r="AB83" s="410"/>
      <c r="AC83" s="725">
        <v>0</v>
      </c>
      <c r="AD83" s="410"/>
      <c r="AE83" s="725">
        <v>0</v>
      </c>
      <c r="AF83" s="410"/>
      <c r="AG83" s="725">
        <v>0</v>
      </c>
      <c r="AH83" s="410"/>
      <c r="AI83" s="725">
        <v>0</v>
      </c>
      <c r="AJ83" s="410"/>
      <c r="AK83" s="725">
        <v>0</v>
      </c>
      <c r="AL83" s="410"/>
      <c r="AM83" s="725">
        <v>0</v>
      </c>
      <c r="AN83" s="410"/>
      <c r="AO83" s="725">
        <v>0</v>
      </c>
      <c r="AP83" s="410"/>
      <c r="AQ83" s="725">
        <v>0</v>
      </c>
      <c r="AR83" s="410"/>
      <c r="AS83" s="725">
        <v>0</v>
      </c>
      <c r="AT83" s="410"/>
      <c r="AU83" s="723">
        <v>0</v>
      </c>
      <c r="AV83" s="410"/>
      <c r="AW83" s="725">
        <v>0</v>
      </c>
      <c r="AX83" s="410"/>
      <c r="AY83" s="725">
        <v>0</v>
      </c>
      <c r="AZ83" s="410"/>
      <c r="BA83" s="725">
        <v>0</v>
      </c>
      <c r="BB83" s="410"/>
      <c r="BC83" s="725">
        <v>0</v>
      </c>
      <c r="BD83" s="410"/>
      <c r="BE83" s="536">
        <v>0</v>
      </c>
      <c r="BF83" s="410"/>
      <c r="BG83" s="614">
        <v>0</v>
      </c>
      <c r="BH83" s="410"/>
      <c r="BI83" s="536">
        <v>0</v>
      </c>
      <c r="BJ83" s="410"/>
      <c r="BK83" s="536">
        <v>0</v>
      </c>
      <c r="BL83" s="410"/>
      <c r="BM83" s="536">
        <v>0</v>
      </c>
      <c r="BN83" s="410"/>
      <c r="BO83" s="536">
        <v>0</v>
      </c>
      <c r="BP83" s="410"/>
      <c r="BQ83" s="536">
        <v>0</v>
      </c>
      <c r="BR83" s="410"/>
      <c r="BS83" s="1168">
        <v>0</v>
      </c>
      <c r="BT83" s="410"/>
      <c r="BU83" s="536">
        <v>0</v>
      </c>
      <c r="BV83" s="410"/>
      <c r="BW83" s="191">
        <v>0</v>
      </c>
      <c r="BX83" s="410"/>
      <c r="BY83" s="191">
        <v>0</v>
      </c>
      <c r="BZ83" s="410"/>
      <c r="CA83" s="191">
        <v>0</v>
      </c>
      <c r="CB83" s="410"/>
      <c r="CC83" s="191">
        <v>0</v>
      </c>
      <c r="CD83" s="410"/>
      <c r="CE83" s="191">
        <v>0</v>
      </c>
      <c r="CF83" s="410"/>
      <c r="CG83" s="191">
        <v>0</v>
      </c>
      <c r="CH83" s="410"/>
      <c r="CI83" s="191">
        <v>0</v>
      </c>
      <c r="CJ83" s="410"/>
      <c r="CK83" s="191">
        <v>0</v>
      </c>
      <c r="CL83" s="410"/>
      <c r="CM83" s="191">
        <v>0</v>
      </c>
      <c r="CN83" s="410"/>
      <c r="CO83" s="191">
        <v>0</v>
      </c>
      <c r="CP83" s="410"/>
      <c r="CQ83" s="191">
        <v>0</v>
      </c>
      <c r="CR83" s="410"/>
      <c r="CS83" s="191">
        <v>0</v>
      </c>
      <c r="CT83" s="157"/>
      <c r="CU83" s="191">
        <v>0</v>
      </c>
      <c r="CV83" s="157"/>
      <c r="CW83" s="191">
        <v>0</v>
      </c>
      <c r="CX83" s="157"/>
      <c r="CY83" s="191">
        <v>0</v>
      </c>
      <c r="CZ83" s="157"/>
      <c r="DA83" s="191">
        <v>0</v>
      </c>
      <c r="DB83" s="157"/>
      <c r="DC83" s="191">
        <v>0</v>
      </c>
      <c r="DD83" s="157"/>
      <c r="DE83" s="191">
        <v>0</v>
      </c>
      <c r="DF83" s="157"/>
      <c r="DG83" s="191">
        <v>0</v>
      </c>
      <c r="DH83" s="157"/>
      <c r="DI83" s="191">
        <v>0</v>
      </c>
      <c r="DJ83" s="157"/>
      <c r="DK83" s="191">
        <v>0</v>
      </c>
      <c r="DL83" s="157"/>
      <c r="DM83" s="191">
        <v>0</v>
      </c>
      <c r="DN83" s="157"/>
      <c r="DO83" s="191">
        <v>0</v>
      </c>
      <c r="DP83" s="157"/>
      <c r="DQ83" s="191">
        <v>0</v>
      </c>
      <c r="DR83" s="157"/>
      <c r="DS83" s="191">
        <v>0</v>
      </c>
      <c r="DT83" s="157"/>
      <c r="DU83" s="191">
        <v>0</v>
      </c>
      <c r="DV83" s="157"/>
      <c r="DW83" s="191">
        <v>0</v>
      </c>
      <c r="DX83" s="157"/>
      <c r="DY83" s="191">
        <v>0</v>
      </c>
      <c r="DZ83" s="157"/>
      <c r="EA83" s="191">
        <v>0</v>
      </c>
      <c r="EB83" s="157"/>
      <c r="EC83" s="191">
        <v>0</v>
      </c>
      <c r="ED83" s="157"/>
      <c r="EE83" s="191">
        <v>0</v>
      </c>
      <c r="EF83" s="157"/>
      <c r="EG83" s="191">
        <v>0</v>
      </c>
      <c r="EH83" s="157"/>
      <c r="EI83" s="191">
        <v>0</v>
      </c>
      <c r="EJ83" s="157"/>
      <c r="EK83" s="191">
        <v>0</v>
      </c>
      <c r="EL83" s="157"/>
      <c r="EM83" s="191">
        <v>0</v>
      </c>
      <c r="EN83" s="157"/>
      <c r="EO83" s="191">
        <v>0</v>
      </c>
      <c r="EP83" s="157"/>
      <c r="EQ83" s="191">
        <v>0</v>
      </c>
      <c r="ER83" s="157"/>
      <c r="ES83" s="191">
        <v>0</v>
      </c>
      <c r="ET83" s="157"/>
      <c r="EU83" s="191">
        <v>0</v>
      </c>
      <c r="EV83" s="157"/>
      <c r="EW83" s="191">
        <v>0</v>
      </c>
      <c r="EX83" s="157"/>
      <c r="EY83" s="191">
        <v>0</v>
      </c>
      <c r="EZ83" s="157"/>
      <c r="FA83" s="191">
        <v>0</v>
      </c>
      <c r="FB83" s="157"/>
      <c r="FC83" s="191">
        <v>0</v>
      </c>
      <c r="FD83" s="157"/>
      <c r="FE83" s="191">
        <v>0</v>
      </c>
      <c r="FF83" s="157"/>
      <c r="FG83" s="191">
        <v>0</v>
      </c>
      <c r="FH83" s="157"/>
      <c r="FI83" s="191">
        <v>0</v>
      </c>
      <c r="FJ83" s="157"/>
      <c r="FK83" s="191">
        <v>0</v>
      </c>
      <c r="FL83" s="157"/>
      <c r="FM83" s="191">
        <v>0</v>
      </c>
      <c r="FN83" s="157"/>
      <c r="FO83" s="191">
        <v>0</v>
      </c>
      <c r="FP83" s="157"/>
      <c r="FQ83" s="191">
        <v>7694.44</v>
      </c>
      <c r="FR83" s="157"/>
      <c r="FS83" s="191">
        <v>0</v>
      </c>
      <c r="FT83" s="157"/>
      <c r="FU83" s="191">
        <v>1488296</v>
      </c>
      <c r="FV83" s="157"/>
      <c r="FW83" s="191">
        <v>1421821.01</v>
      </c>
      <c r="FX83" s="157"/>
      <c r="FY83" s="191">
        <v>1351019.55</v>
      </c>
      <c r="FZ83" s="157"/>
      <c r="GA83" s="191">
        <v>1388063.77</v>
      </c>
      <c r="GB83" s="157"/>
      <c r="GC83" s="191">
        <v>1277974.75</v>
      </c>
      <c r="GD83" s="157"/>
      <c r="GE83" s="191">
        <v>1246879.68</v>
      </c>
      <c r="GF83" s="157"/>
      <c r="GG83" s="191">
        <v>1222171.3999999999</v>
      </c>
      <c r="GH83" s="166"/>
      <c r="GI83" s="191">
        <v>1208413.8899999999</v>
      </c>
      <c r="GJ83" s="191"/>
      <c r="GK83" s="191">
        <v>1208234.8999999999</v>
      </c>
      <c r="GL83" s="191"/>
      <c r="GM83" s="191">
        <v>1253807.96</v>
      </c>
      <c r="GN83" s="191"/>
      <c r="GO83" s="191">
        <v>1382247.49</v>
      </c>
      <c r="GP83" s="191"/>
      <c r="GQ83" s="191">
        <v>1416267.44</v>
      </c>
      <c r="GR83" s="191"/>
      <c r="GS83" s="162"/>
      <c r="GT83" s="165"/>
      <c r="GU83" s="157"/>
      <c r="GV83" s="157"/>
      <c r="GW83" s="157"/>
      <c r="GX83" s="157"/>
      <c r="GY83" s="157"/>
      <c r="GZ83" s="196"/>
      <c r="HA83" s="197"/>
    </row>
    <row r="84" spans="1:209" ht="14.25" hidden="1" customHeight="1" outlineLevel="1">
      <c r="A84" s="158"/>
      <c r="B84" s="157" t="s">
        <v>345</v>
      </c>
      <c r="C84" s="725">
        <v>0</v>
      </c>
      <c r="D84" s="410"/>
      <c r="E84" s="725">
        <v>0</v>
      </c>
      <c r="F84" s="410"/>
      <c r="G84" s="725">
        <v>0</v>
      </c>
      <c r="H84" s="410"/>
      <c r="I84" s="725">
        <v>0</v>
      </c>
      <c r="J84" s="410"/>
      <c r="K84" s="725">
        <v>0</v>
      </c>
      <c r="L84" s="410"/>
      <c r="M84" s="725">
        <v>0</v>
      </c>
      <c r="N84" s="410"/>
      <c r="O84" s="725">
        <v>0</v>
      </c>
      <c r="P84" s="410"/>
      <c r="Q84" s="725">
        <v>0</v>
      </c>
      <c r="R84" s="410"/>
      <c r="S84" s="725">
        <v>0</v>
      </c>
      <c r="T84" s="410"/>
      <c r="U84" s="725">
        <v>0</v>
      </c>
      <c r="V84" s="410"/>
      <c r="W84" s="723">
        <v>0</v>
      </c>
      <c r="X84" s="410"/>
      <c r="Y84" s="725">
        <v>0</v>
      </c>
      <c r="Z84" s="410"/>
      <c r="AA84" s="725">
        <v>0</v>
      </c>
      <c r="AB84" s="410"/>
      <c r="AC84" s="725">
        <v>0</v>
      </c>
      <c r="AD84" s="410"/>
      <c r="AE84" s="725">
        <v>0</v>
      </c>
      <c r="AF84" s="410"/>
      <c r="AG84" s="725">
        <v>0</v>
      </c>
      <c r="AH84" s="410"/>
      <c r="AI84" s="725">
        <v>0</v>
      </c>
      <c r="AJ84" s="410"/>
      <c r="AK84" s="725">
        <v>0</v>
      </c>
      <c r="AL84" s="410"/>
      <c r="AM84" s="725">
        <v>0</v>
      </c>
      <c r="AN84" s="410"/>
      <c r="AO84" s="725">
        <v>0</v>
      </c>
      <c r="AP84" s="410"/>
      <c r="AQ84" s="725">
        <v>0</v>
      </c>
      <c r="AR84" s="410"/>
      <c r="AS84" s="725">
        <v>0</v>
      </c>
      <c r="AT84" s="410"/>
      <c r="AU84" s="723">
        <v>0</v>
      </c>
      <c r="AV84" s="410"/>
      <c r="AW84" s="725">
        <v>0</v>
      </c>
      <c r="AX84" s="410"/>
      <c r="AY84" s="725">
        <v>0</v>
      </c>
      <c r="AZ84" s="410"/>
      <c r="BA84" s="725">
        <v>0</v>
      </c>
      <c r="BB84" s="410"/>
      <c r="BC84" s="725">
        <v>0</v>
      </c>
      <c r="BD84" s="410"/>
      <c r="BE84" s="536">
        <v>0</v>
      </c>
      <c r="BF84" s="410"/>
      <c r="BG84" s="614">
        <v>0</v>
      </c>
      <c r="BH84" s="410"/>
      <c r="BI84" s="536">
        <v>0</v>
      </c>
      <c r="BJ84" s="410"/>
      <c r="BK84" s="536">
        <v>0</v>
      </c>
      <c r="BL84" s="410"/>
      <c r="BM84" s="536">
        <v>0</v>
      </c>
      <c r="BN84" s="410"/>
      <c r="BO84" s="536">
        <v>0</v>
      </c>
      <c r="BP84" s="410"/>
      <c r="BQ84" s="536">
        <v>0</v>
      </c>
      <c r="BR84" s="410"/>
      <c r="BS84" s="1168">
        <v>0</v>
      </c>
      <c r="BT84" s="410"/>
      <c r="BU84" s="536">
        <v>0</v>
      </c>
      <c r="BV84" s="410"/>
      <c r="BW84" s="191">
        <v>0</v>
      </c>
      <c r="BX84" s="410"/>
      <c r="BY84" s="191">
        <v>0</v>
      </c>
      <c r="BZ84" s="410"/>
      <c r="CA84" s="191">
        <v>0</v>
      </c>
      <c r="CB84" s="410"/>
      <c r="CC84" s="191">
        <v>0</v>
      </c>
      <c r="CD84" s="410"/>
      <c r="CE84" s="191">
        <v>0</v>
      </c>
      <c r="CF84" s="410"/>
      <c r="CG84" s="191">
        <v>0</v>
      </c>
      <c r="CH84" s="410"/>
      <c r="CI84" s="191">
        <v>0</v>
      </c>
      <c r="CJ84" s="410"/>
      <c r="CK84" s="191">
        <v>0</v>
      </c>
      <c r="CL84" s="410"/>
      <c r="CM84" s="191">
        <v>0</v>
      </c>
      <c r="CN84" s="410"/>
      <c r="CO84" s="191">
        <v>0</v>
      </c>
      <c r="CP84" s="410"/>
      <c r="CQ84" s="191">
        <v>0</v>
      </c>
      <c r="CR84" s="410"/>
      <c r="CS84" s="191">
        <v>0</v>
      </c>
      <c r="CT84" s="157"/>
      <c r="CU84" s="191">
        <v>0</v>
      </c>
      <c r="CV84" s="157"/>
      <c r="CW84" s="191">
        <v>0</v>
      </c>
      <c r="CX84" s="157"/>
      <c r="CY84" s="191">
        <v>0</v>
      </c>
      <c r="CZ84" s="157"/>
      <c r="DA84" s="191">
        <v>0</v>
      </c>
      <c r="DB84" s="157"/>
      <c r="DC84" s="191">
        <v>0</v>
      </c>
      <c r="DD84" s="157"/>
      <c r="DE84" s="191">
        <v>0</v>
      </c>
      <c r="DF84" s="157"/>
      <c r="DG84" s="191">
        <v>0</v>
      </c>
      <c r="DH84" s="157"/>
      <c r="DI84" s="191">
        <v>0</v>
      </c>
      <c r="DJ84" s="157"/>
      <c r="DK84" s="191">
        <v>0</v>
      </c>
      <c r="DL84" s="157"/>
      <c r="DM84" s="191">
        <v>0</v>
      </c>
      <c r="DN84" s="157"/>
      <c r="DO84" s="191">
        <v>0</v>
      </c>
      <c r="DP84" s="157"/>
      <c r="DQ84" s="191">
        <v>0</v>
      </c>
      <c r="DR84" s="157"/>
      <c r="DS84" s="191">
        <v>0</v>
      </c>
      <c r="DT84" s="157"/>
      <c r="DU84" s="191">
        <v>0</v>
      </c>
      <c r="DV84" s="157"/>
      <c r="DW84" s="191">
        <v>0</v>
      </c>
      <c r="DX84" s="157"/>
      <c r="DY84" s="191">
        <v>0</v>
      </c>
      <c r="DZ84" s="157"/>
      <c r="EA84" s="191">
        <v>1708635.5970899998</v>
      </c>
      <c r="EB84" s="157"/>
      <c r="EC84" s="191">
        <v>1746126.91</v>
      </c>
      <c r="ED84" s="157"/>
      <c r="EE84" s="191">
        <v>1762561.5399999998</v>
      </c>
      <c r="EF84" s="157"/>
      <c r="EG84" s="191">
        <v>1774192.4107986912</v>
      </c>
      <c r="EH84" s="157"/>
      <c r="EI84" s="191">
        <v>1862939.92</v>
      </c>
      <c r="EJ84" s="157"/>
      <c r="EK84" s="191">
        <v>1786649.09</v>
      </c>
      <c r="EL84" s="157"/>
      <c r="EM84" s="191">
        <v>1610707.25</v>
      </c>
      <c r="EN84" s="157"/>
      <c r="EO84" s="191">
        <v>1483280.54</v>
      </c>
      <c r="EP84" s="157"/>
      <c r="EQ84" s="191">
        <v>1423900.34</v>
      </c>
      <c r="ER84" s="157"/>
      <c r="ES84" s="191">
        <v>1407705.6</v>
      </c>
      <c r="ET84" s="157"/>
      <c r="EU84" s="191">
        <v>1399813.27</v>
      </c>
      <c r="EV84" s="157"/>
      <c r="EW84" s="191">
        <v>1391150</v>
      </c>
      <c r="EX84" s="157"/>
      <c r="EY84" s="191">
        <v>1434114.06</v>
      </c>
      <c r="EZ84" s="157"/>
      <c r="FA84" s="191">
        <v>1423562.46</v>
      </c>
      <c r="FB84" s="157"/>
      <c r="FC84" s="191">
        <v>1414871.91</v>
      </c>
      <c r="FD84" s="157"/>
      <c r="FE84" s="191">
        <v>1407592.78</v>
      </c>
      <c r="FF84" s="157"/>
      <c r="FG84" s="191">
        <v>1498231.06</v>
      </c>
      <c r="FH84" s="157"/>
      <c r="FI84" s="191">
        <v>1380700</v>
      </c>
      <c r="FJ84" s="157"/>
      <c r="FK84" s="191">
        <v>1504798.69</v>
      </c>
      <c r="FL84" s="157"/>
      <c r="FM84" s="191">
        <v>1496953.98</v>
      </c>
      <c r="FN84" s="157"/>
      <c r="FO84" s="191">
        <v>1415642.94</v>
      </c>
      <c r="FP84" s="157"/>
      <c r="FQ84" s="191">
        <v>1406795.46</v>
      </c>
      <c r="FR84" s="157"/>
      <c r="FS84" s="191">
        <v>1399615.61</v>
      </c>
      <c r="FT84" s="157"/>
      <c r="FU84" s="191">
        <v>1391150</v>
      </c>
      <c r="FV84" s="157"/>
      <c r="FW84" s="191">
        <v>1432702.19</v>
      </c>
      <c r="FX84" s="157"/>
      <c r="FY84" s="191">
        <v>1421013.66</v>
      </c>
      <c r="FZ84" s="157"/>
      <c r="GA84" s="191">
        <v>1395678.71</v>
      </c>
      <c r="GB84" s="157"/>
      <c r="GC84" s="191">
        <v>1285024.4099999999</v>
      </c>
      <c r="GD84" s="157"/>
      <c r="GE84" s="191">
        <v>1253797.24</v>
      </c>
      <c r="GF84" s="157"/>
      <c r="GG84" s="191">
        <v>1185769.81</v>
      </c>
      <c r="GH84" s="166"/>
      <c r="GI84" s="191">
        <v>1205143.3999999999</v>
      </c>
      <c r="GJ84" s="191"/>
      <c r="GK84" s="191">
        <v>1204948.29</v>
      </c>
      <c r="GL84" s="191"/>
      <c r="GM84" s="191">
        <v>1250378.1000000001</v>
      </c>
      <c r="GN84" s="191"/>
      <c r="GO84" s="191">
        <v>1378444.78</v>
      </c>
      <c r="GP84" s="191"/>
      <c r="GQ84" s="191">
        <v>1412349.58</v>
      </c>
      <c r="GR84" s="191"/>
      <c r="GS84" s="162"/>
      <c r="GT84" s="165"/>
      <c r="GU84" s="157"/>
      <c r="GV84" s="157"/>
      <c r="GW84" s="157"/>
      <c r="GX84" s="157"/>
      <c r="GY84" s="157"/>
      <c r="GZ84" s="196"/>
      <c r="HA84" s="197"/>
    </row>
    <row r="85" spans="1:209" ht="14.25" hidden="1" customHeight="1" outlineLevel="1">
      <c r="A85" s="158"/>
      <c r="B85" s="157" t="s">
        <v>346</v>
      </c>
      <c r="C85" s="725">
        <v>0</v>
      </c>
      <c r="D85" s="410"/>
      <c r="E85" s="725">
        <v>0</v>
      </c>
      <c r="F85" s="410"/>
      <c r="G85" s="725">
        <v>0</v>
      </c>
      <c r="H85" s="410"/>
      <c r="I85" s="725">
        <v>0</v>
      </c>
      <c r="J85" s="410"/>
      <c r="K85" s="725">
        <v>0</v>
      </c>
      <c r="L85" s="410"/>
      <c r="M85" s="725">
        <v>0</v>
      </c>
      <c r="N85" s="410"/>
      <c r="O85" s="725">
        <v>0</v>
      </c>
      <c r="P85" s="410"/>
      <c r="Q85" s="725">
        <v>0</v>
      </c>
      <c r="R85" s="410"/>
      <c r="S85" s="725">
        <v>0</v>
      </c>
      <c r="T85" s="410"/>
      <c r="U85" s="725">
        <v>0</v>
      </c>
      <c r="V85" s="410"/>
      <c r="W85" s="723">
        <v>0</v>
      </c>
      <c r="X85" s="410"/>
      <c r="Y85" s="725">
        <v>0</v>
      </c>
      <c r="Z85" s="410"/>
      <c r="AA85" s="725">
        <v>0</v>
      </c>
      <c r="AB85" s="410"/>
      <c r="AC85" s="725">
        <v>0</v>
      </c>
      <c r="AD85" s="410"/>
      <c r="AE85" s="725">
        <v>0</v>
      </c>
      <c r="AF85" s="410"/>
      <c r="AG85" s="725">
        <v>0</v>
      </c>
      <c r="AH85" s="410"/>
      <c r="AI85" s="725">
        <v>0</v>
      </c>
      <c r="AJ85" s="410"/>
      <c r="AK85" s="725">
        <v>0</v>
      </c>
      <c r="AL85" s="410"/>
      <c r="AM85" s="725">
        <v>0</v>
      </c>
      <c r="AN85" s="410"/>
      <c r="AO85" s="725">
        <v>0</v>
      </c>
      <c r="AP85" s="410"/>
      <c r="AQ85" s="725">
        <v>0</v>
      </c>
      <c r="AR85" s="410"/>
      <c r="AS85" s="725">
        <v>0</v>
      </c>
      <c r="AT85" s="410"/>
      <c r="AU85" s="723">
        <v>0</v>
      </c>
      <c r="AV85" s="410"/>
      <c r="AW85" s="725">
        <v>0</v>
      </c>
      <c r="AX85" s="410"/>
      <c r="AY85" s="725">
        <v>0</v>
      </c>
      <c r="AZ85" s="410"/>
      <c r="BA85" s="725">
        <v>0</v>
      </c>
      <c r="BB85" s="410"/>
      <c r="BC85" s="725">
        <v>0</v>
      </c>
      <c r="BD85" s="410"/>
      <c r="BE85" s="536">
        <v>0</v>
      </c>
      <c r="BF85" s="410"/>
      <c r="BG85" s="614">
        <v>0</v>
      </c>
      <c r="BH85" s="410"/>
      <c r="BI85" s="536">
        <v>0</v>
      </c>
      <c r="BJ85" s="410"/>
      <c r="BK85" s="536">
        <v>0</v>
      </c>
      <c r="BL85" s="410"/>
      <c r="BM85" s="536">
        <v>0</v>
      </c>
      <c r="BN85" s="410"/>
      <c r="BO85" s="536">
        <v>0</v>
      </c>
      <c r="BP85" s="410"/>
      <c r="BQ85" s="536">
        <v>0</v>
      </c>
      <c r="BR85" s="410"/>
      <c r="BS85" s="1168">
        <v>0</v>
      </c>
      <c r="BT85" s="410"/>
      <c r="BU85" s="536">
        <v>0</v>
      </c>
      <c r="BV85" s="410"/>
      <c r="BW85" s="191">
        <v>0</v>
      </c>
      <c r="BX85" s="410"/>
      <c r="BY85" s="191">
        <v>0</v>
      </c>
      <c r="BZ85" s="410"/>
      <c r="CA85" s="191">
        <v>0</v>
      </c>
      <c r="CB85" s="410"/>
      <c r="CC85" s="191">
        <v>0</v>
      </c>
      <c r="CD85" s="410"/>
      <c r="CE85" s="191">
        <v>0</v>
      </c>
      <c r="CF85" s="410"/>
      <c r="CG85" s="191">
        <v>0</v>
      </c>
      <c r="CH85" s="410"/>
      <c r="CI85" s="191">
        <v>0</v>
      </c>
      <c r="CJ85" s="410"/>
      <c r="CK85" s="191">
        <v>0</v>
      </c>
      <c r="CL85" s="410"/>
      <c r="CM85" s="191">
        <v>0</v>
      </c>
      <c r="CN85" s="410"/>
      <c r="CO85" s="191">
        <v>0</v>
      </c>
      <c r="CP85" s="410"/>
      <c r="CQ85" s="191">
        <v>0</v>
      </c>
      <c r="CR85" s="410"/>
      <c r="CS85" s="191">
        <v>0</v>
      </c>
      <c r="CT85" s="157"/>
      <c r="CU85" s="191">
        <v>0</v>
      </c>
      <c r="CV85" s="157"/>
      <c r="CW85" s="191">
        <v>0</v>
      </c>
      <c r="CX85" s="157"/>
      <c r="CY85" s="191">
        <v>0</v>
      </c>
      <c r="CZ85" s="157"/>
      <c r="DA85" s="191">
        <v>0</v>
      </c>
      <c r="DB85" s="157"/>
      <c r="DC85" s="191">
        <v>0</v>
      </c>
      <c r="DD85" s="157"/>
      <c r="DE85" s="191">
        <v>0</v>
      </c>
      <c r="DF85" s="157"/>
      <c r="DG85" s="191">
        <v>0</v>
      </c>
      <c r="DH85" s="157"/>
      <c r="DI85" s="191">
        <v>0</v>
      </c>
      <c r="DJ85" s="157"/>
      <c r="DK85" s="191">
        <v>0</v>
      </c>
      <c r="DL85" s="157"/>
      <c r="DM85" s="191">
        <v>0</v>
      </c>
      <c r="DN85" s="157"/>
      <c r="DO85" s="191">
        <v>0</v>
      </c>
      <c r="DP85" s="157"/>
      <c r="DQ85" s="191">
        <v>0</v>
      </c>
      <c r="DR85" s="157"/>
      <c r="DS85" s="191">
        <v>0</v>
      </c>
      <c r="DT85" s="157"/>
      <c r="DU85" s="191">
        <v>0</v>
      </c>
      <c r="DV85" s="157"/>
      <c r="DW85" s="191">
        <v>0</v>
      </c>
      <c r="DX85" s="157"/>
      <c r="DY85" s="191">
        <v>0</v>
      </c>
      <c r="DZ85" s="157"/>
      <c r="EA85" s="191">
        <v>0</v>
      </c>
      <c r="EB85" s="157"/>
      <c r="EC85" s="191">
        <v>0</v>
      </c>
      <c r="ED85" s="157"/>
      <c r="EE85" s="191">
        <v>0</v>
      </c>
      <c r="EF85" s="157"/>
      <c r="EG85" s="191">
        <v>0</v>
      </c>
      <c r="EH85" s="157"/>
      <c r="EI85" s="191">
        <v>0</v>
      </c>
      <c r="EJ85" s="157"/>
      <c r="EK85" s="191">
        <v>0</v>
      </c>
      <c r="EL85" s="157"/>
      <c r="EM85" s="191">
        <v>0</v>
      </c>
      <c r="EN85" s="157"/>
      <c r="EO85" s="191">
        <v>0</v>
      </c>
      <c r="EP85" s="157"/>
      <c r="EQ85" s="191">
        <v>0</v>
      </c>
      <c r="ER85" s="157"/>
      <c r="ES85" s="191">
        <v>1043861.72</v>
      </c>
      <c r="ET85" s="157"/>
      <c r="EU85" s="191">
        <v>1035231.58</v>
      </c>
      <c r="EV85" s="157"/>
      <c r="EW85" s="191">
        <v>1026313.77</v>
      </c>
      <c r="EX85" s="157"/>
      <c r="EY85" s="191">
        <v>1017683.63</v>
      </c>
      <c r="EZ85" s="157"/>
      <c r="FA85" s="191">
        <v>1008765.82</v>
      </c>
      <c r="FB85" s="157"/>
      <c r="FC85" s="191">
        <v>999848.01</v>
      </c>
      <c r="FD85" s="157"/>
      <c r="FE85" s="191">
        <v>1043286.37</v>
      </c>
      <c r="FF85" s="157"/>
      <c r="FG85" s="191">
        <v>1034368.56</v>
      </c>
      <c r="FH85" s="157"/>
      <c r="FI85" s="191">
        <v>1025738.42</v>
      </c>
      <c r="FJ85" s="157"/>
      <c r="FK85" s="191">
        <v>1016820.61</v>
      </c>
      <c r="FL85" s="157"/>
      <c r="FM85" s="191">
        <v>1008765.82</v>
      </c>
      <c r="FN85" s="157"/>
      <c r="FO85" s="191">
        <v>999848.01</v>
      </c>
      <c r="FP85" s="157"/>
      <c r="FQ85" s="191">
        <v>1043861.72</v>
      </c>
      <c r="FR85" s="157"/>
      <c r="FS85" s="191">
        <v>1035231.58</v>
      </c>
      <c r="FT85" s="157"/>
      <c r="FU85" s="191">
        <v>1026313.77</v>
      </c>
      <c r="FV85" s="157"/>
      <c r="FW85" s="191">
        <v>1017683.63</v>
      </c>
      <c r="FX85" s="157"/>
      <c r="FY85" s="191">
        <v>1008765.82</v>
      </c>
      <c r="FZ85" s="157"/>
      <c r="GA85" s="191">
        <v>999848.01</v>
      </c>
      <c r="GB85" s="157"/>
      <c r="GC85" s="191">
        <v>1043286.36</v>
      </c>
      <c r="GD85" s="157"/>
      <c r="GE85" s="191">
        <v>1034368.55</v>
      </c>
      <c r="GF85" s="157"/>
      <c r="GG85" s="191">
        <v>1025738.41</v>
      </c>
      <c r="GH85" s="166"/>
      <c r="GI85" s="191">
        <v>1016820.6</v>
      </c>
      <c r="GJ85" s="191"/>
      <c r="GK85" s="191">
        <v>1008765.81</v>
      </c>
      <c r="GL85" s="191"/>
      <c r="GM85" s="191">
        <v>999848</v>
      </c>
      <c r="GN85" s="191"/>
      <c r="GO85" s="191">
        <v>1043861.71</v>
      </c>
      <c r="GP85" s="191"/>
      <c r="GQ85" s="191">
        <v>1035231.57</v>
      </c>
      <c r="GR85" s="191"/>
      <c r="GS85" s="162"/>
      <c r="GT85" s="170"/>
      <c r="GU85" s="157"/>
      <c r="GV85" s="157"/>
      <c r="GW85" s="157"/>
      <c r="GX85" s="157"/>
      <c r="GY85" s="157"/>
      <c r="GZ85" s="196" t="s">
        <v>347</v>
      </c>
      <c r="HA85" s="197">
        <v>295231.36515712604</v>
      </c>
    </row>
    <row r="86" spans="1:209" ht="14.25" hidden="1" customHeight="1" outlineLevel="1">
      <c r="A86" s="158"/>
      <c r="B86" s="157" t="s">
        <v>348</v>
      </c>
      <c r="C86" s="725">
        <v>0</v>
      </c>
      <c r="D86" s="410"/>
      <c r="E86" s="725">
        <v>0</v>
      </c>
      <c r="F86" s="410"/>
      <c r="G86" s="725">
        <v>0</v>
      </c>
      <c r="H86" s="410"/>
      <c r="I86" s="725">
        <v>0</v>
      </c>
      <c r="J86" s="410"/>
      <c r="K86" s="725">
        <v>0</v>
      </c>
      <c r="L86" s="410"/>
      <c r="M86" s="725">
        <v>0</v>
      </c>
      <c r="N86" s="410"/>
      <c r="O86" s="725">
        <v>0</v>
      </c>
      <c r="P86" s="410"/>
      <c r="Q86" s="725">
        <v>0</v>
      </c>
      <c r="R86" s="410"/>
      <c r="S86" s="725">
        <v>0</v>
      </c>
      <c r="T86" s="410"/>
      <c r="U86" s="725">
        <v>0</v>
      </c>
      <c r="V86" s="410"/>
      <c r="W86" s="723">
        <v>0</v>
      </c>
      <c r="X86" s="410"/>
      <c r="Y86" s="725">
        <v>0</v>
      </c>
      <c r="Z86" s="410"/>
      <c r="AA86" s="725">
        <v>0</v>
      </c>
      <c r="AB86" s="410"/>
      <c r="AC86" s="725">
        <v>0</v>
      </c>
      <c r="AD86" s="410"/>
      <c r="AE86" s="725">
        <v>0</v>
      </c>
      <c r="AF86" s="410"/>
      <c r="AG86" s="725">
        <v>0</v>
      </c>
      <c r="AH86" s="410"/>
      <c r="AI86" s="725">
        <v>0</v>
      </c>
      <c r="AJ86" s="410"/>
      <c r="AK86" s="725">
        <v>0</v>
      </c>
      <c r="AL86" s="410"/>
      <c r="AM86" s="725">
        <v>0</v>
      </c>
      <c r="AN86" s="410"/>
      <c r="AO86" s="725">
        <v>0</v>
      </c>
      <c r="AP86" s="410"/>
      <c r="AQ86" s="725">
        <v>0</v>
      </c>
      <c r="AR86" s="410"/>
      <c r="AS86" s="725">
        <v>0</v>
      </c>
      <c r="AT86" s="410"/>
      <c r="AU86" s="723">
        <v>0</v>
      </c>
      <c r="AV86" s="410"/>
      <c r="AW86" s="725">
        <v>0</v>
      </c>
      <c r="AX86" s="410"/>
      <c r="AY86" s="725">
        <v>0</v>
      </c>
      <c r="AZ86" s="410"/>
      <c r="BA86" s="725">
        <v>0</v>
      </c>
      <c r="BB86" s="410"/>
      <c r="BC86" s="725">
        <v>0</v>
      </c>
      <c r="BD86" s="410"/>
      <c r="BE86" s="198">
        <v>0</v>
      </c>
      <c r="BF86" s="410"/>
      <c r="BG86" s="198">
        <v>0</v>
      </c>
      <c r="BH86" s="410"/>
      <c r="BI86" s="198">
        <v>0</v>
      </c>
      <c r="BJ86" s="410"/>
      <c r="BK86" s="198">
        <v>0</v>
      </c>
      <c r="BL86" s="410"/>
      <c r="BM86" s="198">
        <v>0</v>
      </c>
      <c r="BN86" s="410"/>
      <c r="BO86" s="198">
        <v>0</v>
      </c>
      <c r="BP86" s="410"/>
      <c r="BQ86" s="198">
        <v>0</v>
      </c>
      <c r="BR86" s="410"/>
      <c r="BS86" s="547">
        <v>0</v>
      </c>
      <c r="BT86" s="410"/>
      <c r="BU86" s="198">
        <v>0</v>
      </c>
      <c r="BV86" s="410"/>
      <c r="BW86" s="198">
        <v>0</v>
      </c>
      <c r="BX86" s="410"/>
      <c r="BY86" s="198">
        <v>0</v>
      </c>
      <c r="BZ86" s="410"/>
      <c r="CA86" s="198">
        <v>0</v>
      </c>
      <c r="CB86" s="410"/>
      <c r="CC86" s="198">
        <v>0</v>
      </c>
      <c r="CD86" s="410"/>
      <c r="CE86" s="198">
        <v>0</v>
      </c>
      <c r="CF86" s="410"/>
      <c r="CG86" s="536">
        <v>0</v>
      </c>
      <c r="CH86" s="410"/>
      <c r="CI86" s="191">
        <v>0</v>
      </c>
      <c r="CJ86" s="410"/>
      <c r="CK86" s="191">
        <v>0</v>
      </c>
      <c r="CL86" s="410"/>
      <c r="CM86" s="191">
        <v>0</v>
      </c>
      <c r="CN86" s="410"/>
      <c r="CO86" s="191">
        <v>0</v>
      </c>
      <c r="CP86" s="410"/>
      <c r="CQ86" s="191">
        <v>0</v>
      </c>
      <c r="CR86" s="410"/>
      <c r="CS86" s="191">
        <v>0</v>
      </c>
      <c r="CT86" s="157"/>
      <c r="CU86" s="191">
        <v>0</v>
      </c>
      <c r="CV86" s="157"/>
      <c r="CW86" s="191">
        <v>0</v>
      </c>
      <c r="CX86" s="157"/>
      <c r="CY86" s="191">
        <v>0</v>
      </c>
      <c r="CZ86" s="157"/>
      <c r="DA86" s="191">
        <v>0</v>
      </c>
      <c r="DB86" s="157"/>
      <c r="DC86" s="191">
        <v>0</v>
      </c>
      <c r="DD86" s="157"/>
      <c r="DE86" s="191">
        <v>0</v>
      </c>
      <c r="DF86" s="157"/>
      <c r="DG86" s="191">
        <v>0</v>
      </c>
      <c r="DH86" s="157"/>
      <c r="DI86" s="191">
        <v>0</v>
      </c>
      <c r="DJ86" s="157"/>
      <c r="DK86" s="191">
        <v>0</v>
      </c>
      <c r="DL86" s="157"/>
      <c r="DM86" s="191">
        <v>0</v>
      </c>
      <c r="DN86" s="157"/>
      <c r="DO86" s="191">
        <v>0</v>
      </c>
      <c r="DP86" s="157"/>
      <c r="DQ86" s="191">
        <v>0</v>
      </c>
      <c r="DR86" s="157"/>
      <c r="DS86" s="191">
        <v>0</v>
      </c>
      <c r="DT86" s="157"/>
      <c r="DU86" s="191">
        <v>0</v>
      </c>
      <c r="DV86" s="157"/>
      <c r="DW86" s="191">
        <v>0</v>
      </c>
      <c r="DX86" s="157"/>
      <c r="DY86" s="191">
        <v>0</v>
      </c>
      <c r="DZ86" s="157"/>
      <c r="EA86" s="191">
        <v>0</v>
      </c>
      <c r="EB86" s="157"/>
      <c r="EC86" s="191">
        <v>0</v>
      </c>
      <c r="ED86" s="157"/>
      <c r="EE86" s="191">
        <v>0</v>
      </c>
      <c r="EF86" s="157"/>
      <c r="EG86" s="191">
        <v>0</v>
      </c>
      <c r="EH86" s="157"/>
      <c r="EI86" s="191">
        <v>0</v>
      </c>
      <c r="EJ86" s="157"/>
      <c r="EK86" s="191">
        <v>0</v>
      </c>
      <c r="EL86" s="157"/>
      <c r="EM86" s="191">
        <v>0</v>
      </c>
      <c r="EN86" s="157"/>
      <c r="EO86" s="191">
        <v>0</v>
      </c>
      <c r="EP86" s="157"/>
      <c r="EQ86" s="191">
        <v>0</v>
      </c>
      <c r="ER86" s="157"/>
      <c r="ES86" s="191">
        <v>0</v>
      </c>
      <c r="ET86" s="157"/>
      <c r="EU86" s="191">
        <v>0</v>
      </c>
      <c r="EV86" s="157"/>
      <c r="EW86" s="191">
        <v>0</v>
      </c>
      <c r="EX86" s="157"/>
      <c r="EY86" s="191">
        <v>0</v>
      </c>
      <c r="EZ86" s="157"/>
      <c r="FA86" s="191">
        <v>0</v>
      </c>
      <c r="FB86" s="157"/>
      <c r="FC86" s="191">
        <v>0</v>
      </c>
      <c r="FD86" s="157"/>
      <c r="FE86" s="191">
        <v>0</v>
      </c>
      <c r="FF86" s="157"/>
      <c r="FG86" s="191">
        <v>0</v>
      </c>
      <c r="FH86" s="157"/>
      <c r="FI86" s="191">
        <v>0</v>
      </c>
      <c r="FJ86" s="157"/>
      <c r="FK86" s="191">
        <v>0</v>
      </c>
      <c r="FL86" s="157"/>
      <c r="FM86" s="191">
        <v>0</v>
      </c>
      <c r="FN86" s="157"/>
      <c r="FO86" s="191">
        <v>0</v>
      </c>
      <c r="FP86" s="157"/>
      <c r="FQ86" s="191">
        <v>0</v>
      </c>
      <c r="FR86" s="157"/>
      <c r="FS86" s="191">
        <v>2570089.06</v>
      </c>
      <c r="FT86" s="157"/>
      <c r="FU86" s="191">
        <v>2548856.1800000002</v>
      </c>
      <c r="FV86" s="157"/>
      <c r="FW86" s="191">
        <v>2528308.23</v>
      </c>
      <c r="FX86" s="157"/>
      <c r="FY86" s="191">
        <v>1017760.28</v>
      </c>
      <c r="FZ86" s="157"/>
      <c r="GA86" s="191">
        <v>1009267.13</v>
      </c>
      <c r="GB86" s="157"/>
      <c r="GC86" s="191">
        <v>1000842.47</v>
      </c>
      <c r="GD86" s="157"/>
      <c r="GE86" s="179">
        <v>0</v>
      </c>
      <c r="GF86" s="157"/>
      <c r="GG86" s="179">
        <v>0</v>
      </c>
      <c r="GH86" s="166"/>
      <c r="GI86" s="179">
        <v>0</v>
      </c>
      <c r="GJ86" s="191"/>
      <c r="GK86" s="191">
        <v>509969.18</v>
      </c>
      <c r="GL86" s="191"/>
      <c r="GM86" s="191">
        <v>757231.17</v>
      </c>
      <c r="GN86" s="191"/>
      <c r="GO86" s="191">
        <v>501263.7</v>
      </c>
      <c r="GP86" s="191"/>
      <c r="GQ86" s="191"/>
      <c r="GR86" s="191"/>
      <c r="GS86" s="162"/>
      <c r="GT86" s="182"/>
      <c r="GU86" s="157"/>
      <c r="GV86" s="157"/>
      <c r="GW86" s="157"/>
      <c r="GX86" s="157"/>
      <c r="GY86" s="157"/>
      <c r="GZ86" s="157"/>
      <c r="HA86" s="157"/>
    </row>
    <row r="87" spans="1:209" ht="14.25" hidden="1" customHeight="1" outlineLevel="1">
      <c r="A87" s="158"/>
      <c r="B87" s="157" t="s">
        <v>349</v>
      </c>
      <c r="C87" s="725">
        <v>0</v>
      </c>
      <c r="D87" s="410"/>
      <c r="E87" s="725">
        <v>0</v>
      </c>
      <c r="F87" s="410"/>
      <c r="G87" s="725">
        <v>0</v>
      </c>
      <c r="H87" s="410"/>
      <c r="I87" s="725">
        <v>0</v>
      </c>
      <c r="J87" s="410"/>
      <c r="K87" s="725">
        <v>0</v>
      </c>
      <c r="L87" s="410"/>
      <c r="M87" s="725">
        <v>0</v>
      </c>
      <c r="N87" s="410"/>
      <c r="O87" s="725">
        <v>0</v>
      </c>
      <c r="P87" s="410"/>
      <c r="Q87" s="725">
        <v>0</v>
      </c>
      <c r="R87" s="410"/>
      <c r="S87" s="725">
        <v>0</v>
      </c>
      <c r="T87" s="410"/>
      <c r="U87" s="725">
        <v>0</v>
      </c>
      <c r="V87" s="410"/>
      <c r="W87" s="723">
        <v>0</v>
      </c>
      <c r="X87" s="410"/>
      <c r="Y87" s="725">
        <v>0</v>
      </c>
      <c r="Z87" s="410"/>
      <c r="AA87" s="725">
        <v>0</v>
      </c>
      <c r="AB87" s="410"/>
      <c r="AC87" s="725">
        <v>0</v>
      </c>
      <c r="AD87" s="410"/>
      <c r="AE87" s="725">
        <v>0</v>
      </c>
      <c r="AF87" s="410"/>
      <c r="AG87" s="725">
        <v>0</v>
      </c>
      <c r="AH87" s="410"/>
      <c r="AI87" s="725">
        <v>0</v>
      </c>
      <c r="AJ87" s="410"/>
      <c r="AK87" s="725">
        <v>0</v>
      </c>
      <c r="AL87" s="410"/>
      <c r="AM87" s="725">
        <v>0</v>
      </c>
      <c r="AN87" s="410"/>
      <c r="AO87" s="725">
        <v>0</v>
      </c>
      <c r="AP87" s="410"/>
      <c r="AQ87" s="725">
        <v>0</v>
      </c>
      <c r="AR87" s="410"/>
      <c r="AS87" s="725">
        <v>0</v>
      </c>
      <c r="AT87" s="410"/>
      <c r="AU87" s="723">
        <v>0</v>
      </c>
      <c r="AV87" s="410"/>
      <c r="AW87" s="725">
        <v>0</v>
      </c>
      <c r="AX87" s="410"/>
      <c r="AY87" s="725">
        <v>0</v>
      </c>
      <c r="AZ87" s="410"/>
      <c r="BA87" s="725">
        <v>0</v>
      </c>
      <c r="BB87" s="410"/>
      <c r="BC87" s="725">
        <v>0</v>
      </c>
      <c r="BD87" s="410"/>
      <c r="BE87" s="198">
        <v>0</v>
      </c>
      <c r="BF87" s="410"/>
      <c r="BG87" s="198">
        <v>0</v>
      </c>
      <c r="BH87" s="410"/>
      <c r="BI87" s="198">
        <v>0</v>
      </c>
      <c r="BJ87" s="410"/>
      <c r="BK87" s="198">
        <v>0</v>
      </c>
      <c r="BL87" s="410"/>
      <c r="BM87" s="198">
        <v>0</v>
      </c>
      <c r="BN87" s="410"/>
      <c r="BO87" s="198">
        <v>0</v>
      </c>
      <c r="BP87" s="410"/>
      <c r="BQ87" s="198">
        <v>0</v>
      </c>
      <c r="BR87" s="410"/>
      <c r="BS87" s="547">
        <v>0</v>
      </c>
      <c r="BT87" s="410"/>
      <c r="BU87" s="198">
        <v>0</v>
      </c>
      <c r="BV87" s="410"/>
      <c r="BW87" s="198">
        <v>0</v>
      </c>
      <c r="BX87" s="410"/>
      <c r="BY87" s="198">
        <v>0</v>
      </c>
      <c r="BZ87" s="410"/>
      <c r="CA87" s="198">
        <v>0</v>
      </c>
      <c r="CB87" s="410"/>
      <c r="CC87" s="198">
        <v>0</v>
      </c>
      <c r="CD87" s="410"/>
      <c r="CE87" s="198">
        <v>0</v>
      </c>
      <c r="CF87" s="410"/>
      <c r="CG87" s="536">
        <v>0</v>
      </c>
      <c r="CH87" s="410"/>
      <c r="CI87" s="191">
        <v>0</v>
      </c>
      <c r="CJ87" s="410"/>
      <c r="CK87" s="191">
        <v>0</v>
      </c>
      <c r="CL87" s="410"/>
      <c r="CM87" s="191">
        <v>0</v>
      </c>
      <c r="CN87" s="410"/>
      <c r="CO87" s="191">
        <v>0</v>
      </c>
      <c r="CP87" s="410"/>
      <c r="CQ87" s="191">
        <v>0</v>
      </c>
      <c r="CR87" s="410"/>
      <c r="CS87" s="191">
        <v>0</v>
      </c>
      <c r="CT87" s="157"/>
      <c r="CU87" s="191">
        <v>0</v>
      </c>
      <c r="CV87" s="157"/>
      <c r="CW87" s="191">
        <v>0</v>
      </c>
      <c r="CX87" s="157"/>
      <c r="CY87" s="191">
        <v>0</v>
      </c>
      <c r="CZ87" s="157"/>
      <c r="DA87" s="191">
        <v>0</v>
      </c>
      <c r="DB87" s="157"/>
      <c r="DC87" s="191">
        <v>0</v>
      </c>
      <c r="DD87" s="157"/>
      <c r="DE87" s="191">
        <v>0</v>
      </c>
      <c r="DF87" s="157"/>
      <c r="DG87" s="191">
        <v>0</v>
      </c>
      <c r="DH87" s="157"/>
      <c r="DI87" s="191">
        <v>0</v>
      </c>
      <c r="DJ87" s="157"/>
      <c r="DK87" s="191">
        <v>0</v>
      </c>
      <c r="DL87" s="157"/>
      <c r="DM87" s="191">
        <v>0</v>
      </c>
      <c r="DN87" s="157"/>
      <c r="DO87" s="191">
        <v>0</v>
      </c>
      <c r="DP87" s="157"/>
      <c r="DQ87" s="191">
        <v>0</v>
      </c>
      <c r="DR87" s="157"/>
      <c r="DS87" s="191">
        <v>0</v>
      </c>
      <c r="DT87" s="157"/>
      <c r="DU87" s="191">
        <v>0</v>
      </c>
      <c r="DV87" s="157"/>
      <c r="DW87" s="191">
        <v>0</v>
      </c>
      <c r="DX87" s="157"/>
      <c r="DY87" s="191">
        <v>0</v>
      </c>
      <c r="DZ87" s="157"/>
      <c r="EA87" s="191">
        <v>0</v>
      </c>
      <c r="EB87" s="157"/>
      <c r="EC87" s="191">
        <v>0</v>
      </c>
      <c r="ED87" s="157"/>
      <c r="EE87" s="191">
        <v>0</v>
      </c>
      <c r="EF87" s="157"/>
      <c r="EG87" s="191">
        <v>0</v>
      </c>
      <c r="EH87" s="157"/>
      <c r="EI87" s="191">
        <v>0</v>
      </c>
      <c r="EJ87" s="157"/>
      <c r="EK87" s="191">
        <v>0</v>
      </c>
      <c r="EL87" s="157"/>
      <c r="EM87" s="191">
        <v>0</v>
      </c>
      <c r="EN87" s="157"/>
      <c r="EO87" s="191">
        <v>0</v>
      </c>
      <c r="EP87" s="157"/>
      <c r="EQ87" s="191">
        <v>0</v>
      </c>
      <c r="ER87" s="157"/>
      <c r="ES87" s="191">
        <v>0</v>
      </c>
      <c r="ET87" s="157"/>
      <c r="EU87" s="191">
        <v>0</v>
      </c>
      <c r="EV87" s="157"/>
      <c r="EW87" s="191">
        <v>0</v>
      </c>
      <c r="EX87" s="157"/>
      <c r="EY87" s="191">
        <v>0</v>
      </c>
      <c r="EZ87" s="157"/>
      <c r="FA87" s="191">
        <v>0</v>
      </c>
      <c r="FB87" s="157"/>
      <c r="FC87" s="191">
        <v>0</v>
      </c>
      <c r="FD87" s="157"/>
      <c r="FE87" s="191">
        <v>0</v>
      </c>
      <c r="FF87" s="157"/>
      <c r="FG87" s="191">
        <v>0</v>
      </c>
      <c r="FH87" s="157"/>
      <c r="FI87" s="191">
        <v>0</v>
      </c>
      <c r="FJ87" s="157"/>
      <c r="FK87" s="191">
        <v>0</v>
      </c>
      <c r="FL87" s="157"/>
      <c r="FM87" s="191">
        <v>0</v>
      </c>
      <c r="FN87" s="157"/>
      <c r="FO87" s="191">
        <v>0</v>
      </c>
      <c r="FP87" s="157"/>
      <c r="FQ87" s="191">
        <v>0</v>
      </c>
      <c r="FR87" s="157"/>
      <c r="FS87" s="191">
        <v>0</v>
      </c>
      <c r="FT87" s="157"/>
      <c r="FU87" s="191">
        <v>2024547.95</v>
      </c>
      <c r="FV87" s="157"/>
      <c r="FW87" s="191">
        <v>2001534.25</v>
      </c>
      <c r="FX87" s="157"/>
      <c r="FY87" s="179">
        <v>0</v>
      </c>
      <c r="FZ87" s="157"/>
      <c r="GA87" s="179">
        <v>0</v>
      </c>
      <c r="GB87" s="157"/>
      <c r="GC87" s="179">
        <v>0</v>
      </c>
      <c r="GD87" s="157"/>
      <c r="GE87" s="179">
        <v>0</v>
      </c>
      <c r="GF87" s="157"/>
      <c r="GG87" s="179">
        <v>0</v>
      </c>
      <c r="GH87" s="166"/>
      <c r="GI87" s="179">
        <v>0</v>
      </c>
      <c r="GJ87" s="191"/>
      <c r="GK87" s="191">
        <v>1518490.6</v>
      </c>
      <c r="GL87" s="191"/>
      <c r="GM87" s="191">
        <v>1518490.6</v>
      </c>
      <c r="GN87" s="191"/>
      <c r="GO87" s="191">
        <v>3035753.42</v>
      </c>
      <c r="GP87" s="191"/>
      <c r="GQ87" s="191">
        <v>3000000</v>
      </c>
      <c r="GR87" s="191"/>
      <c r="GS87" s="173"/>
      <c r="GT87" s="165"/>
      <c r="GU87" s="157"/>
      <c r="GV87" s="157"/>
      <c r="GW87" s="157"/>
      <c r="GX87" s="157"/>
      <c r="GY87" s="157"/>
      <c r="GZ87" s="157"/>
      <c r="HA87" s="157"/>
    </row>
    <row r="88" spans="1:209" ht="14.25" hidden="1" customHeight="1" collapsed="1">
      <c r="A88" s="158"/>
      <c r="B88" s="157" t="s">
        <v>350</v>
      </c>
      <c r="C88" s="725">
        <v>0</v>
      </c>
      <c r="D88" s="410"/>
      <c r="E88" s="725">
        <v>0</v>
      </c>
      <c r="F88" s="410"/>
      <c r="G88" s="725">
        <v>0</v>
      </c>
      <c r="H88" s="410"/>
      <c r="I88" s="725">
        <v>0</v>
      </c>
      <c r="J88" s="410"/>
      <c r="K88" s="725">
        <v>0</v>
      </c>
      <c r="L88" s="410"/>
      <c r="M88" s="725">
        <v>0</v>
      </c>
      <c r="N88" s="410"/>
      <c r="O88" s="725">
        <v>0</v>
      </c>
      <c r="P88" s="410"/>
      <c r="Q88" s="725">
        <v>0</v>
      </c>
      <c r="R88" s="410"/>
      <c r="S88" s="725">
        <v>0</v>
      </c>
      <c r="T88" s="410"/>
      <c r="U88" s="725">
        <v>0</v>
      </c>
      <c r="V88" s="410"/>
      <c r="W88" s="723">
        <v>0</v>
      </c>
      <c r="X88" s="410"/>
      <c r="Y88" s="725">
        <v>0</v>
      </c>
      <c r="Z88" s="410"/>
      <c r="AA88" s="725">
        <v>0</v>
      </c>
      <c r="AB88" s="410"/>
      <c r="AC88" s="725">
        <v>0</v>
      </c>
      <c r="AD88" s="410"/>
      <c r="AE88" s="725">
        <v>0</v>
      </c>
      <c r="AF88" s="410"/>
      <c r="AG88" s="725">
        <v>0</v>
      </c>
      <c r="AH88" s="410"/>
      <c r="AI88" s="725">
        <v>0</v>
      </c>
      <c r="AJ88" s="410"/>
      <c r="AK88" s="725">
        <v>0</v>
      </c>
      <c r="AL88" s="410"/>
      <c r="AM88" s="725">
        <v>0</v>
      </c>
      <c r="AN88" s="410"/>
      <c r="AO88" s="725">
        <v>0</v>
      </c>
      <c r="AP88" s="410"/>
      <c r="AQ88" s="725">
        <v>0</v>
      </c>
      <c r="AR88" s="410"/>
      <c r="AS88" s="725">
        <v>0</v>
      </c>
      <c r="AT88" s="410"/>
      <c r="AU88" s="723">
        <v>0</v>
      </c>
      <c r="AV88" s="410"/>
      <c r="AW88" s="725">
        <v>0</v>
      </c>
      <c r="AX88" s="410"/>
      <c r="AY88" s="725">
        <v>0</v>
      </c>
      <c r="AZ88" s="410"/>
      <c r="BA88" s="725">
        <v>0</v>
      </c>
      <c r="BB88" s="410"/>
      <c r="BC88" s="725">
        <v>0</v>
      </c>
      <c r="BD88" s="410"/>
      <c r="BE88" s="198">
        <v>26388870.140000001</v>
      </c>
      <c r="BF88" s="410"/>
      <c r="BG88" s="198">
        <v>26029389.34</v>
      </c>
      <c r="BH88" s="410"/>
      <c r="BI88" s="198">
        <v>25661497.039999999</v>
      </c>
      <c r="BJ88" s="410"/>
      <c r="BK88" s="198">
        <v>52249680.359999999</v>
      </c>
      <c r="BL88" s="410"/>
      <c r="BM88" s="198">
        <v>51637854.359999999</v>
      </c>
      <c r="BN88" s="410"/>
      <c r="BO88" s="198">
        <v>51009205.350000001</v>
      </c>
      <c r="BP88" s="410"/>
      <c r="BQ88" s="198">
        <v>78118902.079999998</v>
      </c>
      <c r="BR88" s="410"/>
      <c r="BS88" s="547">
        <v>77229496.349999994</v>
      </c>
      <c r="BT88" s="410"/>
      <c r="BU88" s="198">
        <v>76415794.180000007</v>
      </c>
      <c r="BV88" s="410"/>
      <c r="BW88" s="198">
        <v>104055415.84</v>
      </c>
      <c r="BX88" s="410"/>
      <c r="BY88" s="198">
        <v>102905253.40000001</v>
      </c>
      <c r="BZ88" s="410"/>
      <c r="CA88" s="198">
        <v>102268705.37</v>
      </c>
      <c r="CB88" s="410"/>
      <c r="CC88" s="198">
        <v>104000658.25</v>
      </c>
      <c r="CD88" s="410"/>
      <c r="CE88" s="198">
        <v>102884141.84</v>
      </c>
      <c r="CF88" s="410"/>
      <c r="CG88" s="198">
        <v>101733979.40000001</v>
      </c>
      <c r="CH88" s="410"/>
      <c r="CI88" s="198">
        <v>103724168.92</v>
      </c>
      <c r="CJ88" s="410"/>
      <c r="CK88" s="198">
        <v>102607652.51000001</v>
      </c>
      <c r="CL88" s="410"/>
      <c r="CM88" s="198">
        <v>101457490.06999999</v>
      </c>
      <c r="CN88" s="410"/>
      <c r="CO88" s="198">
        <v>103290552.64</v>
      </c>
      <c r="CP88" s="410"/>
      <c r="CQ88" s="198">
        <v>102140390.2</v>
      </c>
      <c r="CR88" s="410"/>
      <c r="CS88" s="198">
        <v>101199084.44</v>
      </c>
      <c r="CT88" s="157"/>
      <c r="CU88" s="191">
        <v>103115849.47</v>
      </c>
      <c r="CV88" s="157"/>
      <c r="CW88" s="191">
        <v>102045242</v>
      </c>
      <c r="CX88" s="157"/>
      <c r="CY88" s="191">
        <v>101255671.64</v>
      </c>
      <c r="CZ88" s="157"/>
      <c r="DA88" s="191"/>
      <c r="DB88" s="157"/>
      <c r="DC88" s="191"/>
      <c r="DD88" s="157"/>
      <c r="DE88" s="191"/>
      <c r="DF88" s="157"/>
      <c r="DG88" s="191"/>
      <c r="DH88" s="157"/>
      <c r="DI88" s="191"/>
      <c r="DJ88" s="157"/>
      <c r="DK88" s="191"/>
      <c r="DL88" s="157"/>
      <c r="DM88" s="191"/>
      <c r="DN88" s="157"/>
      <c r="DO88" s="191"/>
      <c r="DP88" s="157"/>
      <c r="DQ88" s="191"/>
      <c r="DR88" s="157"/>
      <c r="DS88" s="191"/>
      <c r="DT88" s="157"/>
      <c r="DU88" s="191"/>
      <c r="DV88" s="157"/>
      <c r="DW88" s="191"/>
      <c r="DX88" s="157"/>
      <c r="DY88" s="191"/>
      <c r="DZ88" s="157"/>
      <c r="EA88" s="191"/>
      <c r="EB88" s="157"/>
      <c r="EC88" s="191"/>
      <c r="ED88" s="157"/>
      <c r="EE88" s="191"/>
      <c r="EF88" s="157"/>
      <c r="EG88" s="191"/>
      <c r="EH88" s="157"/>
      <c r="EI88" s="191"/>
      <c r="EJ88" s="157"/>
      <c r="EK88" s="191"/>
      <c r="EL88" s="157"/>
      <c r="EM88" s="191"/>
      <c r="EN88" s="157"/>
      <c r="EO88" s="191"/>
      <c r="EP88" s="157"/>
      <c r="EQ88" s="191"/>
      <c r="ER88" s="157"/>
      <c r="ES88" s="191"/>
      <c r="ET88" s="157"/>
      <c r="EU88" s="191"/>
      <c r="EV88" s="157"/>
      <c r="EW88" s="191"/>
      <c r="EX88" s="157"/>
      <c r="EY88" s="191"/>
      <c r="EZ88" s="157"/>
      <c r="FA88" s="191"/>
      <c r="FB88" s="157"/>
      <c r="FC88" s="191"/>
      <c r="FD88" s="157"/>
      <c r="FE88" s="191"/>
      <c r="FF88" s="157"/>
      <c r="FG88" s="191"/>
      <c r="FH88" s="157"/>
      <c r="FI88" s="191"/>
      <c r="FJ88" s="157"/>
      <c r="FK88" s="191"/>
      <c r="FL88" s="157"/>
      <c r="FM88" s="191"/>
      <c r="FN88" s="157"/>
      <c r="FO88" s="191"/>
      <c r="FP88" s="157"/>
      <c r="FQ88" s="191"/>
      <c r="FR88" s="157"/>
      <c r="FS88" s="191"/>
      <c r="FT88" s="157"/>
      <c r="FU88" s="191"/>
      <c r="FV88" s="157"/>
      <c r="FW88" s="191"/>
      <c r="FX88" s="157"/>
      <c r="FY88" s="179"/>
      <c r="FZ88" s="157"/>
      <c r="GA88" s="179"/>
      <c r="GB88" s="157"/>
      <c r="GC88" s="179"/>
      <c r="GD88" s="157"/>
      <c r="GE88" s="179"/>
      <c r="GF88" s="157"/>
      <c r="GG88" s="179"/>
      <c r="GH88" s="166"/>
      <c r="GI88" s="179"/>
      <c r="GJ88" s="191"/>
      <c r="GK88" s="191"/>
      <c r="GL88" s="191"/>
      <c r="GM88" s="191"/>
      <c r="GN88" s="191"/>
      <c r="GO88" s="191"/>
      <c r="GP88" s="191"/>
      <c r="GQ88" s="191"/>
      <c r="GR88" s="191"/>
      <c r="GS88" s="173"/>
      <c r="GT88" s="165"/>
      <c r="GU88" s="157"/>
      <c r="GV88" s="157"/>
      <c r="GW88" s="157"/>
      <c r="GX88" s="157"/>
      <c r="GY88" s="157"/>
      <c r="GZ88" s="157"/>
      <c r="HA88" s="157"/>
    </row>
    <row r="89" spans="1:209" ht="14.25" hidden="1" customHeight="1" outlineLevel="1">
      <c r="A89" s="158"/>
      <c r="B89" s="157" t="s">
        <v>351</v>
      </c>
      <c r="C89" s="198">
        <v>0</v>
      </c>
      <c r="D89" s="410"/>
      <c r="E89" s="198">
        <v>0</v>
      </c>
      <c r="F89" s="410"/>
      <c r="G89" s="198">
        <v>0</v>
      </c>
      <c r="H89" s="410"/>
      <c r="I89" s="198">
        <v>0</v>
      </c>
      <c r="J89" s="410"/>
      <c r="K89" s="198">
        <v>0</v>
      </c>
      <c r="L89" s="410"/>
      <c r="M89" s="198">
        <v>0</v>
      </c>
      <c r="N89" s="410"/>
      <c r="O89" s="198">
        <v>0</v>
      </c>
      <c r="P89" s="410"/>
      <c r="Q89" s="198">
        <v>0</v>
      </c>
      <c r="R89" s="410"/>
      <c r="S89" s="198">
        <v>0</v>
      </c>
      <c r="T89" s="410"/>
      <c r="U89" s="198">
        <v>0</v>
      </c>
      <c r="V89" s="410"/>
      <c r="W89" s="547">
        <v>0</v>
      </c>
      <c r="X89" s="410"/>
      <c r="Y89" s="198">
        <v>0</v>
      </c>
      <c r="Z89" s="410"/>
      <c r="AA89" s="198">
        <v>0</v>
      </c>
      <c r="AB89" s="410"/>
      <c r="AC89" s="198">
        <v>0</v>
      </c>
      <c r="AD89" s="410"/>
      <c r="AE89" s="198">
        <v>0</v>
      </c>
      <c r="AF89" s="410"/>
      <c r="AG89" s="198">
        <v>0</v>
      </c>
      <c r="AH89" s="410"/>
      <c r="AI89" s="198">
        <v>0</v>
      </c>
      <c r="AJ89" s="410"/>
      <c r="AK89" s="198">
        <v>0</v>
      </c>
      <c r="AL89" s="410"/>
      <c r="AM89" s="198">
        <v>0</v>
      </c>
      <c r="AN89" s="410"/>
      <c r="AO89" s="198">
        <v>0</v>
      </c>
      <c r="AP89" s="410"/>
      <c r="AQ89" s="198">
        <v>0</v>
      </c>
      <c r="AR89" s="410"/>
      <c r="AS89" s="198">
        <v>0</v>
      </c>
      <c r="AT89" s="410"/>
      <c r="AU89" s="547">
        <v>0</v>
      </c>
      <c r="AV89" s="410"/>
      <c r="AW89" s="198">
        <v>0</v>
      </c>
      <c r="AX89" s="410"/>
      <c r="AY89" s="198">
        <v>0</v>
      </c>
      <c r="AZ89" s="410"/>
      <c r="BA89" s="198">
        <v>0</v>
      </c>
      <c r="BB89" s="410"/>
      <c r="BC89" s="198">
        <v>0</v>
      </c>
      <c r="BD89" s="410"/>
      <c r="BE89" s="198">
        <v>0</v>
      </c>
      <c r="BF89" s="410"/>
      <c r="BG89" s="198">
        <v>0</v>
      </c>
      <c r="BH89" s="410"/>
      <c r="BI89" s="198">
        <v>0</v>
      </c>
      <c r="BJ89" s="410"/>
      <c r="BK89" s="198">
        <v>0</v>
      </c>
      <c r="BL89" s="410"/>
      <c r="BM89" s="198">
        <v>0</v>
      </c>
      <c r="BN89" s="410"/>
      <c r="BO89" s="198">
        <v>0</v>
      </c>
      <c r="BP89" s="410"/>
      <c r="BQ89" s="198">
        <v>0</v>
      </c>
      <c r="BR89" s="410"/>
      <c r="BS89" s="547">
        <v>0</v>
      </c>
      <c r="BT89" s="410"/>
      <c r="BU89" s="198">
        <v>0</v>
      </c>
      <c r="BV89" s="410"/>
      <c r="BW89" s="198">
        <v>0</v>
      </c>
      <c r="BX89" s="410"/>
      <c r="BY89" s="198">
        <v>0</v>
      </c>
      <c r="BZ89" s="410"/>
      <c r="CA89" s="198">
        <v>0</v>
      </c>
      <c r="CB89" s="410"/>
      <c r="CC89" s="198">
        <v>0</v>
      </c>
      <c r="CD89" s="410"/>
      <c r="CE89" s="198">
        <v>0</v>
      </c>
      <c r="CF89" s="410"/>
      <c r="CG89" s="198">
        <v>0</v>
      </c>
      <c r="CH89" s="410"/>
      <c r="CI89" s="198">
        <v>0</v>
      </c>
      <c r="CJ89" s="410"/>
      <c r="CK89" s="198">
        <v>0</v>
      </c>
      <c r="CL89" s="410"/>
      <c r="CM89" s="198">
        <v>0</v>
      </c>
      <c r="CN89" s="410"/>
      <c r="CO89" s="198">
        <v>0</v>
      </c>
      <c r="CP89" s="410"/>
      <c r="CQ89" s="198">
        <v>0</v>
      </c>
      <c r="CR89" s="410"/>
      <c r="CS89" s="198">
        <v>0</v>
      </c>
      <c r="CT89" s="157"/>
      <c r="CU89" s="191">
        <v>0</v>
      </c>
      <c r="CV89" s="157"/>
      <c r="CW89" s="191">
        <v>0.03</v>
      </c>
      <c r="CX89" s="157"/>
      <c r="CY89" s="191">
        <v>0.03</v>
      </c>
      <c r="CZ89" s="157"/>
      <c r="DA89" s="191">
        <v>12278166.689999999</v>
      </c>
      <c r="DB89" s="157"/>
      <c r="DC89" s="191">
        <v>12129614.609999999</v>
      </c>
      <c r="DD89" s="157"/>
      <c r="DE89" s="191">
        <v>11976430.58</v>
      </c>
      <c r="DF89" s="157"/>
      <c r="DG89" s="191">
        <v>11823246.550000001</v>
      </c>
      <c r="DH89" s="157"/>
      <c r="DI89" s="191">
        <v>11674694.470000001</v>
      </c>
      <c r="DJ89" s="157"/>
      <c r="DK89" s="191">
        <v>11521510.439999999</v>
      </c>
      <c r="DL89" s="157"/>
      <c r="DM89" s="191">
        <v>24489506.969999999</v>
      </c>
      <c r="DN89" s="157"/>
      <c r="DO89" s="191">
        <v>24192732.66</v>
      </c>
      <c r="DP89" s="157"/>
      <c r="DQ89" s="198">
        <v>23923750.02</v>
      </c>
      <c r="DR89" s="157"/>
      <c r="DS89" s="198">
        <v>23626975.690000001</v>
      </c>
      <c r="DT89" s="157"/>
      <c r="DU89" s="198">
        <v>23330201.399999999</v>
      </c>
      <c r="DV89" s="157"/>
      <c r="DW89" s="198">
        <v>23042690.98</v>
      </c>
      <c r="DX89" s="157"/>
      <c r="DY89" s="191">
        <v>24441208.34</v>
      </c>
      <c r="DZ89" s="157"/>
      <c r="EA89" s="191">
        <v>24153697.920000002</v>
      </c>
      <c r="EB89" s="157"/>
      <c r="EC89" s="191">
        <v>23856923.609999999</v>
      </c>
      <c r="ED89" s="157"/>
      <c r="EE89" s="191">
        <v>23578677.100000001</v>
      </c>
      <c r="EF89" s="157"/>
      <c r="EG89" s="198">
        <v>23291166.68</v>
      </c>
      <c r="EH89" s="157"/>
      <c r="EI89" s="198">
        <v>22952238.300000001</v>
      </c>
      <c r="EJ89" s="157"/>
      <c r="EK89" s="198">
        <v>24290073.800000001</v>
      </c>
      <c r="EL89" s="157"/>
      <c r="EM89" s="198">
        <v>24002563.379999999</v>
      </c>
      <c r="EN89" s="157"/>
      <c r="EO89" s="191">
        <v>26634686.960000001</v>
      </c>
      <c r="EP89" s="157"/>
      <c r="EQ89" s="191">
        <v>26347176.539999999</v>
      </c>
      <c r="ER89" s="157"/>
      <c r="ES89" s="191">
        <v>25642791.120000001</v>
      </c>
      <c r="ET89" s="157"/>
      <c r="EU89" s="191">
        <v>25633197.370000001</v>
      </c>
      <c r="EV89" s="157"/>
      <c r="EW89" s="191">
        <v>2853603.62</v>
      </c>
      <c r="EX89" s="157"/>
      <c r="EY89" s="191">
        <v>2853603.62</v>
      </c>
      <c r="EZ89" s="157"/>
      <c r="FA89" s="191">
        <v>5758500</v>
      </c>
      <c r="FB89" s="157"/>
      <c r="FC89" s="191">
        <v>5758500</v>
      </c>
      <c r="FD89" s="157"/>
      <c r="FE89" s="191">
        <v>5758500</v>
      </c>
      <c r="FF89" s="157"/>
      <c r="FG89" s="191">
        <v>5758500</v>
      </c>
      <c r="FH89" s="157"/>
      <c r="FI89" s="191">
        <v>5758500</v>
      </c>
      <c r="FJ89" s="157"/>
      <c r="FK89" s="191">
        <v>5758500</v>
      </c>
      <c r="FL89" s="157"/>
      <c r="FM89" s="191">
        <v>5758500</v>
      </c>
      <c r="FN89" s="157"/>
      <c r="FO89" s="191">
        <v>5758500</v>
      </c>
      <c r="FP89" s="157"/>
      <c r="FQ89" s="191">
        <v>5758500</v>
      </c>
      <c r="FR89" s="157"/>
      <c r="FS89" s="191">
        <v>5758500</v>
      </c>
      <c r="FT89" s="157"/>
      <c r="FU89" s="191">
        <v>5758500</v>
      </c>
      <c r="FV89" s="157"/>
      <c r="FW89" s="191">
        <v>5758500</v>
      </c>
      <c r="FX89" s="157"/>
      <c r="FY89" s="191">
        <v>5758500</v>
      </c>
      <c r="FZ89" s="157"/>
      <c r="GA89" s="191">
        <v>5758500</v>
      </c>
      <c r="GB89" s="157"/>
      <c r="GC89" s="191">
        <v>5758500</v>
      </c>
      <c r="GD89" s="157"/>
      <c r="GE89" s="191">
        <v>5758500</v>
      </c>
      <c r="GF89" s="157"/>
      <c r="GG89" s="191">
        <v>5758500</v>
      </c>
      <c r="GH89" s="166"/>
      <c r="GI89" s="191">
        <v>5758500</v>
      </c>
      <c r="GJ89" s="191"/>
      <c r="GK89" s="179">
        <v>0</v>
      </c>
      <c r="GL89" s="157"/>
      <c r="GM89" s="179">
        <v>0</v>
      </c>
      <c r="GN89" s="166"/>
      <c r="GO89" s="179">
        <v>0</v>
      </c>
      <c r="GP89" s="191"/>
      <c r="GQ89" s="179">
        <v>0</v>
      </c>
      <c r="GR89" s="191"/>
      <c r="GS89" s="168"/>
      <c r="GT89" s="182"/>
      <c r="GU89" s="157"/>
      <c r="GV89" s="157"/>
      <c r="GW89" s="157"/>
      <c r="GX89" s="157"/>
      <c r="GY89" s="157"/>
      <c r="GZ89" s="157"/>
      <c r="HA89" s="157"/>
    </row>
    <row r="90" spans="1:209" ht="14.25" hidden="1" customHeight="1" outlineLevel="1">
      <c r="A90" s="158"/>
      <c r="B90" s="157" t="s">
        <v>352</v>
      </c>
      <c r="C90" s="198">
        <v>0</v>
      </c>
      <c r="D90" s="410"/>
      <c r="E90" s="198">
        <v>0</v>
      </c>
      <c r="F90" s="410"/>
      <c r="G90" s="198">
        <v>0</v>
      </c>
      <c r="H90" s="410"/>
      <c r="I90" s="198">
        <v>0</v>
      </c>
      <c r="J90" s="410"/>
      <c r="K90" s="198">
        <v>0</v>
      </c>
      <c r="L90" s="410"/>
      <c r="M90" s="198">
        <v>0</v>
      </c>
      <c r="N90" s="410"/>
      <c r="O90" s="198">
        <v>0</v>
      </c>
      <c r="P90" s="410"/>
      <c r="Q90" s="198">
        <v>0</v>
      </c>
      <c r="R90" s="410"/>
      <c r="S90" s="198">
        <v>0</v>
      </c>
      <c r="T90" s="410"/>
      <c r="U90" s="198">
        <v>0</v>
      </c>
      <c r="V90" s="410"/>
      <c r="W90" s="547">
        <v>0</v>
      </c>
      <c r="X90" s="410"/>
      <c r="Y90" s="198">
        <v>0</v>
      </c>
      <c r="Z90" s="410"/>
      <c r="AA90" s="198">
        <v>0</v>
      </c>
      <c r="AB90" s="410"/>
      <c r="AC90" s="198">
        <v>0</v>
      </c>
      <c r="AD90" s="410"/>
      <c r="AE90" s="198">
        <v>0</v>
      </c>
      <c r="AF90" s="410"/>
      <c r="AG90" s="198">
        <v>0</v>
      </c>
      <c r="AH90" s="410"/>
      <c r="AI90" s="198">
        <v>0</v>
      </c>
      <c r="AJ90" s="410"/>
      <c r="AK90" s="198">
        <v>0</v>
      </c>
      <c r="AL90" s="410"/>
      <c r="AM90" s="198">
        <v>0</v>
      </c>
      <c r="AN90" s="410"/>
      <c r="AO90" s="198">
        <v>0</v>
      </c>
      <c r="AP90" s="410"/>
      <c r="AQ90" s="198">
        <v>0</v>
      </c>
      <c r="AR90" s="410"/>
      <c r="AS90" s="198">
        <v>0</v>
      </c>
      <c r="AT90" s="410"/>
      <c r="AU90" s="547">
        <v>0</v>
      </c>
      <c r="AV90" s="410"/>
      <c r="AW90" s="198">
        <v>0</v>
      </c>
      <c r="AX90" s="410"/>
      <c r="AY90" s="198">
        <v>0</v>
      </c>
      <c r="AZ90" s="410"/>
      <c r="BA90" s="198">
        <v>0</v>
      </c>
      <c r="BB90" s="410"/>
      <c r="BC90" s="198">
        <v>0</v>
      </c>
      <c r="BD90" s="410"/>
      <c r="BE90" s="198">
        <v>0</v>
      </c>
      <c r="BF90" s="410"/>
      <c r="BG90" s="198">
        <v>0</v>
      </c>
      <c r="BH90" s="410"/>
      <c r="BI90" s="198">
        <v>0</v>
      </c>
      <c r="BJ90" s="410"/>
      <c r="BK90" s="198">
        <v>0</v>
      </c>
      <c r="BL90" s="410"/>
      <c r="BM90" s="198">
        <v>0</v>
      </c>
      <c r="BN90" s="410"/>
      <c r="BO90" s="198">
        <v>0</v>
      </c>
      <c r="BP90" s="410"/>
      <c r="BQ90" s="198">
        <v>0</v>
      </c>
      <c r="BR90" s="410"/>
      <c r="BS90" s="547">
        <v>0</v>
      </c>
      <c r="BT90" s="410"/>
      <c r="BU90" s="198">
        <v>0</v>
      </c>
      <c r="BV90" s="410"/>
      <c r="BW90" s="198">
        <v>0</v>
      </c>
      <c r="BX90" s="410"/>
      <c r="BY90" s="198">
        <v>0</v>
      </c>
      <c r="BZ90" s="410"/>
      <c r="CA90" s="198">
        <v>0</v>
      </c>
      <c r="CB90" s="410"/>
      <c r="CC90" s="198">
        <v>0</v>
      </c>
      <c r="CD90" s="410"/>
      <c r="CE90" s="198">
        <v>0</v>
      </c>
      <c r="CF90" s="410"/>
      <c r="CG90" s="198">
        <v>0</v>
      </c>
      <c r="CH90" s="410"/>
      <c r="CI90" s="198">
        <v>0</v>
      </c>
      <c r="CJ90" s="410"/>
      <c r="CK90" s="198">
        <v>0</v>
      </c>
      <c r="CL90" s="410"/>
      <c r="CM90" s="198">
        <v>0</v>
      </c>
      <c r="CN90" s="410"/>
      <c r="CO90" s="198">
        <v>0</v>
      </c>
      <c r="CP90" s="410"/>
      <c r="CQ90" s="198">
        <v>0</v>
      </c>
      <c r="CR90" s="410"/>
      <c r="CS90" s="198">
        <v>0</v>
      </c>
      <c r="CT90" s="157"/>
      <c r="CU90" s="191">
        <v>0</v>
      </c>
      <c r="CV90" s="157"/>
      <c r="CW90" s="191">
        <v>0</v>
      </c>
      <c r="CX90" s="157"/>
      <c r="CY90" s="191">
        <v>0</v>
      </c>
      <c r="CZ90" s="157"/>
      <c r="DA90" s="191">
        <v>0</v>
      </c>
      <c r="DB90" s="157"/>
      <c r="DC90" s="191">
        <v>0</v>
      </c>
      <c r="DD90" s="157"/>
      <c r="DE90" s="191">
        <v>0</v>
      </c>
      <c r="DF90" s="157"/>
      <c r="DG90" s="191">
        <v>0</v>
      </c>
      <c r="DH90" s="157"/>
      <c r="DI90" s="191">
        <v>0</v>
      </c>
      <c r="DJ90" s="157"/>
      <c r="DK90" s="191">
        <v>0</v>
      </c>
      <c r="DL90" s="157"/>
      <c r="DM90" s="191">
        <v>0</v>
      </c>
      <c r="DN90" s="157"/>
      <c r="DO90" s="191">
        <v>0</v>
      </c>
      <c r="DP90" s="157"/>
      <c r="DQ90" s="198">
        <v>0</v>
      </c>
      <c r="DR90" s="157"/>
      <c r="DS90" s="198">
        <v>0</v>
      </c>
      <c r="DT90" s="157"/>
      <c r="DU90" s="198">
        <v>0</v>
      </c>
      <c r="DV90" s="157"/>
      <c r="DW90" s="198">
        <v>0</v>
      </c>
      <c r="DX90" s="157"/>
      <c r="DY90" s="191">
        <v>0</v>
      </c>
      <c r="DZ90" s="157"/>
      <c r="EA90" s="191">
        <v>0</v>
      </c>
      <c r="EB90" s="157"/>
      <c r="EC90" s="191">
        <v>0</v>
      </c>
      <c r="ED90" s="157"/>
      <c r="EE90" s="191">
        <v>0</v>
      </c>
      <c r="EF90" s="157"/>
      <c r="EG90" s="198">
        <v>0</v>
      </c>
      <c r="EH90" s="157"/>
      <c r="EI90" s="198">
        <v>0</v>
      </c>
      <c r="EJ90" s="157"/>
      <c r="EK90" s="198">
        <v>0</v>
      </c>
      <c r="EL90" s="157"/>
      <c r="EM90" s="198">
        <v>0</v>
      </c>
      <c r="EN90" s="157"/>
      <c r="EO90" s="191">
        <v>269779.51</v>
      </c>
      <c r="EP90" s="157"/>
      <c r="EQ90" s="191">
        <v>223137.72</v>
      </c>
      <c r="ER90" s="157"/>
      <c r="ES90" s="191">
        <v>603381.24</v>
      </c>
      <c r="ET90" s="157"/>
      <c r="EU90" s="191">
        <v>331000.17</v>
      </c>
      <c r="EV90" s="157"/>
      <c r="EW90" s="191">
        <v>192456.27</v>
      </c>
      <c r="EX90" s="157"/>
      <c r="EY90" s="191">
        <v>98067.15</v>
      </c>
      <c r="EZ90" s="157"/>
      <c r="FA90" s="191">
        <v>275352.19</v>
      </c>
      <c r="FB90" s="157"/>
      <c r="FC90" s="191">
        <v>358275.82</v>
      </c>
      <c r="FD90" s="157"/>
      <c r="FE90" s="191">
        <v>279371.31</v>
      </c>
      <c r="FF90" s="157"/>
      <c r="FG90" s="191">
        <v>181673.18</v>
      </c>
      <c r="FH90" s="157"/>
      <c r="FI90" s="191">
        <v>92617.64</v>
      </c>
      <c r="FJ90" s="157"/>
      <c r="FK90" s="191">
        <v>82197.429999999993</v>
      </c>
      <c r="FL90" s="157"/>
      <c r="FM90" s="191">
        <v>530915.48</v>
      </c>
      <c r="FN90" s="157"/>
      <c r="FO90" s="191">
        <v>458872.61</v>
      </c>
      <c r="FP90" s="157"/>
      <c r="FQ90" s="191">
        <v>352506.34</v>
      </c>
      <c r="FR90" s="157"/>
      <c r="FS90" s="191">
        <v>283028.46999999997</v>
      </c>
      <c r="FT90" s="157"/>
      <c r="FU90" s="191">
        <v>179491.11</v>
      </c>
      <c r="FV90" s="157"/>
      <c r="FW90" s="191">
        <v>60702.21</v>
      </c>
      <c r="FX90" s="157"/>
      <c r="FY90" s="191">
        <v>435701.19</v>
      </c>
      <c r="FZ90" s="157"/>
      <c r="GA90" s="191">
        <v>363161.71</v>
      </c>
      <c r="GB90" s="157"/>
      <c r="GC90" s="191">
        <v>256785.23</v>
      </c>
      <c r="GD90" s="157"/>
      <c r="GE90" s="191">
        <v>171445.95</v>
      </c>
      <c r="GF90" s="157"/>
      <c r="GG90" s="191">
        <v>88932.74</v>
      </c>
      <c r="GH90" s="166"/>
      <c r="GI90" s="191">
        <v>12281.08</v>
      </c>
      <c r="GJ90" s="191"/>
      <c r="GK90" s="179">
        <v>0</v>
      </c>
      <c r="GL90" s="157"/>
      <c r="GM90" s="179">
        <v>0</v>
      </c>
      <c r="GN90" s="166"/>
      <c r="GO90" s="179">
        <v>0</v>
      </c>
      <c r="GP90" s="191"/>
      <c r="GQ90" s="179">
        <v>0</v>
      </c>
      <c r="GR90" s="191"/>
      <c r="GS90" s="173"/>
      <c r="GT90" s="165"/>
      <c r="GU90" s="157"/>
      <c r="GV90" s="157"/>
      <c r="GW90" s="157"/>
      <c r="GX90" s="157"/>
      <c r="GY90" s="157"/>
      <c r="GZ90" s="157"/>
      <c r="HA90" s="157"/>
    </row>
    <row r="91" spans="1:209" ht="14.25" hidden="1" customHeight="1" outlineLevel="1">
      <c r="A91" s="158"/>
      <c r="B91" s="501" t="s">
        <v>353</v>
      </c>
      <c r="C91" s="198">
        <v>0</v>
      </c>
      <c r="D91" s="410"/>
      <c r="E91" s="198">
        <v>0</v>
      </c>
      <c r="F91" s="410"/>
      <c r="G91" s="198">
        <v>0</v>
      </c>
      <c r="H91" s="410"/>
      <c r="I91" s="198">
        <v>0</v>
      </c>
      <c r="J91" s="410"/>
      <c r="K91" s="198">
        <v>0</v>
      </c>
      <c r="L91" s="410"/>
      <c r="M91" s="198">
        <v>0</v>
      </c>
      <c r="N91" s="410"/>
      <c r="O91" s="198">
        <v>0</v>
      </c>
      <c r="P91" s="410"/>
      <c r="Q91" s="198">
        <v>0</v>
      </c>
      <c r="R91" s="410"/>
      <c r="S91" s="198">
        <v>0</v>
      </c>
      <c r="T91" s="410"/>
      <c r="U91" s="198">
        <v>0</v>
      </c>
      <c r="V91" s="410"/>
      <c r="W91" s="547">
        <v>0</v>
      </c>
      <c r="X91" s="410"/>
      <c r="Y91" s="198">
        <v>0</v>
      </c>
      <c r="Z91" s="410"/>
      <c r="AA91" s="198">
        <v>0</v>
      </c>
      <c r="AB91" s="410"/>
      <c r="AC91" s="198">
        <v>0</v>
      </c>
      <c r="AD91" s="410"/>
      <c r="AE91" s="198">
        <v>0</v>
      </c>
      <c r="AF91" s="410"/>
      <c r="AG91" s="198">
        <v>0</v>
      </c>
      <c r="AH91" s="410"/>
      <c r="AI91" s="198">
        <v>0</v>
      </c>
      <c r="AJ91" s="410"/>
      <c r="AK91" s="198">
        <v>0</v>
      </c>
      <c r="AL91" s="410"/>
      <c r="AM91" s="198">
        <v>0</v>
      </c>
      <c r="AN91" s="410"/>
      <c r="AO91" s="198">
        <v>0</v>
      </c>
      <c r="AP91" s="410"/>
      <c r="AQ91" s="198">
        <v>0</v>
      </c>
      <c r="AR91" s="410"/>
      <c r="AS91" s="198">
        <v>0</v>
      </c>
      <c r="AT91" s="410"/>
      <c r="AU91" s="547">
        <v>0</v>
      </c>
      <c r="AV91" s="410"/>
      <c r="AW91" s="198">
        <v>0</v>
      </c>
      <c r="AX91" s="410"/>
      <c r="AY91" s="198">
        <v>0</v>
      </c>
      <c r="AZ91" s="410"/>
      <c r="BA91" s="198">
        <v>0</v>
      </c>
      <c r="BB91" s="410"/>
      <c r="BC91" s="198">
        <v>0</v>
      </c>
      <c r="BD91" s="410"/>
      <c r="BE91" s="198">
        <v>0</v>
      </c>
      <c r="BF91" s="410"/>
      <c r="BG91" s="198">
        <v>0</v>
      </c>
      <c r="BH91" s="410"/>
      <c r="BI91" s="198">
        <v>0</v>
      </c>
      <c r="BJ91" s="410"/>
      <c r="BK91" s="198">
        <v>0</v>
      </c>
      <c r="BL91" s="410"/>
      <c r="BM91" s="198">
        <v>0</v>
      </c>
      <c r="BN91" s="410"/>
      <c r="BO91" s="198">
        <v>0</v>
      </c>
      <c r="BP91" s="410"/>
      <c r="BQ91" s="198">
        <v>0</v>
      </c>
      <c r="BR91" s="410"/>
      <c r="BS91" s="547">
        <v>0</v>
      </c>
      <c r="BT91" s="410"/>
      <c r="BU91" s="198">
        <v>0</v>
      </c>
      <c r="BV91" s="410"/>
      <c r="BW91" s="198">
        <v>0</v>
      </c>
      <c r="BX91" s="410"/>
      <c r="BY91" s="198">
        <v>0</v>
      </c>
      <c r="BZ91" s="410"/>
      <c r="CA91" s="198">
        <v>0</v>
      </c>
      <c r="CB91" s="410"/>
      <c r="CC91" s="198">
        <v>0</v>
      </c>
      <c r="CD91" s="410"/>
      <c r="CE91" s="198">
        <v>7878875.0099999998</v>
      </c>
      <c r="CF91" s="410"/>
      <c r="CG91" s="198">
        <v>7797062.5099999998</v>
      </c>
      <c r="CH91" s="410"/>
      <c r="CI91" s="198">
        <v>7715250.0099999998</v>
      </c>
      <c r="CJ91" s="410"/>
      <c r="CK91" s="198">
        <v>7635875.0099999998</v>
      </c>
      <c r="CL91" s="410"/>
      <c r="CM91" s="198">
        <v>7554062.5099999998</v>
      </c>
      <c r="CN91" s="410"/>
      <c r="CO91" s="198">
        <v>7474687.5099999998</v>
      </c>
      <c r="CP91" s="410"/>
      <c r="CQ91" s="198">
        <v>15726499.98</v>
      </c>
      <c r="CR91" s="410"/>
      <c r="CS91" s="198">
        <v>15583749.98</v>
      </c>
      <c r="CT91" s="157"/>
      <c r="CU91" s="198">
        <v>15426374.98</v>
      </c>
      <c r="CV91" s="157"/>
      <c r="CW91" s="198">
        <v>15268999.98</v>
      </c>
      <c r="CX91" s="157"/>
      <c r="CY91" s="191">
        <v>15116499.98</v>
      </c>
      <c r="CZ91" s="157"/>
      <c r="DA91" s="191">
        <v>14959124.98</v>
      </c>
      <c r="DB91" s="157"/>
      <c r="DC91" s="191">
        <v>15696916.640000001</v>
      </c>
      <c r="DD91" s="157"/>
      <c r="DE91" s="191">
        <v>15540833.310000001</v>
      </c>
      <c r="DF91" s="157"/>
      <c r="DG91" s="191">
        <v>15384749.98</v>
      </c>
      <c r="DH91" s="157"/>
      <c r="DI91" s="191">
        <v>15233499.98</v>
      </c>
      <c r="DJ91" s="157"/>
      <c r="DK91" s="191">
        <v>15077416.65</v>
      </c>
      <c r="DL91" s="157"/>
      <c r="DM91" s="191">
        <v>14926166.65</v>
      </c>
      <c r="DN91" s="157"/>
      <c r="DO91" s="191">
        <v>15600479.15</v>
      </c>
      <c r="DP91" s="157"/>
      <c r="DQ91" s="198">
        <v>15466770.82</v>
      </c>
      <c r="DR91" s="157"/>
      <c r="DS91" s="198">
        <v>15319406.250000002</v>
      </c>
      <c r="DT91" s="157"/>
      <c r="DU91" s="198">
        <v>15172041.66</v>
      </c>
      <c r="DV91" s="157"/>
      <c r="DW91" s="198">
        <v>15029229.16</v>
      </c>
      <c r="DX91" s="157"/>
      <c r="DY91" s="191">
        <v>14881864.58</v>
      </c>
      <c r="DZ91" s="157"/>
      <c r="EA91" s="191"/>
      <c r="EB91" s="157"/>
      <c r="EC91" s="191"/>
      <c r="ED91" s="157"/>
      <c r="EE91" s="191"/>
      <c r="EF91" s="157"/>
      <c r="EG91" s="198"/>
      <c r="EH91" s="157"/>
      <c r="EI91" s="198"/>
      <c r="EJ91" s="157"/>
      <c r="EK91" s="198"/>
      <c r="EL91" s="157"/>
      <c r="EM91" s="198"/>
      <c r="EN91" s="157"/>
      <c r="EO91" s="191"/>
      <c r="EP91" s="157"/>
      <c r="EQ91" s="191"/>
      <c r="ER91" s="157"/>
      <c r="ES91" s="191"/>
      <c r="ET91" s="157"/>
      <c r="EU91" s="191"/>
      <c r="EV91" s="157"/>
      <c r="EW91" s="191"/>
      <c r="EX91" s="157"/>
      <c r="EY91" s="191"/>
      <c r="EZ91" s="157"/>
      <c r="FA91" s="191"/>
      <c r="FB91" s="157"/>
      <c r="FC91" s="191"/>
      <c r="FD91" s="157"/>
      <c r="FE91" s="191"/>
      <c r="FF91" s="157"/>
      <c r="FG91" s="191"/>
      <c r="FH91" s="157"/>
      <c r="FI91" s="191"/>
      <c r="FJ91" s="157"/>
      <c r="FK91" s="191"/>
      <c r="FL91" s="157"/>
      <c r="FM91" s="191"/>
      <c r="FN91" s="157"/>
      <c r="FO91" s="191"/>
      <c r="FP91" s="157"/>
      <c r="FQ91" s="191"/>
      <c r="FR91" s="157"/>
      <c r="FS91" s="191"/>
      <c r="FT91" s="157"/>
      <c r="FU91" s="191"/>
      <c r="FV91" s="157"/>
      <c r="FW91" s="191"/>
      <c r="FX91" s="157"/>
      <c r="FY91" s="191"/>
      <c r="FZ91" s="157"/>
      <c r="GA91" s="191"/>
      <c r="GB91" s="157"/>
      <c r="GC91" s="191"/>
      <c r="GD91" s="157"/>
      <c r="GE91" s="191"/>
      <c r="GF91" s="157"/>
      <c r="GG91" s="191"/>
      <c r="GH91" s="166"/>
      <c r="GI91" s="191"/>
      <c r="GJ91" s="191"/>
      <c r="GK91" s="179"/>
      <c r="GL91" s="157"/>
      <c r="GM91" s="179"/>
      <c r="GN91" s="166"/>
      <c r="GO91" s="179"/>
      <c r="GP91" s="191"/>
      <c r="GQ91" s="179"/>
      <c r="GR91" s="191"/>
      <c r="GS91" s="173"/>
      <c r="GT91" s="165"/>
      <c r="GU91" s="157"/>
      <c r="GV91" s="157"/>
      <c r="GW91" s="157"/>
      <c r="GX91" s="157"/>
      <c r="GY91" s="157"/>
      <c r="GZ91" s="157"/>
      <c r="HA91" s="157"/>
    </row>
    <row r="92" spans="1:209" ht="14.25" hidden="1" customHeight="1" outlineLevel="1">
      <c r="A92" s="158"/>
      <c r="B92" s="501" t="s">
        <v>354</v>
      </c>
      <c r="C92" s="198">
        <v>0</v>
      </c>
      <c r="D92" s="410"/>
      <c r="E92" s="198">
        <v>0</v>
      </c>
      <c r="F92" s="410"/>
      <c r="G92" s="198">
        <v>0</v>
      </c>
      <c r="H92" s="410"/>
      <c r="I92" s="198">
        <v>0</v>
      </c>
      <c r="J92" s="410"/>
      <c r="K92" s="198">
        <v>0</v>
      </c>
      <c r="L92" s="410"/>
      <c r="M92" s="198">
        <v>0</v>
      </c>
      <c r="N92" s="410"/>
      <c r="O92" s="198">
        <v>0</v>
      </c>
      <c r="P92" s="410"/>
      <c r="Q92" s="198">
        <v>0</v>
      </c>
      <c r="R92" s="410"/>
      <c r="S92" s="198">
        <v>0</v>
      </c>
      <c r="T92" s="410"/>
      <c r="U92" s="198">
        <v>0</v>
      </c>
      <c r="V92" s="410"/>
      <c r="W92" s="547">
        <v>0</v>
      </c>
      <c r="X92" s="410"/>
      <c r="Y92" s="198">
        <v>0</v>
      </c>
      <c r="Z92" s="410"/>
      <c r="AA92" s="198">
        <v>0</v>
      </c>
      <c r="AB92" s="410"/>
      <c r="AC92" s="198">
        <v>0</v>
      </c>
      <c r="AD92" s="410"/>
      <c r="AE92" s="198">
        <v>0</v>
      </c>
      <c r="AF92" s="410"/>
      <c r="AG92" s="198">
        <v>0</v>
      </c>
      <c r="AH92" s="410"/>
      <c r="AI92" s="198">
        <v>0</v>
      </c>
      <c r="AJ92" s="410"/>
      <c r="AK92" s="198">
        <v>0</v>
      </c>
      <c r="AL92" s="410"/>
      <c r="AM92" s="198">
        <v>0</v>
      </c>
      <c r="AN92" s="410"/>
      <c r="AO92" s="198">
        <v>0</v>
      </c>
      <c r="AP92" s="410"/>
      <c r="AQ92" s="198">
        <v>0</v>
      </c>
      <c r="AR92" s="410"/>
      <c r="AS92" s="198">
        <v>0</v>
      </c>
      <c r="AT92" s="410"/>
      <c r="AU92" s="547">
        <v>0</v>
      </c>
      <c r="AV92" s="410"/>
      <c r="AW92" s="198">
        <v>0</v>
      </c>
      <c r="AX92" s="410"/>
      <c r="AY92" s="198">
        <v>0</v>
      </c>
      <c r="AZ92" s="410"/>
      <c r="BA92" s="198">
        <v>0</v>
      </c>
      <c r="BB92" s="410"/>
      <c r="BC92" s="198">
        <v>0</v>
      </c>
      <c r="BD92" s="410"/>
      <c r="BE92" s="198">
        <v>0</v>
      </c>
      <c r="BF92" s="410"/>
      <c r="BG92" s="198">
        <v>0</v>
      </c>
      <c r="BH92" s="410"/>
      <c r="BI92" s="198">
        <v>0</v>
      </c>
      <c r="BJ92" s="410"/>
      <c r="BK92" s="198">
        <v>0</v>
      </c>
      <c r="BL92" s="410"/>
      <c r="BM92" s="198">
        <v>0</v>
      </c>
      <c r="BN92" s="410"/>
      <c r="BO92" s="198">
        <v>0</v>
      </c>
      <c r="BP92" s="410"/>
      <c r="BQ92" s="198">
        <v>0</v>
      </c>
      <c r="BR92" s="410"/>
      <c r="BS92" s="547">
        <v>0</v>
      </c>
      <c r="BT92" s="410"/>
      <c r="BU92" s="198">
        <v>0</v>
      </c>
      <c r="BV92" s="410"/>
      <c r="BW92" s="198">
        <v>0</v>
      </c>
      <c r="BX92" s="410"/>
      <c r="BY92" s="198">
        <v>0</v>
      </c>
      <c r="BZ92" s="410"/>
      <c r="CA92" s="198">
        <v>0</v>
      </c>
      <c r="CB92" s="410"/>
      <c r="CC92" s="198">
        <v>0</v>
      </c>
      <c r="CD92" s="410"/>
      <c r="CE92" s="198">
        <v>18378354.07</v>
      </c>
      <c r="CF92" s="410"/>
      <c r="CG92" s="198">
        <v>18193145.739999998</v>
      </c>
      <c r="CH92" s="410"/>
      <c r="CI92" s="198">
        <v>18007937.41</v>
      </c>
      <c r="CJ92" s="410"/>
      <c r="CK92" s="198">
        <v>17822729.079999998</v>
      </c>
      <c r="CL92" s="410"/>
      <c r="CM92" s="198">
        <v>17637520.75</v>
      </c>
      <c r="CN92" s="410"/>
      <c r="CO92" s="198">
        <v>17452312.420000002</v>
      </c>
      <c r="CP92" s="410"/>
      <c r="CQ92" s="198">
        <v>36683791.590000004</v>
      </c>
      <c r="CR92" s="410"/>
      <c r="CS92" s="198">
        <v>36327958.259999998</v>
      </c>
      <c r="CT92" s="157"/>
      <c r="CU92" s="198">
        <v>35972124.93</v>
      </c>
      <c r="CV92" s="157"/>
      <c r="CW92" s="198">
        <v>35616292</v>
      </c>
      <c r="CX92" s="157"/>
      <c r="CY92" s="191">
        <v>35260458.270000003</v>
      </c>
      <c r="CZ92" s="157"/>
      <c r="DA92" s="191">
        <v>34904624.939999998</v>
      </c>
      <c r="DB92" s="157"/>
      <c r="DC92" s="191">
        <v>36626138.829999998</v>
      </c>
      <c r="DD92" s="157"/>
      <c r="DE92" s="191">
        <v>36261944.390000001</v>
      </c>
      <c r="DF92" s="157"/>
      <c r="DG92" s="191">
        <v>35897749.950000003</v>
      </c>
      <c r="DH92" s="157"/>
      <c r="DI92" s="191">
        <v>35544833.289999999</v>
      </c>
      <c r="DJ92" s="157"/>
      <c r="DK92" s="191">
        <v>34557913.850000001</v>
      </c>
      <c r="DL92" s="157"/>
      <c r="DM92" s="191">
        <v>36269822.189999998</v>
      </c>
      <c r="DN92" s="157"/>
      <c r="DO92" s="191">
        <v>36401118.030000001</v>
      </c>
      <c r="DP92" s="157"/>
      <c r="DQ92" s="198">
        <v>36089131.920000002</v>
      </c>
      <c r="DR92" s="157"/>
      <c r="DS92" s="198">
        <v>35745281.250000015</v>
      </c>
      <c r="DT92" s="157"/>
      <c r="DU92" s="198">
        <v>35401430.539999999</v>
      </c>
      <c r="DV92" s="157"/>
      <c r="DW92" s="198">
        <v>35068201.388888896</v>
      </c>
      <c r="DX92" s="157"/>
      <c r="DY92" s="191">
        <v>34724350.689999998</v>
      </c>
      <c r="DZ92" s="157"/>
      <c r="EA92" s="191"/>
      <c r="EB92" s="157"/>
      <c r="EC92" s="191"/>
      <c r="ED92" s="157"/>
      <c r="EE92" s="191"/>
      <c r="EF92" s="157"/>
      <c r="EG92" s="198"/>
      <c r="EH92" s="157"/>
      <c r="EI92" s="198"/>
      <c r="EJ92" s="157"/>
      <c r="EK92" s="198"/>
      <c r="EL92" s="157"/>
      <c r="EM92" s="198"/>
      <c r="EN92" s="157"/>
      <c r="EO92" s="191"/>
      <c r="EP92" s="157"/>
      <c r="EQ92" s="191"/>
      <c r="ER92" s="157"/>
      <c r="ES92" s="191"/>
      <c r="ET92" s="157"/>
      <c r="EU92" s="191"/>
      <c r="EV92" s="157"/>
      <c r="EW92" s="191"/>
      <c r="EX92" s="157"/>
      <c r="EY92" s="191"/>
      <c r="EZ92" s="157"/>
      <c r="FA92" s="191"/>
      <c r="FB92" s="157"/>
      <c r="FC92" s="191"/>
      <c r="FD92" s="157"/>
      <c r="FE92" s="191"/>
      <c r="FF92" s="157"/>
      <c r="FG92" s="191"/>
      <c r="FH92" s="157"/>
      <c r="FI92" s="191"/>
      <c r="FJ92" s="157"/>
      <c r="FK92" s="191"/>
      <c r="FL92" s="157"/>
      <c r="FM92" s="191"/>
      <c r="FN92" s="157"/>
      <c r="FO92" s="191"/>
      <c r="FP92" s="157"/>
      <c r="FQ92" s="191"/>
      <c r="FR92" s="157"/>
      <c r="FS92" s="191"/>
      <c r="FT92" s="157"/>
      <c r="FU92" s="191"/>
      <c r="FV92" s="157"/>
      <c r="FW92" s="191"/>
      <c r="FX92" s="157"/>
      <c r="FY92" s="191"/>
      <c r="FZ92" s="157"/>
      <c r="GA92" s="191"/>
      <c r="GB92" s="157"/>
      <c r="GC92" s="191"/>
      <c r="GD92" s="157"/>
      <c r="GE92" s="191"/>
      <c r="GF92" s="157"/>
      <c r="GG92" s="191"/>
      <c r="GH92" s="166"/>
      <c r="GI92" s="191"/>
      <c r="GJ92" s="191"/>
      <c r="GK92" s="179"/>
      <c r="GL92" s="157"/>
      <c r="GM92" s="179"/>
      <c r="GN92" s="166"/>
      <c r="GO92" s="179"/>
      <c r="GP92" s="191"/>
      <c r="GQ92" s="179"/>
      <c r="GR92" s="191"/>
      <c r="GS92" s="173"/>
      <c r="GT92" s="165"/>
      <c r="GU92" s="157"/>
      <c r="GV92" s="157"/>
      <c r="GW92" s="157"/>
      <c r="GX92" s="157"/>
      <c r="GY92" s="157"/>
      <c r="GZ92" s="157"/>
      <c r="HA92" s="157"/>
    </row>
    <row r="93" spans="1:209" ht="14.25" hidden="1" customHeight="1" outlineLevel="1">
      <c r="A93" s="446"/>
      <c r="B93" s="501" t="s">
        <v>692</v>
      </c>
      <c r="C93" s="812">
        <v>0</v>
      </c>
      <c r="D93" s="410"/>
      <c r="E93" s="812">
        <v>0</v>
      </c>
      <c r="F93" s="410"/>
      <c r="G93" s="812">
        <v>0</v>
      </c>
      <c r="H93" s="410"/>
      <c r="I93" s="812">
        <v>0</v>
      </c>
      <c r="J93" s="410"/>
      <c r="K93" s="547">
        <v>68794112.950000003</v>
      </c>
      <c r="L93" s="410"/>
      <c r="M93" s="547">
        <v>67905059.890000001</v>
      </c>
      <c r="N93" s="410"/>
      <c r="O93" s="547">
        <v>67016006.829999998</v>
      </c>
      <c r="P93" s="410"/>
      <c r="Q93" s="547">
        <v>68437505.019999996</v>
      </c>
      <c r="R93" s="410"/>
      <c r="S93" s="547">
        <v>67548451.959999993</v>
      </c>
      <c r="T93" s="410"/>
      <c r="U93" s="547">
        <v>66684513.579999998</v>
      </c>
      <c r="V93" s="410"/>
      <c r="W93" s="547">
        <v>136510048.96000001</v>
      </c>
      <c r="X93" s="410"/>
      <c r="Y93" s="547">
        <v>134993128.71000001</v>
      </c>
      <c r="Z93" s="410"/>
      <c r="AA93" s="547">
        <v>133325520.33</v>
      </c>
      <c r="AB93" s="410"/>
      <c r="AC93" s="547">
        <v>136279014.44999999</v>
      </c>
      <c r="AD93" s="410"/>
      <c r="AE93" s="198">
        <v>134661635.44999999</v>
      </c>
      <c r="AF93" s="410"/>
      <c r="AG93" s="198">
        <v>132994027.06999999</v>
      </c>
      <c r="AH93" s="410"/>
      <c r="AI93" s="198">
        <v>136372750.58000001</v>
      </c>
      <c r="AJ93" s="410"/>
      <c r="AK93" s="198">
        <v>134705142.19999999</v>
      </c>
      <c r="AL93" s="410"/>
      <c r="AM93" s="198">
        <v>133037533.81999999</v>
      </c>
      <c r="AN93" s="410"/>
      <c r="AO93" s="198">
        <v>135991027.94</v>
      </c>
      <c r="AP93" s="410"/>
      <c r="AQ93" s="198">
        <v>134323419.56</v>
      </c>
      <c r="AR93" s="410"/>
      <c r="AS93" s="198">
        <v>137256271.47</v>
      </c>
      <c r="AT93" s="410"/>
      <c r="AU93" s="547">
        <v>135568020.88</v>
      </c>
      <c r="AV93" s="410"/>
      <c r="AW93" s="198">
        <v>134020825.39</v>
      </c>
      <c r="AX93" s="410"/>
      <c r="AY93" s="198">
        <v>133842680.18000001</v>
      </c>
      <c r="AZ93" s="410"/>
      <c r="BA93" s="198">
        <v>133997995.09999999</v>
      </c>
      <c r="BB93" s="410"/>
      <c r="BC93" s="198">
        <v>132394564.11</v>
      </c>
      <c r="BD93" s="410"/>
      <c r="BE93" s="591">
        <v>0</v>
      </c>
      <c r="BF93" s="410"/>
      <c r="BG93" s="591">
        <v>0</v>
      </c>
      <c r="BH93" s="410"/>
      <c r="BI93" s="591">
        <v>0</v>
      </c>
      <c r="BJ93" s="410"/>
      <c r="BK93" s="591">
        <v>0</v>
      </c>
      <c r="BL93" s="410"/>
      <c r="BM93" s="591">
        <v>0</v>
      </c>
      <c r="BN93" s="410"/>
      <c r="BO93" s="591">
        <v>0</v>
      </c>
      <c r="BP93" s="410"/>
      <c r="BQ93" s="591">
        <v>0</v>
      </c>
      <c r="BR93" s="410"/>
      <c r="BS93" s="812">
        <v>0</v>
      </c>
      <c r="BT93" s="410"/>
      <c r="BU93" s="198"/>
      <c r="BV93" s="410"/>
      <c r="BW93" s="198"/>
      <c r="BX93" s="410"/>
      <c r="BY93" s="198"/>
      <c r="BZ93" s="410"/>
      <c r="CA93" s="198"/>
      <c r="CB93" s="410"/>
      <c r="CC93" s="198"/>
      <c r="CD93" s="410"/>
      <c r="CE93" s="198"/>
      <c r="CF93" s="410"/>
      <c r="CG93" s="198"/>
      <c r="CH93" s="410"/>
      <c r="CI93" s="198"/>
      <c r="CJ93" s="410"/>
      <c r="CK93" s="198"/>
      <c r="CL93" s="410"/>
      <c r="CM93" s="198"/>
      <c r="CN93" s="410"/>
      <c r="CO93" s="198"/>
      <c r="CP93" s="410"/>
      <c r="CQ93" s="198"/>
      <c r="CR93" s="410"/>
      <c r="CS93" s="198"/>
      <c r="CT93" s="410"/>
      <c r="CU93" s="198"/>
      <c r="CV93" s="410"/>
      <c r="CW93" s="198"/>
      <c r="CX93" s="410"/>
      <c r="CY93" s="447"/>
      <c r="CZ93" s="410"/>
      <c r="DA93" s="447"/>
      <c r="DB93" s="410"/>
      <c r="DC93" s="447"/>
      <c r="DD93" s="410"/>
      <c r="DE93" s="447"/>
      <c r="DF93" s="410"/>
      <c r="DG93" s="447"/>
      <c r="DH93" s="410"/>
      <c r="DI93" s="447"/>
      <c r="DJ93" s="410"/>
      <c r="DK93" s="447"/>
      <c r="DL93" s="410"/>
      <c r="DM93" s="447"/>
      <c r="DN93" s="410"/>
      <c r="DO93" s="447"/>
      <c r="DP93" s="410"/>
      <c r="DQ93" s="198"/>
      <c r="DR93" s="410"/>
      <c r="DS93" s="198"/>
      <c r="DT93" s="410"/>
      <c r="DU93" s="198"/>
      <c r="DV93" s="410"/>
      <c r="DW93" s="198"/>
      <c r="DX93" s="410"/>
      <c r="DY93" s="447"/>
      <c r="DZ93" s="410"/>
      <c r="EA93" s="447"/>
      <c r="EB93" s="410"/>
      <c r="EC93" s="447"/>
      <c r="ED93" s="410"/>
      <c r="EE93" s="447"/>
      <c r="EF93" s="410"/>
      <c r="EG93" s="198"/>
      <c r="EH93" s="410"/>
      <c r="EI93" s="198"/>
      <c r="EJ93" s="410"/>
      <c r="EK93" s="198"/>
      <c r="EL93" s="410"/>
      <c r="EM93" s="198"/>
      <c r="EN93" s="410"/>
      <c r="EO93" s="447"/>
      <c r="EP93" s="410"/>
      <c r="EQ93" s="447"/>
      <c r="ER93" s="410"/>
      <c r="ES93" s="447"/>
      <c r="ET93" s="410"/>
      <c r="EU93" s="447"/>
      <c r="EV93" s="410"/>
      <c r="EW93" s="447"/>
      <c r="EX93" s="410"/>
      <c r="EY93" s="447"/>
      <c r="EZ93" s="410"/>
      <c r="FA93" s="447"/>
      <c r="FB93" s="410"/>
      <c r="FC93" s="447"/>
      <c r="FD93" s="410"/>
      <c r="FE93" s="447"/>
      <c r="FF93" s="410"/>
      <c r="FG93" s="447"/>
      <c r="FH93" s="410"/>
      <c r="FI93" s="447"/>
      <c r="FJ93" s="410"/>
      <c r="FK93" s="447"/>
      <c r="FL93" s="410"/>
      <c r="FM93" s="447"/>
      <c r="FN93" s="410"/>
      <c r="FO93" s="447"/>
      <c r="FP93" s="410"/>
      <c r="FQ93" s="447"/>
      <c r="FR93" s="410"/>
      <c r="FS93" s="447"/>
      <c r="FT93" s="410"/>
      <c r="FU93" s="447"/>
      <c r="FV93" s="410"/>
      <c r="FW93" s="447"/>
      <c r="FX93" s="410"/>
      <c r="FY93" s="447"/>
      <c r="FZ93" s="410"/>
      <c r="GA93" s="447"/>
      <c r="GB93" s="410"/>
      <c r="GC93" s="447"/>
      <c r="GD93" s="410"/>
      <c r="GE93" s="447"/>
      <c r="GF93" s="410"/>
      <c r="GG93" s="447"/>
      <c r="GH93" s="448"/>
      <c r="GI93" s="447"/>
      <c r="GJ93" s="447"/>
      <c r="GK93" s="449"/>
      <c r="GL93" s="410"/>
      <c r="GM93" s="449"/>
      <c r="GN93" s="448"/>
      <c r="GO93" s="449"/>
      <c r="GP93" s="447"/>
      <c r="GQ93" s="449"/>
      <c r="GR93" s="447"/>
      <c r="GS93" s="173"/>
      <c r="GT93" s="450"/>
      <c r="GU93" s="410"/>
      <c r="GV93" s="410"/>
      <c r="GW93" s="410"/>
      <c r="GX93" s="410"/>
      <c r="GY93" s="410"/>
      <c r="GZ93" s="410"/>
      <c r="HA93" s="410"/>
    </row>
    <row r="94" spans="1:209" ht="14.25" hidden="1" customHeight="1" collapsed="1">
      <c r="A94" s="158"/>
      <c r="B94" s="501" t="s">
        <v>355</v>
      </c>
      <c r="C94" s="547">
        <v>0</v>
      </c>
      <c r="D94" s="410"/>
      <c r="E94" s="547">
        <v>0</v>
      </c>
      <c r="F94" s="410"/>
      <c r="G94" s="547">
        <v>0</v>
      </c>
      <c r="H94" s="410"/>
      <c r="I94" s="547">
        <v>0</v>
      </c>
      <c r="J94" s="410"/>
      <c r="K94" s="547">
        <v>0</v>
      </c>
      <c r="L94" s="410"/>
      <c r="M94" s="547">
        <v>0</v>
      </c>
      <c r="N94" s="410"/>
      <c r="O94" s="547">
        <v>0</v>
      </c>
      <c r="P94" s="410"/>
      <c r="Q94" s="547">
        <v>0</v>
      </c>
      <c r="R94" s="410"/>
      <c r="S94" s="547">
        <v>0</v>
      </c>
      <c r="T94" s="410"/>
      <c r="U94" s="547">
        <v>0</v>
      </c>
      <c r="V94" s="410"/>
      <c r="W94" s="547">
        <v>0</v>
      </c>
      <c r="X94" s="410"/>
      <c r="Y94" s="547">
        <v>0</v>
      </c>
      <c r="Z94" s="410"/>
      <c r="AA94" s="547">
        <v>0</v>
      </c>
      <c r="AB94" s="410"/>
      <c r="AC94" s="547"/>
      <c r="AD94" s="410"/>
      <c r="AE94" s="198"/>
      <c r="AF94" s="410"/>
      <c r="AG94" s="198"/>
      <c r="AH94" s="410"/>
      <c r="AI94" s="198"/>
      <c r="AJ94" s="410"/>
      <c r="AK94" s="198"/>
      <c r="AL94" s="410"/>
      <c r="AM94" s="198"/>
      <c r="AN94" s="410"/>
      <c r="AO94" s="198"/>
      <c r="AP94" s="410"/>
      <c r="AQ94" s="198"/>
      <c r="AR94" s="410"/>
      <c r="AS94" s="198"/>
      <c r="AT94" s="410"/>
      <c r="AU94" s="547">
        <v>0</v>
      </c>
      <c r="AV94" s="410"/>
      <c r="AW94" s="198">
        <v>0</v>
      </c>
      <c r="AX94" s="410"/>
      <c r="AY94" s="198">
        <v>0</v>
      </c>
      <c r="AZ94" s="410"/>
      <c r="BA94" s="725">
        <v>0</v>
      </c>
      <c r="BB94" s="410"/>
      <c r="BC94" s="725">
        <v>0</v>
      </c>
      <c r="BD94" s="410"/>
      <c r="BE94" s="725">
        <v>0</v>
      </c>
      <c r="BF94" s="410"/>
      <c r="BG94" s="725">
        <v>0</v>
      </c>
      <c r="BH94" s="410"/>
      <c r="BI94" s="198">
        <v>15028406.210000001</v>
      </c>
      <c r="BJ94" s="410"/>
      <c r="BK94" s="198">
        <v>14881354.130000001</v>
      </c>
      <c r="BL94" s="410"/>
      <c r="BM94" s="198">
        <v>14738854.130000001</v>
      </c>
      <c r="BN94" s="410"/>
      <c r="BO94" s="547">
        <v>14591802</v>
      </c>
      <c r="BP94" s="410"/>
      <c r="BQ94" s="547">
        <v>14449302</v>
      </c>
      <c r="BR94" s="410"/>
      <c r="BS94" s="547">
        <v>14302249.970000001</v>
      </c>
      <c r="BT94" s="410"/>
      <c r="BU94" s="198">
        <v>15006437.470000001</v>
      </c>
      <c r="BV94" s="410"/>
      <c r="BW94" s="198">
        <v>14859385.390000001</v>
      </c>
      <c r="BX94" s="410"/>
      <c r="BY94" s="198">
        <v>14712333.310000001</v>
      </c>
      <c r="BZ94" s="410"/>
      <c r="CA94" s="198">
        <v>14569833.310000001</v>
      </c>
      <c r="CB94" s="410"/>
      <c r="CC94" s="198">
        <v>14422781.23</v>
      </c>
      <c r="CD94" s="410"/>
      <c r="CE94" s="198">
        <v>14280281.23</v>
      </c>
      <c r="CF94" s="410"/>
      <c r="CG94" s="198">
        <v>14957156.23</v>
      </c>
      <c r="CH94" s="410"/>
      <c r="CI94" s="198">
        <v>14810104.15</v>
      </c>
      <c r="CJ94" s="410"/>
      <c r="CK94" s="198">
        <v>14667604.15</v>
      </c>
      <c r="CL94" s="410"/>
      <c r="CM94" s="198">
        <v>14520552.07</v>
      </c>
      <c r="CN94" s="410"/>
      <c r="CO94" s="198">
        <v>14378052.07</v>
      </c>
      <c r="CP94" s="410"/>
      <c r="CQ94" s="198">
        <v>14230999.99</v>
      </c>
      <c r="CR94" s="410"/>
      <c r="CS94" s="198">
        <v>14935187.49</v>
      </c>
      <c r="CT94" s="157"/>
      <c r="CU94" s="198">
        <v>14788135.41</v>
      </c>
      <c r="CV94" s="157"/>
      <c r="CW94" s="198">
        <v>14641083</v>
      </c>
      <c r="CX94" s="157"/>
      <c r="CY94" s="191">
        <v>14498583.33</v>
      </c>
      <c r="CZ94" s="157"/>
      <c r="DA94" s="191">
        <v>14351531.25</v>
      </c>
      <c r="DB94" s="157"/>
      <c r="DC94" s="191">
        <v>14209031.25</v>
      </c>
      <c r="DD94" s="157"/>
      <c r="DE94" s="191">
        <v>0</v>
      </c>
      <c r="DF94" s="157"/>
      <c r="DG94" s="191">
        <v>0</v>
      </c>
      <c r="DH94" s="157"/>
      <c r="DI94" s="191">
        <v>0</v>
      </c>
      <c r="DJ94" s="157"/>
      <c r="DK94" s="191">
        <v>0</v>
      </c>
      <c r="DL94" s="157"/>
      <c r="DM94" s="191">
        <v>0</v>
      </c>
      <c r="DN94" s="157"/>
      <c r="DO94" s="191">
        <v>0</v>
      </c>
      <c r="DP94" s="157"/>
      <c r="DQ94" s="191">
        <v>0</v>
      </c>
      <c r="DR94" s="157"/>
      <c r="DS94" s="191">
        <v>0</v>
      </c>
      <c r="DT94" s="157"/>
      <c r="DU94" s="191">
        <v>0</v>
      </c>
      <c r="DV94" s="157"/>
      <c r="DW94" s="191">
        <v>0</v>
      </c>
      <c r="DX94" s="157"/>
      <c r="DY94" s="191">
        <v>0</v>
      </c>
      <c r="DZ94" s="157"/>
      <c r="EA94" s="191">
        <v>0</v>
      </c>
      <c r="EB94" s="157"/>
      <c r="EC94" s="191">
        <v>0</v>
      </c>
      <c r="ED94" s="157"/>
      <c r="EE94" s="191">
        <v>0</v>
      </c>
      <c r="EF94" s="157"/>
      <c r="EG94" s="191">
        <v>0</v>
      </c>
      <c r="EH94" s="157"/>
      <c r="EI94" s="191">
        <v>0</v>
      </c>
      <c r="EJ94" s="157"/>
      <c r="EK94" s="191">
        <v>0</v>
      </c>
      <c r="EL94" s="157"/>
      <c r="EM94" s="191">
        <v>0</v>
      </c>
      <c r="EN94" s="157"/>
      <c r="EO94" s="191">
        <v>0</v>
      </c>
      <c r="EP94" s="157"/>
      <c r="EQ94" s="191">
        <v>0</v>
      </c>
      <c r="ER94" s="157"/>
      <c r="ES94" s="191">
        <v>0</v>
      </c>
      <c r="ET94" s="157"/>
      <c r="EU94" s="191">
        <v>0</v>
      </c>
      <c r="EV94" s="157"/>
      <c r="EW94" s="191">
        <v>0</v>
      </c>
      <c r="EX94" s="157"/>
      <c r="EY94" s="191">
        <v>0</v>
      </c>
      <c r="EZ94" s="157"/>
      <c r="FA94" s="191">
        <v>0</v>
      </c>
      <c r="FB94" s="157"/>
      <c r="FC94" s="191">
        <v>0</v>
      </c>
      <c r="FD94" s="157"/>
      <c r="FE94" s="191">
        <v>0</v>
      </c>
      <c r="FF94" s="157"/>
      <c r="FG94" s="191">
        <v>0</v>
      </c>
      <c r="FH94" s="157"/>
      <c r="FI94" s="191">
        <v>0</v>
      </c>
      <c r="FJ94" s="157"/>
      <c r="FK94" s="191">
        <v>0</v>
      </c>
      <c r="FL94" s="157"/>
      <c r="FM94" s="191">
        <v>0</v>
      </c>
      <c r="FN94" s="157"/>
      <c r="FO94" s="191">
        <v>0</v>
      </c>
      <c r="FP94" s="157"/>
      <c r="FQ94" s="191">
        <v>0</v>
      </c>
      <c r="FR94" s="157"/>
      <c r="FS94" s="191">
        <v>0</v>
      </c>
      <c r="FT94" s="157"/>
      <c r="FU94" s="191">
        <v>0</v>
      </c>
      <c r="FV94" s="157"/>
      <c r="FW94" s="191">
        <v>0</v>
      </c>
      <c r="FX94" s="157"/>
      <c r="FY94" s="191"/>
      <c r="FZ94" s="157"/>
      <c r="GA94" s="191"/>
      <c r="GB94" s="157"/>
      <c r="GC94" s="191"/>
      <c r="GD94" s="157"/>
      <c r="GE94" s="191"/>
      <c r="GF94" s="157"/>
      <c r="GG94" s="191"/>
      <c r="GH94" s="166"/>
      <c r="GI94" s="191"/>
      <c r="GJ94" s="191"/>
      <c r="GK94" s="179"/>
      <c r="GL94" s="157"/>
      <c r="GM94" s="179"/>
      <c r="GN94" s="166"/>
      <c r="GO94" s="179"/>
      <c r="GP94" s="191"/>
      <c r="GQ94" s="179"/>
      <c r="GR94" s="191"/>
      <c r="GS94" s="173"/>
      <c r="GT94" s="165"/>
      <c r="GU94" s="157"/>
      <c r="GV94" s="157"/>
      <c r="GW94" s="157"/>
      <c r="GX94" s="157"/>
      <c r="GY94" s="157"/>
      <c r="GZ94" s="157"/>
      <c r="HA94" s="157"/>
    </row>
    <row r="95" spans="1:209" ht="14.25" hidden="1" customHeight="1">
      <c r="A95" s="158"/>
      <c r="B95" s="501" t="s">
        <v>356</v>
      </c>
      <c r="C95" s="547">
        <v>0</v>
      </c>
      <c r="D95" s="410"/>
      <c r="E95" s="547">
        <v>0</v>
      </c>
      <c r="F95" s="410"/>
      <c r="G95" s="547">
        <v>0</v>
      </c>
      <c r="H95" s="410"/>
      <c r="I95" s="547">
        <v>0</v>
      </c>
      <c r="J95" s="410"/>
      <c r="K95" s="547">
        <v>0</v>
      </c>
      <c r="L95" s="410"/>
      <c r="M95" s="547">
        <v>0</v>
      </c>
      <c r="N95" s="410"/>
      <c r="O95" s="547">
        <v>0</v>
      </c>
      <c r="P95" s="410"/>
      <c r="Q95" s="547">
        <v>0</v>
      </c>
      <c r="R95" s="410"/>
      <c r="S95" s="547">
        <v>0</v>
      </c>
      <c r="T95" s="410"/>
      <c r="U95" s="547">
        <v>0</v>
      </c>
      <c r="V95" s="410"/>
      <c r="W95" s="547">
        <v>0</v>
      </c>
      <c r="X95" s="410"/>
      <c r="Y95" s="547">
        <v>0</v>
      </c>
      <c r="Z95" s="410"/>
      <c r="AA95" s="547">
        <v>0</v>
      </c>
      <c r="AB95" s="410"/>
      <c r="AC95" s="547">
        <v>0</v>
      </c>
      <c r="AD95" s="410"/>
      <c r="AE95" s="198">
        <v>0</v>
      </c>
      <c r="AF95" s="410"/>
      <c r="AG95" s="198">
        <v>0</v>
      </c>
      <c r="AH95" s="410"/>
      <c r="AI95" s="198">
        <v>0</v>
      </c>
      <c r="AJ95" s="410"/>
      <c r="AK95" s="198">
        <v>0</v>
      </c>
      <c r="AL95" s="410"/>
      <c r="AM95" s="198">
        <v>0</v>
      </c>
      <c r="AN95" s="410"/>
      <c r="AO95" s="198">
        <v>0</v>
      </c>
      <c r="AP95" s="410"/>
      <c r="AQ95" s="198">
        <v>0</v>
      </c>
      <c r="AR95" s="410"/>
      <c r="AS95" s="198">
        <v>0</v>
      </c>
      <c r="AT95" s="410"/>
      <c r="AU95" s="547">
        <v>0</v>
      </c>
      <c r="AV95" s="410"/>
      <c r="AW95" s="198">
        <v>0</v>
      </c>
      <c r="AX95" s="410"/>
      <c r="AY95" s="198">
        <v>0</v>
      </c>
      <c r="AZ95" s="410"/>
      <c r="BA95" s="725">
        <v>0</v>
      </c>
      <c r="BB95" s="410"/>
      <c r="BC95" s="725">
        <v>0</v>
      </c>
      <c r="BD95" s="410"/>
      <c r="BE95" s="725">
        <v>0</v>
      </c>
      <c r="BF95" s="410"/>
      <c r="BG95" s="725">
        <v>0</v>
      </c>
      <c r="BH95" s="410"/>
      <c r="BI95" s="198">
        <v>30047708.440000001</v>
      </c>
      <c r="BJ95" s="410"/>
      <c r="BK95" s="198">
        <v>29762708.440000001</v>
      </c>
      <c r="BL95" s="410"/>
      <c r="BM95" s="198">
        <v>29477708.440000001</v>
      </c>
      <c r="BN95" s="410"/>
      <c r="BO95" s="198">
        <v>29192708.440000001</v>
      </c>
      <c r="BP95" s="410"/>
      <c r="BQ95" s="198">
        <v>28907708.440000001</v>
      </c>
      <c r="BR95" s="410"/>
      <c r="BS95" s="547">
        <v>28622708.440000001</v>
      </c>
      <c r="BT95" s="410"/>
      <c r="BU95" s="198">
        <v>29976458.440000001</v>
      </c>
      <c r="BV95" s="410"/>
      <c r="BW95" s="198">
        <v>29691458.440000001</v>
      </c>
      <c r="BX95" s="410"/>
      <c r="BY95" s="198">
        <v>29406458.440000001</v>
      </c>
      <c r="BZ95" s="410"/>
      <c r="CA95" s="198">
        <v>29121458.440000001</v>
      </c>
      <c r="CB95" s="410"/>
      <c r="CC95" s="198">
        <v>28836458.440000001</v>
      </c>
      <c r="CD95" s="410"/>
      <c r="CE95" s="198">
        <v>30190208.34</v>
      </c>
      <c r="CF95" s="410"/>
      <c r="CG95" s="198">
        <v>29905208.34</v>
      </c>
      <c r="CH95" s="410"/>
      <c r="CI95" s="198">
        <v>29620208.34</v>
      </c>
      <c r="CJ95" s="410"/>
      <c r="CK95" s="198">
        <v>29335208.34</v>
      </c>
      <c r="CL95" s="410"/>
      <c r="CM95" s="198">
        <v>29050208.34</v>
      </c>
      <c r="CN95" s="410"/>
      <c r="CO95" s="198">
        <v>28765208.34</v>
      </c>
      <c r="CP95" s="410"/>
      <c r="CQ95" s="198">
        <v>28480208.34</v>
      </c>
      <c r="CR95" s="410"/>
      <c r="CS95" s="198">
        <v>29870375.010000002</v>
      </c>
      <c r="CT95" s="157"/>
      <c r="CU95" s="198">
        <v>29576270.84</v>
      </c>
      <c r="CV95" s="157"/>
      <c r="CW95" s="198">
        <v>29282167</v>
      </c>
      <c r="CX95" s="157"/>
      <c r="CY95" s="191">
        <v>28991541.670000002</v>
      </c>
      <c r="CZ95" s="157"/>
      <c r="DA95" s="191">
        <v>28703062.5</v>
      </c>
      <c r="DB95" s="157"/>
      <c r="DC95" s="191">
        <v>28418062.5</v>
      </c>
      <c r="DD95" s="157"/>
      <c r="DE95" s="191">
        <v>0</v>
      </c>
      <c r="DF95" s="157"/>
      <c r="DG95" s="191">
        <v>0</v>
      </c>
      <c r="DH95" s="157"/>
      <c r="DI95" s="191">
        <v>0</v>
      </c>
      <c r="DJ95" s="157"/>
      <c r="DK95" s="191">
        <v>0</v>
      </c>
      <c r="DL95" s="157"/>
      <c r="DM95" s="191">
        <v>0</v>
      </c>
      <c r="DN95" s="157"/>
      <c r="DO95" s="191">
        <v>0</v>
      </c>
      <c r="DP95" s="157"/>
      <c r="DQ95" s="191">
        <v>0</v>
      </c>
      <c r="DR95" s="157"/>
      <c r="DS95" s="191">
        <v>0</v>
      </c>
      <c r="DT95" s="157"/>
      <c r="DU95" s="191">
        <v>0</v>
      </c>
      <c r="DV95" s="157"/>
      <c r="DW95" s="191">
        <v>0</v>
      </c>
      <c r="DX95" s="157"/>
      <c r="DY95" s="191">
        <v>0</v>
      </c>
      <c r="DZ95" s="157"/>
      <c r="EA95" s="191">
        <v>0</v>
      </c>
      <c r="EB95" s="157"/>
      <c r="EC95" s="191">
        <v>0</v>
      </c>
      <c r="ED95" s="157"/>
      <c r="EE95" s="191">
        <v>0</v>
      </c>
      <c r="EF95" s="157"/>
      <c r="EG95" s="191">
        <v>0</v>
      </c>
      <c r="EH95" s="157"/>
      <c r="EI95" s="191">
        <v>0</v>
      </c>
      <c r="EJ95" s="157"/>
      <c r="EK95" s="191">
        <v>0</v>
      </c>
      <c r="EL95" s="157"/>
      <c r="EM95" s="191">
        <v>0</v>
      </c>
      <c r="EN95" s="157"/>
      <c r="EO95" s="191">
        <v>0</v>
      </c>
      <c r="EP95" s="157"/>
      <c r="EQ95" s="191">
        <v>0</v>
      </c>
      <c r="ER95" s="157"/>
      <c r="ES95" s="191">
        <v>0</v>
      </c>
      <c r="ET95" s="157"/>
      <c r="EU95" s="191">
        <v>0</v>
      </c>
      <c r="EV95" s="157"/>
      <c r="EW95" s="191">
        <v>0</v>
      </c>
      <c r="EX95" s="157"/>
      <c r="EY95" s="191">
        <v>0</v>
      </c>
      <c r="EZ95" s="157"/>
      <c r="FA95" s="191">
        <v>0</v>
      </c>
      <c r="FB95" s="157"/>
      <c r="FC95" s="191">
        <v>0</v>
      </c>
      <c r="FD95" s="157"/>
      <c r="FE95" s="191">
        <v>0</v>
      </c>
      <c r="FF95" s="157"/>
      <c r="FG95" s="191">
        <v>0</v>
      </c>
      <c r="FH95" s="157"/>
      <c r="FI95" s="191">
        <v>0</v>
      </c>
      <c r="FJ95" s="157"/>
      <c r="FK95" s="191">
        <v>0</v>
      </c>
      <c r="FL95" s="157"/>
      <c r="FM95" s="191">
        <v>0</v>
      </c>
      <c r="FN95" s="157"/>
      <c r="FO95" s="191">
        <v>0</v>
      </c>
      <c r="FP95" s="157"/>
      <c r="FQ95" s="191">
        <v>0</v>
      </c>
      <c r="FR95" s="157"/>
      <c r="FS95" s="191">
        <v>0</v>
      </c>
      <c r="FT95" s="157"/>
      <c r="FU95" s="191">
        <v>0</v>
      </c>
      <c r="FV95" s="157"/>
      <c r="FW95" s="191">
        <v>0</v>
      </c>
      <c r="FX95" s="157"/>
      <c r="FY95" s="191"/>
      <c r="FZ95" s="157"/>
      <c r="GA95" s="191"/>
      <c r="GB95" s="157"/>
      <c r="GC95" s="191"/>
      <c r="GD95" s="157"/>
      <c r="GE95" s="191"/>
      <c r="GF95" s="157"/>
      <c r="GG95" s="191"/>
      <c r="GH95" s="166"/>
      <c r="GI95" s="191"/>
      <c r="GJ95" s="191"/>
      <c r="GK95" s="179"/>
      <c r="GL95" s="157"/>
      <c r="GM95" s="179"/>
      <c r="GN95" s="166"/>
      <c r="GO95" s="179"/>
      <c r="GP95" s="191"/>
      <c r="GQ95" s="179"/>
      <c r="GR95" s="191"/>
      <c r="GS95" s="173"/>
      <c r="GT95" s="165"/>
      <c r="GU95" s="157"/>
      <c r="GV95" s="157"/>
      <c r="GW95" s="157"/>
      <c r="GX95" s="157"/>
      <c r="GY95" s="157"/>
      <c r="GZ95" s="157"/>
      <c r="HA95" s="157"/>
    </row>
    <row r="96" spans="1:209" ht="13.65" customHeight="1">
      <c r="A96" s="446"/>
      <c r="B96" s="501" t="s">
        <v>706</v>
      </c>
      <c r="C96" s="198">
        <v>35917494.079999998</v>
      </c>
      <c r="D96" s="725"/>
      <c r="E96" s="198">
        <v>36588899.039999999</v>
      </c>
      <c r="F96" s="725"/>
      <c r="G96" s="547">
        <v>36089085.25</v>
      </c>
      <c r="H96" s="725"/>
      <c r="I96" s="547">
        <v>35576257.920000002</v>
      </c>
      <c r="J96" s="725"/>
      <c r="K96" s="547">
        <v>73713232.670000002</v>
      </c>
      <c r="L96" s="725"/>
      <c r="M96" s="547">
        <v>72796985.549999997</v>
      </c>
      <c r="N96" s="725"/>
      <c r="O96" s="547">
        <v>71880738.430000007</v>
      </c>
      <c r="P96" s="725"/>
      <c r="Q96" s="547">
        <v>73358982.969999999</v>
      </c>
      <c r="R96" s="725"/>
      <c r="S96" s="547">
        <v>72442735.849999994</v>
      </c>
      <c r="T96" s="725"/>
      <c r="U96" s="547">
        <v>71552515.810000002</v>
      </c>
      <c r="V96" s="725"/>
      <c r="W96" s="547">
        <v>110018248.89</v>
      </c>
      <c r="X96" s="725"/>
      <c r="Y96" s="547">
        <v>108815703.84999999</v>
      </c>
      <c r="Z96" s="725"/>
      <c r="AA96" s="547">
        <v>107496036.93000001</v>
      </c>
      <c r="AB96" s="725"/>
      <c r="AC96" s="547">
        <v>109729066.88</v>
      </c>
      <c r="AD96" s="725"/>
      <c r="AE96" s="198">
        <v>108448440.59</v>
      </c>
      <c r="AF96" s="725"/>
      <c r="AG96" s="198">
        <v>107128773.67</v>
      </c>
      <c r="AH96" s="725"/>
      <c r="AI96" s="198">
        <v>146923872.03</v>
      </c>
      <c r="AJ96" s="725"/>
      <c r="AK96" s="198">
        <v>145245229.75999999</v>
      </c>
      <c r="AL96" s="725"/>
      <c r="AM96" s="198">
        <v>142863856.24000001</v>
      </c>
      <c r="AN96" s="725"/>
      <c r="AO96" s="198">
        <v>146104332.72999999</v>
      </c>
      <c r="AP96" s="725"/>
      <c r="AQ96" s="198">
        <v>144425690.46000001</v>
      </c>
      <c r="AR96" s="725"/>
      <c r="AS96" s="198">
        <v>142957434.08000001</v>
      </c>
      <c r="AT96" s="725"/>
      <c r="AU96" s="723">
        <v>-16942.59</v>
      </c>
      <c r="AV96" s="725"/>
      <c r="AW96" s="725">
        <v>0</v>
      </c>
      <c r="AX96" s="725"/>
      <c r="AY96" s="725">
        <v>0</v>
      </c>
      <c r="AZ96" s="410"/>
      <c r="BA96" s="725">
        <v>0</v>
      </c>
      <c r="BB96" s="410"/>
      <c r="BC96" s="725">
        <v>0</v>
      </c>
      <c r="BD96" s="410"/>
      <c r="BE96" s="725">
        <v>0</v>
      </c>
      <c r="BF96" s="410"/>
      <c r="BG96" s="725">
        <v>0</v>
      </c>
      <c r="BH96" s="410"/>
      <c r="BI96" s="198"/>
      <c r="BJ96" s="410"/>
      <c r="BK96" s="198"/>
      <c r="BL96" s="410"/>
      <c r="BM96" s="198"/>
      <c r="BN96" s="410"/>
      <c r="BO96" s="198"/>
      <c r="BP96" s="410"/>
      <c r="BQ96" s="198"/>
      <c r="BR96" s="410"/>
      <c r="BS96" s="547"/>
      <c r="BT96" s="410"/>
      <c r="BU96" s="198"/>
      <c r="BV96" s="410"/>
      <c r="BW96" s="198"/>
      <c r="BX96" s="410"/>
      <c r="BY96" s="198"/>
      <c r="BZ96" s="410"/>
      <c r="CA96" s="198"/>
      <c r="CB96" s="410"/>
      <c r="CC96" s="198"/>
      <c r="CD96" s="410"/>
      <c r="CE96" s="198"/>
      <c r="CF96" s="410"/>
      <c r="CG96" s="198"/>
      <c r="CH96" s="410"/>
      <c r="CI96" s="198"/>
      <c r="CJ96" s="410"/>
      <c r="CK96" s="198"/>
      <c r="CL96" s="410"/>
      <c r="CM96" s="198"/>
      <c r="CN96" s="410"/>
      <c r="CO96" s="198"/>
      <c r="CP96" s="410"/>
      <c r="CQ96" s="198"/>
      <c r="CR96" s="410"/>
      <c r="CS96" s="198"/>
      <c r="CT96" s="410"/>
      <c r="CU96" s="198"/>
      <c r="CV96" s="410"/>
      <c r="CW96" s="198"/>
      <c r="CX96" s="410"/>
      <c r="CY96" s="447"/>
      <c r="CZ96" s="410"/>
      <c r="DA96" s="447"/>
      <c r="DB96" s="410"/>
      <c r="DC96" s="447"/>
      <c r="DD96" s="410"/>
      <c r="DE96" s="447"/>
      <c r="DF96" s="410"/>
      <c r="DG96" s="447"/>
      <c r="DH96" s="410"/>
      <c r="DI96" s="447"/>
      <c r="DJ96" s="410"/>
      <c r="DK96" s="447"/>
      <c r="DL96" s="410"/>
      <c r="DM96" s="447"/>
      <c r="DN96" s="410"/>
      <c r="DO96" s="447"/>
      <c r="DP96" s="410"/>
      <c r="DQ96" s="447"/>
      <c r="DR96" s="410"/>
      <c r="DS96" s="447"/>
      <c r="DT96" s="410"/>
      <c r="DU96" s="447"/>
      <c r="DV96" s="410"/>
      <c r="DW96" s="447"/>
      <c r="DX96" s="410"/>
      <c r="DY96" s="447"/>
      <c r="DZ96" s="410"/>
      <c r="EA96" s="447"/>
      <c r="EB96" s="410"/>
      <c r="EC96" s="447"/>
      <c r="ED96" s="410"/>
      <c r="EE96" s="447"/>
      <c r="EF96" s="410"/>
      <c r="EG96" s="447"/>
      <c r="EH96" s="410"/>
      <c r="EI96" s="447"/>
      <c r="EJ96" s="410"/>
      <c r="EK96" s="447"/>
      <c r="EL96" s="410"/>
      <c r="EM96" s="447"/>
      <c r="EN96" s="410"/>
      <c r="EO96" s="447"/>
      <c r="EP96" s="410"/>
      <c r="EQ96" s="447"/>
      <c r="ER96" s="410"/>
      <c r="ES96" s="447"/>
      <c r="ET96" s="410"/>
      <c r="EU96" s="447"/>
      <c r="EV96" s="410"/>
      <c r="EW96" s="447"/>
      <c r="EX96" s="410"/>
      <c r="EY96" s="447"/>
      <c r="EZ96" s="410"/>
      <c r="FA96" s="447"/>
      <c r="FB96" s="410"/>
      <c r="FC96" s="447"/>
      <c r="FD96" s="410"/>
      <c r="FE96" s="447"/>
      <c r="FF96" s="410"/>
      <c r="FG96" s="447"/>
      <c r="FH96" s="410"/>
      <c r="FI96" s="447"/>
      <c r="FJ96" s="410"/>
      <c r="FK96" s="447"/>
      <c r="FL96" s="410"/>
      <c r="FM96" s="447"/>
      <c r="FN96" s="410"/>
      <c r="FO96" s="447"/>
      <c r="FP96" s="410"/>
      <c r="FQ96" s="447"/>
      <c r="FR96" s="410"/>
      <c r="FS96" s="447"/>
      <c r="FT96" s="410"/>
      <c r="FU96" s="447"/>
      <c r="FV96" s="410"/>
      <c r="FW96" s="447"/>
      <c r="FX96" s="410"/>
      <c r="FY96" s="447"/>
      <c r="FZ96" s="410"/>
      <c r="GA96" s="447"/>
      <c r="GB96" s="410"/>
      <c r="GC96" s="447"/>
      <c r="GD96" s="410"/>
      <c r="GE96" s="447"/>
      <c r="GF96" s="410"/>
      <c r="GG96" s="447"/>
      <c r="GH96" s="448"/>
      <c r="GI96" s="447"/>
      <c r="GJ96" s="447"/>
      <c r="GK96" s="449"/>
      <c r="GL96" s="410"/>
      <c r="GM96" s="449"/>
      <c r="GN96" s="448"/>
      <c r="GO96" s="449"/>
      <c r="GP96" s="447"/>
      <c r="GQ96" s="449"/>
      <c r="GR96" s="447"/>
      <c r="GS96" s="173"/>
      <c r="GT96" s="450"/>
      <c r="GU96" s="410"/>
      <c r="GV96" s="410"/>
      <c r="GW96" s="410"/>
      <c r="GX96" s="410"/>
      <c r="GY96" s="410"/>
      <c r="GZ96" s="410"/>
      <c r="HA96" s="410"/>
    </row>
    <row r="97" spans="1:209" ht="14.25" hidden="1" customHeight="1">
      <c r="A97" s="446"/>
      <c r="B97" s="410" t="s">
        <v>577</v>
      </c>
      <c r="C97" s="198">
        <v>0</v>
      </c>
      <c r="D97" s="410"/>
      <c r="E97" s="198">
        <v>0</v>
      </c>
      <c r="F97" s="410"/>
      <c r="G97" s="547">
        <v>0</v>
      </c>
      <c r="H97" s="410"/>
      <c r="I97" s="547">
        <v>0</v>
      </c>
      <c r="J97" s="410"/>
      <c r="K97" s="547">
        <v>0</v>
      </c>
      <c r="L97" s="410"/>
      <c r="M97" s="547">
        <v>0</v>
      </c>
      <c r="N97" s="410"/>
      <c r="O97" s="547">
        <v>0</v>
      </c>
      <c r="P97" s="410"/>
      <c r="Q97" s="547">
        <v>0</v>
      </c>
      <c r="R97" s="410"/>
      <c r="S97" s="547">
        <v>0</v>
      </c>
      <c r="T97" s="410"/>
      <c r="U97" s="547">
        <v>0</v>
      </c>
      <c r="V97" s="410"/>
      <c r="W97" s="547">
        <v>0</v>
      </c>
      <c r="X97" s="410"/>
      <c r="Y97" s="547">
        <v>0</v>
      </c>
      <c r="Z97" s="410"/>
      <c r="AA97" s="547">
        <v>0</v>
      </c>
      <c r="AB97" s="410"/>
      <c r="AC97" s="812">
        <v>0</v>
      </c>
      <c r="AD97" s="410"/>
      <c r="AE97" s="591">
        <v>0</v>
      </c>
      <c r="AF97" s="410"/>
      <c r="AG97" s="591">
        <v>0</v>
      </c>
      <c r="AH97" s="410"/>
      <c r="AI97" s="591">
        <v>0</v>
      </c>
      <c r="AJ97" s="410"/>
      <c r="AK97" s="591">
        <v>0</v>
      </c>
      <c r="AL97" s="410"/>
      <c r="AM97" s="591">
        <v>0</v>
      </c>
      <c r="AN97" s="410"/>
      <c r="AO97" s="591">
        <v>0</v>
      </c>
      <c r="AP97" s="410"/>
      <c r="AQ97" s="591">
        <v>0</v>
      </c>
      <c r="AR97" s="410"/>
      <c r="AS97" s="591">
        <v>0</v>
      </c>
      <c r="AT97" s="410"/>
      <c r="AU97" s="547">
        <v>33300894.34</v>
      </c>
      <c r="AV97" s="410"/>
      <c r="AW97" s="198">
        <v>32980307.530000001</v>
      </c>
      <c r="AX97" s="410"/>
      <c r="AY97" s="198">
        <v>32639436.010000002</v>
      </c>
      <c r="AZ97" s="410"/>
      <c r="BA97" s="198">
        <v>32298564.489999998</v>
      </c>
      <c r="BB97" s="410"/>
      <c r="BC97" s="198">
        <v>31967835.329999998</v>
      </c>
      <c r="BD97" s="410"/>
      <c r="BE97" s="198">
        <v>31626963.809999999</v>
      </c>
      <c r="BF97" s="410"/>
      <c r="BG97" s="198">
        <v>66454067.979999997</v>
      </c>
      <c r="BH97" s="410"/>
      <c r="BI97" s="198">
        <v>65798783.259999998</v>
      </c>
      <c r="BJ97" s="410"/>
      <c r="BK97" s="198">
        <v>65143498.539999999</v>
      </c>
      <c r="BL97" s="410"/>
      <c r="BM97" s="198">
        <v>64508498.539999999</v>
      </c>
      <c r="BN97" s="410"/>
      <c r="BO97" s="198">
        <v>63853214</v>
      </c>
      <c r="BP97" s="410"/>
      <c r="BQ97" s="198">
        <v>63218214</v>
      </c>
      <c r="BR97" s="410"/>
      <c r="BS97" s="547">
        <v>66219034.659999996</v>
      </c>
      <c r="BT97" s="410"/>
      <c r="BU97" s="198">
        <v>65624604.100000001</v>
      </c>
      <c r="BV97" s="410"/>
      <c r="BW97" s="198">
        <v>64969319.380000003</v>
      </c>
      <c r="BX97" s="410"/>
      <c r="BY97" s="198">
        <v>64314034.659999996</v>
      </c>
      <c r="BZ97" s="410"/>
      <c r="CA97" s="198">
        <v>63679034.659999996</v>
      </c>
      <c r="CB97" s="410"/>
      <c r="CC97" s="198">
        <v>63023749.939999998</v>
      </c>
      <c r="CD97" s="410"/>
      <c r="CE97" s="198">
        <v>64462104.259999998</v>
      </c>
      <c r="CF97" s="410"/>
      <c r="CG97" s="198">
        <v>65445569.439999998</v>
      </c>
      <c r="CH97" s="410"/>
      <c r="CI97" s="198">
        <v>64790284.719999999</v>
      </c>
      <c r="CJ97" s="410"/>
      <c r="CK97" s="198">
        <v>64155284.719999999</v>
      </c>
      <c r="CL97" s="410"/>
      <c r="CM97" s="198">
        <v>63500000</v>
      </c>
      <c r="CN97" s="410"/>
      <c r="CO97" s="198">
        <v>62865000</v>
      </c>
      <c r="CP97" s="410"/>
      <c r="CQ97" s="198">
        <v>0</v>
      </c>
      <c r="CR97" s="410"/>
      <c r="CS97" s="198">
        <v>0</v>
      </c>
      <c r="CT97" s="410"/>
      <c r="CU97" s="198">
        <v>0</v>
      </c>
      <c r="CV97" s="410"/>
      <c r="CW97" s="198">
        <v>0</v>
      </c>
      <c r="CX97" s="410"/>
      <c r="CY97" s="447">
        <v>0</v>
      </c>
      <c r="CZ97" s="410"/>
      <c r="DA97" s="447">
        <v>0</v>
      </c>
      <c r="DB97" s="410"/>
      <c r="DC97" s="447">
        <v>0</v>
      </c>
      <c r="DD97" s="410"/>
      <c r="DE97" s="447">
        <v>0</v>
      </c>
      <c r="DF97" s="410"/>
      <c r="DG97" s="447">
        <v>0</v>
      </c>
      <c r="DH97" s="410"/>
      <c r="DI97" s="447">
        <v>0</v>
      </c>
      <c r="DJ97" s="410"/>
      <c r="DK97" s="447">
        <v>0</v>
      </c>
      <c r="DL97" s="410"/>
      <c r="DM97" s="447">
        <v>0</v>
      </c>
      <c r="DN97" s="410"/>
      <c r="DO97" s="447"/>
      <c r="DP97" s="410"/>
      <c r="DQ97" s="447"/>
      <c r="DR97" s="410"/>
      <c r="DS97" s="447"/>
      <c r="DT97" s="410"/>
      <c r="DU97" s="447"/>
      <c r="DV97" s="410"/>
      <c r="DW97" s="447"/>
      <c r="DX97" s="410"/>
      <c r="DY97" s="447"/>
      <c r="DZ97" s="410"/>
      <c r="EA97" s="447"/>
      <c r="EB97" s="410"/>
      <c r="EC97" s="447"/>
      <c r="ED97" s="410"/>
      <c r="EE97" s="447"/>
      <c r="EF97" s="410"/>
      <c r="EG97" s="447"/>
      <c r="EH97" s="410"/>
      <c r="EI97" s="447"/>
      <c r="EJ97" s="410"/>
      <c r="EK97" s="447"/>
      <c r="EL97" s="410"/>
      <c r="EM97" s="447"/>
      <c r="EN97" s="410"/>
      <c r="EO97" s="447"/>
      <c r="EP97" s="410"/>
      <c r="EQ97" s="447"/>
      <c r="ER97" s="410"/>
      <c r="ES97" s="447"/>
      <c r="ET97" s="410"/>
      <c r="EU97" s="447"/>
      <c r="EV97" s="410"/>
      <c r="EW97" s="447"/>
      <c r="EX97" s="410"/>
      <c r="EY97" s="447"/>
      <c r="EZ97" s="410"/>
      <c r="FA97" s="447"/>
      <c r="FB97" s="410"/>
      <c r="FC97" s="447"/>
      <c r="FD97" s="410"/>
      <c r="FE97" s="447"/>
      <c r="FF97" s="410"/>
      <c r="FG97" s="447"/>
      <c r="FH97" s="410"/>
      <c r="FI97" s="447"/>
      <c r="FJ97" s="410"/>
      <c r="FK97" s="447"/>
      <c r="FL97" s="410"/>
      <c r="FM97" s="447"/>
      <c r="FN97" s="410"/>
      <c r="FO97" s="447"/>
      <c r="FP97" s="410"/>
      <c r="FQ97" s="447"/>
      <c r="FR97" s="410"/>
      <c r="FS97" s="447"/>
      <c r="FT97" s="410"/>
      <c r="FU97" s="447"/>
      <c r="FV97" s="410"/>
      <c r="FW97" s="447"/>
      <c r="FX97" s="410"/>
      <c r="FY97" s="447"/>
      <c r="FZ97" s="410"/>
      <c r="GA97" s="447"/>
      <c r="GB97" s="410"/>
      <c r="GC97" s="447"/>
      <c r="GD97" s="410"/>
      <c r="GE97" s="447"/>
      <c r="GF97" s="410"/>
      <c r="GG97" s="447"/>
      <c r="GH97" s="448"/>
      <c r="GI97" s="447"/>
      <c r="GJ97" s="447"/>
      <c r="GK97" s="449"/>
      <c r="GL97" s="410"/>
      <c r="GM97" s="449"/>
      <c r="GN97" s="448"/>
      <c r="GO97" s="449"/>
      <c r="GP97" s="447"/>
      <c r="GQ97" s="449"/>
      <c r="GR97" s="447"/>
      <c r="GS97" s="173"/>
      <c r="GT97" s="450"/>
      <c r="GU97" s="410"/>
      <c r="GV97" s="410"/>
      <c r="GW97" s="410"/>
      <c r="GX97" s="410"/>
      <c r="GY97" s="410"/>
      <c r="GZ97" s="410"/>
      <c r="HA97" s="410"/>
    </row>
    <row r="98" spans="1:209" ht="14.25" customHeight="1">
      <c r="A98" s="446"/>
      <c r="B98" s="501" t="s">
        <v>857</v>
      </c>
      <c r="C98" s="198">
        <v>117910914.44</v>
      </c>
      <c r="D98" s="410"/>
      <c r="E98" s="198">
        <v>-297864.18</v>
      </c>
      <c r="F98" s="410"/>
      <c r="G98" s="547">
        <v>-297864.18</v>
      </c>
      <c r="H98" s="410"/>
      <c r="I98" s="547">
        <v>-297864.18</v>
      </c>
      <c r="J98" s="410"/>
      <c r="K98" s="547"/>
      <c r="L98" s="410"/>
      <c r="M98" s="547"/>
      <c r="N98" s="410"/>
      <c r="O98" s="547"/>
      <c r="P98" s="410"/>
      <c r="Q98" s="547"/>
      <c r="R98" s="410"/>
      <c r="S98" s="547"/>
      <c r="T98" s="410"/>
      <c r="U98" s="547"/>
      <c r="V98" s="410"/>
      <c r="W98" s="547"/>
      <c r="X98" s="410"/>
      <c r="Y98" s="547"/>
      <c r="Z98" s="410"/>
      <c r="AA98" s="547"/>
      <c r="AB98" s="410"/>
      <c r="AC98" s="812"/>
      <c r="AD98" s="410"/>
      <c r="AE98" s="591"/>
      <c r="AF98" s="410"/>
      <c r="AG98" s="591"/>
      <c r="AH98" s="410"/>
      <c r="AI98" s="591"/>
      <c r="AJ98" s="410"/>
      <c r="AK98" s="591"/>
      <c r="AL98" s="410"/>
      <c r="AM98" s="591"/>
      <c r="AN98" s="410"/>
      <c r="AO98" s="591"/>
      <c r="AP98" s="410"/>
      <c r="AQ98" s="591"/>
      <c r="AR98" s="410"/>
      <c r="AS98" s="591"/>
      <c r="AT98" s="410"/>
      <c r="AU98" s="547"/>
      <c r="AV98" s="410"/>
      <c r="AW98" s="198"/>
      <c r="AX98" s="410"/>
      <c r="AY98" s="198"/>
      <c r="AZ98" s="410"/>
      <c r="BA98" s="198"/>
      <c r="BB98" s="410"/>
      <c r="BC98" s="198"/>
      <c r="BD98" s="410"/>
      <c r="BE98" s="198"/>
      <c r="BF98" s="410"/>
      <c r="BG98" s="198"/>
      <c r="BH98" s="410"/>
      <c r="BI98" s="198"/>
      <c r="BJ98" s="410"/>
      <c r="BK98" s="198"/>
      <c r="BL98" s="410"/>
      <c r="BM98" s="198"/>
      <c r="BN98" s="410"/>
      <c r="BO98" s="198"/>
      <c r="BP98" s="410"/>
      <c r="BQ98" s="198"/>
      <c r="BR98" s="410"/>
      <c r="BS98" s="547"/>
      <c r="BT98" s="410"/>
      <c r="BU98" s="198"/>
      <c r="BV98" s="410"/>
      <c r="BW98" s="198"/>
      <c r="BX98" s="410"/>
      <c r="BY98" s="198"/>
      <c r="BZ98" s="410"/>
      <c r="CA98" s="198"/>
      <c r="CB98" s="410"/>
      <c r="CC98" s="198"/>
      <c r="CD98" s="410"/>
      <c r="CE98" s="198"/>
      <c r="CF98" s="410"/>
      <c r="CG98" s="198"/>
      <c r="CH98" s="410"/>
      <c r="CI98" s="198"/>
      <c r="CJ98" s="410"/>
      <c r="CK98" s="198"/>
      <c r="CL98" s="410"/>
      <c r="CM98" s="198"/>
      <c r="CN98" s="410"/>
      <c r="CO98" s="198"/>
      <c r="CP98" s="410"/>
      <c r="CQ98" s="198"/>
      <c r="CR98" s="410"/>
      <c r="CS98" s="198"/>
      <c r="CT98" s="410"/>
      <c r="CU98" s="198"/>
      <c r="CV98" s="410"/>
      <c r="CW98" s="198"/>
      <c r="CX98" s="410"/>
      <c r="CY98" s="447"/>
      <c r="CZ98" s="410"/>
      <c r="DA98" s="447"/>
      <c r="DB98" s="410"/>
      <c r="DC98" s="447"/>
      <c r="DD98" s="410"/>
      <c r="DE98" s="447"/>
      <c r="DF98" s="410"/>
      <c r="DG98" s="447"/>
      <c r="DH98" s="410"/>
      <c r="DI98" s="447"/>
      <c r="DJ98" s="410"/>
      <c r="DK98" s="447"/>
      <c r="DL98" s="410"/>
      <c r="DM98" s="447"/>
      <c r="DN98" s="410"/>
      <c r="DO98" s="447"/>
      <c r="DP98" s="410"/>
      <c r="DQ98" s="447"/>
      <c r="DR98" s="410"/>
      <c r="DS98" s="447"/>
      <c r="DT98" s="410"/>
      <c r="DU98" s="447"/>
      <c r="DV98" s="410"/>
      <c r="DW98" s="447"/>
      <c r="DX98" s="410"/>
      <c r="DY98" s="447"/>
      <c r="DZ98" s="410"/>
      <c r="EA98" s="447"/>
      <c r="EB98" s="410"/>
      <c r="EC98" s="447"/>
      <c r="ED98" s="410"/>
      <c r="EE98" s="447"/>
      <c r="EF98" s="410"/>
      <c r="EG98" s="447"/>
      <c r="EH98" s="410"/>
      <c r="EI98" s="447"/>
      <c r="EJ98" s="410"/>
      <c r="EK98" s="447"/>
      <c r="EL98" s="410"/>
      <c r="EM98" s="447"/>
      <c r="EN98" s="410"/>
      <c r="EO98" s="447"/>
      <c r="EP98" s="410"/>
      <c r="EQ98" s="447"/>
      <c r="ER98" s="410"/>
      <c r="ES98" s="447"/>
      <c r="ET98" s="410"/>
      <c r="EU98" s="447"/>
      <c r="EV98" s="410"/>
      <c r="EW98" s="447"/>
      <c r="EX98" s="410"/>
      <c r="EY98" s="447"/>
      <c r="EZ98" s="410"/>
      <c r="FA98" s="447"/>
      <c r="FB98" s="410"/>
      <c r="FC98" s="447"/>
      <c r="FD98" s="410"/>
      <c r="FE98" s="447"/>
      <c r="FF98" s="410"/>
      <c r="FG98" s="447"/>
      <c r="FH98" s="410"/>
      <c r="FI98" s="447"/>
      <c r="FJ98" s="410"/>
      <c r="FK98" s="447"/>
      <c r="FL98" s="410"/>
      <c r="FM98" s="447"/>
      <c r="FN98" s="410"/>
      <c r="FO98" s="447"/>
      <c r="FP98" s="410"/>
      <c r="FQ98" s="447"/>
      <c r="FR98" s="410"/>
      <c r="FS98" s="447"/>
      <c r="FT98" s="410"/>
      <c r="FU98" s="447"/>
      <c r="FV98" s="410"/>
      <c r="FW98" s="447"/>
      <c r="FX98" s="410"/>
      <c r="FY98" s="447"/>
      <c r="FZ98" s="410"/>
      <c r="GA98" s="447"/>
      <c r="GB98" s="410"/>
      <c r="GC98" s="447"/>
      <c r="GD98" s="410"/>
      <c r="GE98" s="447"/>
      <c r="GF98" s="410"/>
      <c r="GG98" s="447"/>
      <c r="GH98" s="448"/>
      <c r="GI98" s="447"/>
      <c r="GJ98" s="447"/>
      <c r="GK98" s="449"/>
      <c r="GL98" s="410"/>
      <c r="GM98" s="449"/>
      <c r="GN98" s="448"/>
      <c r="GO98" s="449"/>
      <c r="GP98" s="447"/>
      <c r="GQ98" s="449"/>
      <c r="GR98" s="447"/>
      <c r="GS98" s="173"/>
      <c r="GT98" s="450"/>
      <c r="GU98" s="410"/>
      <c r="GV98" s="410"/>
      <c r="GW98" s="410"/>
      <c r="GX98" s="410"/>
      <c r="GY98" s="410"/>
      <c r="GZ98" s="410"/>
      <c r="HA98" s="410"/>
    </row>
    <row r="99" spans="1:209" ht="14.25" customHeight="1">
      <c r="A99" s="446"/>
      <c r="B99" s="582" t="s">
        <v>596</v>
      </c>
      <c r="C99" s="647">
        <v>0</v>
      </c>
      <c r="D99" s="410"/>
      <c r="E99" s="647">
        <v>0</v>
      </c>
      <c r="F99" s="410"/>
      <c r="G99" s="547">
        <v>44753239.450000003</v>
      </c>
      <c r="H99" s="410"/>
      <c r="I99" s="547">
        <v>44269876.609999999</v>
      </c>
      <c r="J99" s="410"/>
      <c r="K99" s="547">
        <v>43755792.420000002</v>
      </c>
      <c r="L99" s="410"/>
      <c r="M99" s="547">
        <v>43225400.969999999</v>
      </c>
      <c r="N99" s="410"/>
      <c r="O99" s="547">
        <v>44195277.539999999</v>
      </c>
      <c r="P99" s="410"/>
      <c r="Q99" s="547">
        <v>43681193.350000001</v>
      </c>
      <c r="R99" s="410"/>
      <c r="S99" s="547">
        <v>43150801.899999999</v>
      </c>
      <c r="T99" s="410"/>
      <c r="U99" s="547">
        <v>44086445.009999998</v>
      </c>
      <c r="V99" s="410"/>
      <c r="W99" s="547">
        <v>43584614.719999999</v>
      </c>
      <c r="X99" s="410"/>
      <c r="Y99" s="547">
        <v>43076202.829999998</v>
      </c>
      <c r="Z99" s="410"/>
      <c r="AA99" s="547">
        <v>44104774.950000003</v>
      </c>
      <c r="AB99" s="410"/>
      <c r="AC99" s="547">
        <v>43544554.609999999</v>
      </c>
      <c r="AD99" s="410"/>
      <c r="AE99" s="198">
        <v>43001603.75</v>
      </c>
      <c r="AF99" s="410"/>
      <c r="AG99" s="198">
        <v>88383614.359999999</v>
      </c>
      <c r="AH99" s="410"/>
      <c r="AI99" s="198">
        <v>87322579</v>
      </c>
      <c r="AJ99" s="410"/>
      <c r="AK99" s="198">
        <v>86227004.670000002</v>
      </c>
      <c r="AL99" s="410"/>
      <c r="AM99" s="198">
        <v>88309015.269999996</v>
      </c>
      <c r="AN99" s="410"/>
      <c r="AO99" s="198">
        <v>87247979.909999996</v>
      </c>
      <c r="AP99" s="410"/>
      <c r="AQ99" s="198">
        <v>86152405.579999998</v>
      </c>
      <c r="AR99" s="410"/>
      <c r="AS99" s="198">
        <v>88199877.219999999</v>
      </c>
      <c r="AT99" s="410"/>
      <c r="AU99" s="547">
        <v>87104302.890000001</v>
      </c>
      <c r="AV99" s="410"/>
      <c r="AW99" s="198">
        <v>86077806.5</v>
      </c>
      <c r="AX99" s="410"/>
      <c r="AY99" s="198">
        <v>88180654.040000007</v>
      </c>
      <c r="AZ99" s="410"/>
      <c r="BA99" s="198">
        <v>87074490.459999993</v>
      </c>
      <c r="BB99" s="410"/>
      <c r="BC99" s="198">
        <v>86003207.430000007</v>
      </c>
      <c r="BD99" s="410"/>
      <c r="BE99" s="198">
        <v>88106055.409999996</v>
      </c>
      <c r="BF99" s="410"/>
      <c r="BG99" s="198">
        <v>87034772.379999995</v>
      </c>
      <c r="BH99" s="410"/>
      <c r="BI99" s="198">
        <v>85928608.799999997</v>
      </c>
      <c r="BJ99" s="410"/>
      <c r="BK99" s="198">
        <v>87797099.590000004</v>
      </c>
      <c r="BL99" s="410"/>
      <c r="BM99" s="198">
        <v>86800364.730000004</v>
      </c>
      <c r="BN99" s="410"/>
      <c r="BO99" s="198">
        <v>85900816.719999999</v>
      </c>
      <c r="BP99" s="410"/>
      <c r="BQ99" s="198">
        <v>87722500.510000005</v>
      </c>
      <c r="BR99" s="410"/>
      <c r="BS99" s="547">
        <v>86693370.030000001</v>
      </c>
      <c r="BT99" s="410"/>
      <c r="BU99" s="198">
        <v>88549561.519999996</v>
      </c>
      <c r="BV99" s="410"/>
      <c r="BW99" s="198">
        <v>87691497.310000002</v>
      </c>
      <c r="BX99" s="410"/>
      <c r="BY99" s="198">
        <v>86682277.620000005</v>
      </c>
      <c r="BZ99" s="410"/>
      <c r="CA99" s="198">
        <v>-13462.49</v>
      </c>
      <c r="CB99" s="410"/>
      <c r="CC99" s="591">
        <v>0</v>
      </c>
      <c r="CD99" s="410"/>
      <c r="CE99" s="198"/>
      <c r="CF99" s="410"/>
      <c r="CG99" s="198"/>
      <c r="CH99" s="410"/>
      <c r="CI99" s="198"/>
      <c r="CJ99" s="410"/>
      <c r="CK99" s="198"/>
      <c r="CL99" s="410"/>
      <c r="CM99" s="198"/>
      <c r="CN99" s="410"/>
      <c r="CO99" s="198"/>
      <c r="CP99" s="410"/>
      <c r="CQ99" s="198"/>
      <c r="CR99" s="410"/>
      <c r="CS99" s="198"/>
      <c r="CT99" s="410"/>
      <c r="CU99" s="198"/>
      <c r="CV99" s="410"/>
      <c r="CW99" s="198"/>
      <c r="CX99" s="410"/>
      <c r="CY99" s="447"/>
      <c r="CZ99" s="410"/>
      <c r="DA99" s="447"/>
      <c r="DB99" s="410"/>
      <c r="DC99" s="447"/>
      <c r="DD99" s="410"/>
      <c r="DE99" s="447"/>
      <c r="DF99" s="410"/>
      <c r="DG99" s="447"/>
      <c r="DH99" s="410"/>
      <c r="DI99" s="447"/>
      <c r="DJ99" s="410"/>
      <c r="DK99" s="447"/>
      <c r="DL99" s="410"/>
      <c r="DM99" s="447"/>
      <c r="DN99" s="410"/>
      <c r="DO99" s="447"/>
      <c r="DP99" s="410"/>
      <c r="DQ99" s="447"/>
      <c r="DR99" s="410"/>
      <c r="DS99" s="447"/>
      <c r="DT99" s="410"/>
      <c r="DU99" s="447"/>
      <c r="DV99" s="410"/>
      <c r="DW99" s="447"/>
      <c r="DX99" s="410"/>
      <c r="DY99" s="447"/>
      <c r="DZ99" s="410"/>
      <c r="EA99" s="447"/>
      <c r="EB99" s="410"/>
      <c r="EC99" s="447"/>
      <c r="ED99" s="410"/>
      <c r="EE99" s="447"/>
      <c r="EF99" s="410"/>
      <c r="EG99" s="447"/>
      <c r="EH99" s="410"/>
      <c r="EI99" s="447"/>
      <c r="EJ99" s="410"/>
      <c r="EK99" s="447"/>
      <c r="EL99" s="410"/>
      <c r="EM99" s="447"/>
      <c r="EN99" s="410"/>
      <c r="EO99" s="447"/>
      <c r="EP99" s="410"/>
      <c r="EQ99" s="447"/>
      <c r="ER99" s="410"/>
      <c r="ES99" s="447"/>
      <c r="ET99" s="410"/>
      <c r="EU99" s="447"/>
      <c r="EV99" s="410"/>
      <c r="EW99" s="447"/>
      <c r="EX99" s="410"/>
      <c r="EY99" s="447"/>
      <c r="EZ99" s="410"/>
      <c r="FA99" s="447"/>
      <c r="FB99" s="410"/>
      <c r="FC99" s="447"/>
      <c r="FD99" s="410"/>
      <c r="FE99" s="447"/>
      <c r="FF99" s="410"/>
      <c r="FG99" s="447"/>
      <c r="FH99" s="410"/>
      <c r="FI99" s="447"/>
      <c r="FJ99" s="410"/>
      <c r="FK99" s="447"/>
      <c r="FL99" s="410"/>
      <c r="FM99" s="447"/>
      <c r="FN99" s="410"/>
      <c r="FO99" s="447"/>
      <c r="FP99" s="410"/>
      <c r="FQ99" s="447"/>
      <c r="FR99" s="410"/>
      <c r="FS99" s="447"/>
      <c r="FT99" s="410"/>
      <c r="FU99" s="447"/>
      <c r="FV99" s="410"/>
      <c r="FW99" s="447"/>
      <c r="FX99" s="410"/>
      <c r="FY99" s="447"/>
      <c r="FZ99" s="410"/>
      <c r="GA99" s="447"/>
      <c r="GB99" s="410"/>
      <c r="GC99" s="447"/>
      <c r="GD99" s="410"/>
      <c r="GE99" s="447"/>
      <c r="GF99" s="410"/>
      <c r="GG99" s="447"/>
      <c r="GH99" s="448"/>
      <c r="GI99" s="447"/>
      <c r="GJ99" s="447"/>
      <c r="GK99" s="449"/>
      <c r="GL99" s="410"/>
      <c r="GM99" s="449"/>
      <c r="GN99" s="448"/>
      <c r="GO99" s="449"/>
      <c r="GP99" s="447"/>
      <c r="GQ99" s="449"/>
      <c r="GR99" s="447"/>
      <c r="GS99" s="173"/>
      <c r="GT99" s="450"/>
      <c r="GU99" s="410"/>
      <c r="GV99" s="410"/>
      <c r="GW99" s="410"/>
      <c r="GX99" s="410"/>
      <c r="GY99" s="410"/>
      <c r="GZ99" s="410"/>
      <c r="HA99" s="410"/>
    </row>
    <row r="100" spans="1:209" ht="14.25" hidden="1" customHeight="1">
      <c r="A100" s="446"/>
      <c r="B100" s="410" t="s">
        <v>578</v>
      </c>
      <c r="C100" s="198">
        <v>0</v>
      </c>
      <c r="D100" s="410"/>
      <c r="E100" s="198">
        <v>0</v>
      </c>
      <c r="F100" s="410"/>
      <c r="G100" s="547">
        <v>0</v>
      </c>
      <c r="H100" s="410"/>
      <c r="I100" s="547">
        <v>0</v>
      </c>
      <c r="J100" s="410"/>
      <c r="K100" s="547">
        <v>0</v>
      </c>
      <c r="L100" s="410"/>
      <c r="M100" s="547">
        <v>0</v>
      </c>
      <c r="N100" s="410"/>
      <c r="O100" s="547">
        <v>0</v>
      </c>
      <c r="P100" s="410"/>
      <c r="Q100" s="547">
        <v>0</v>
      </c>
      <c r="R100" s="410"/>
      <c r="S100" s="547">
        <v>0</v>
      </c>
      <c r="T100" s="410"/>
      <c r="U100" s="547">
        <v>0</v>
      </c>
      <c r="V100" s="410"/>
      <c r="W100" s="547">
        <v>0</v>
      </c>
      <c r="X100" s="410"/>
      <c r="Y100" s="547">
        <v>0</v>
      </c>
      <c r="Z100" s="410"/>
      <c r="AA100" s="547">
        <v>0</v>
      </c>
      <c r="AB100" s="410"/>
      <c r="AC100" s="547">
        <v>-0.05</v>
      </c>
      <c r="AD100" s="410"/>
      <c r="AE100" s="198">
        <v>-0.05</v>
      </c>
      <c r="AF100" s="410"/>
      <c r="AG100" s="198">
        <v>-0.05</v>
      </c>
      <c r="AH100" s="410"/>
      <c r="AI100" s="198">
        <v>-0.05</v>
      </c>
      <c r="AJ100" s="410"/>
      <c r="AK100" s="198">
        <v>-0.05</v>
      </c>
      <c r="AL100" s="410"/>
      <c r="AM100" s="198">
        <v>-0.05</v>
      </c>
      <c r="AN100" s="410"/>
      <c r="AO100" s="198">
        <v>24978148.899999999</v>
      </c>
      <c r="AP100" s="410"/>
      <c r="AQ100" s="198">
        <v>24705617.850000001</v>
      </c>
      <c r="AR100" s="410"/>
      <c r="AS100" s="198">
        <v>24441014.800000001</v>
      </c>
      <c r="AT100" s="410"/>
      <c r="AU100" s="547">
        <v>24168483.75</v>
      </c>
      <c r="AV100" s="410"/>
      <c r="AW100" s="198">
        <v>23911808.699999999</v>
      </c>
      <c r="AX100" s="410"/>
      <c r="AY100" s="198">
        <v>23623421.649999999</v>
      </c>
      <c r="AZ100" s="410"/>
      <c r="BA100" s="198">
        <v>37308134.600000001</v>
      </c>
      <c r="BB100" s="410"/>
      <c r="BC100" s="198">
        <v>36924611.549999997</v>
      </c>
      <c r="BD100" s="410"/>
      <c r="BE100" s="198">
        <v>36529196.5</v>
      </c>
      <c r="BF100" s="410"/>
      <c r="BG100" s="198">
        <v>36145673.450000003</v>
      </c>
      <c r="BH100" s="410"/>
      <c r="BI100" s="198">
        <v>35750258.399999999</v>
      </c>
      <c r="BJ100" s="410"/>
      <c r="BK100" s="198">
        <v>35354843.350000001</v>
      </c>
      <c r="BL100" s="410"/>
      <c r="BM100" s="198">
        <v>49630192.299999997</v>
      </c>
      <c r="BN100" s="410"/>
      <c r="BO100" s="198">
        <v>49111893.25</v>
      </c>
      <c r="BP100" s="410"/>
      <c r="BQ100" s="198">
        <v>48609450.200000003</v>
      </c>
      <c r="BR100" s="410"/>
      <c r="BS100" s="547">
        <v>48091151.149999999</v>
      </c>
      <c r="BT100" s="410"/>
      <c r="BU100" s="198">
        <v>47620420.100000001</v>
      </c>
      <c r="BV100" s="410"/>
      <c r="BW100" s="198">
        <v>50003769.049999997</v>
      </c>
      <c r="BX100" s="410"/>
      <c r="BY100" s="198">
        <v>49485470</v>
      </c>
      <c r="BZ100" s="410"/>
      <c r="CA100" s="198">
        <v>48983026.950000003</v>
      </c>
      <c r="CB100" s="410"/>
      <c r="CC100" s="198">
        <v>48464727.899999999</v>
      </c>
      <c r="CD100" s="410"/>
      <c r="CE100" s="198">
        <v>47962284.850000001</v>
      </c>
      <c r="CF100" s="410"/>
      <c r="CG100" s="547">
        <v>47443985.799999997</v>
      </c>
      <c r="CH100" s="410"/>
      <c r="CI100" s="198">
        <v>-166633.25</v>
      </c>
      <c r="CJ100" s="410"/>
      <c r="CK100" s="198">
        <v>-165483.25</v>
      </c>
      <c r="CL100" s="410"/>
      <c r="CM100" s="198">
        <v>-165483.25</v>
      </c>
      <c r="CN100" s="410"/>
      <c r="CO100" s="198">
        <v>-104000</v>
      </c>
      <c r="CP100" s="410"/>
      <c r="CQ100" s="198">
        <v>0</v>
      </c>
      <c r="CR100" s="410"/>
      <c r="CS100" s="198">
        <v>0</v>
      </c>
      <c r="CT100" s="410"/>
      <c r="CU100" s="198">
        <v>0</v>
      </c>
      <c r="CV100" s="410"/>
      <c r="CW100" s="198">
        <v>0</v>
      </c>
      <c r="CX100" s="410"/>
      <c r="CY100" s="447">
        <v>0</v>
      </c>
      <c r="CZ100" s="410"/>
      <c r="DA100" s="447">
        <v>0</v>
      </c>
      <c r="DB100" s="410"/>
      <c r="DC100" s="447">
        <v>0</v>
      </c>
      <c r="DD100" s="410"/>
      <c r="DE100" s="447">
        <v>0</v>
      </c>
      <c r="DF100" s="410"/>
      <c r="DG100" s="447">
        <v>0</v>
      </c>
      <c r="DH100" s="410"/>
      <c r="DI100" s="447">
        <v>0</v>
      </c>
      <c r="DJ100" s="410"/>
      <c r="DK100" s="447">
        <v>0</v>
      </c>
      <c r="DL100" s="410"/>
      <c r="DM100" s="447">
        <v>0</v>
      </c>
      <c r="DN100" s="410"/>
      <c r="DO100" s="447"/>
      <c r="DP100" s="410"/>
      <c r="DQ100" s="447"/>
      <c r="DR100" s="410"/>
      <c r="DS100" s="447"/>
      <c r="DT100" s="410"/>
      <c r="DU100" s="447"/>
      <c r="DV100" s="410"/>
      <c r="DW100" s="447"/>
      <c r="DX100" s="410"/>
      <c r="DY100" s="447"/>
      <c r="DZ100" s="410"/>
      <c r="EA100" s="447"/>
      <c r="EB100" s="410"/>
      <c r="EC100" s="447"/>
      <c r="ED100" s="410"/>
      <c r="EE100" s="447"/>
      <c r="EF100" s="410"/>
      <c r="EG100" s="447"/>
      <c r="EH100" s="410"/>
      <c r="EI100" s="447"/>
      <c r="EJ100" s="410"/>
      <c r="EK100" s="447"/>
      <c r="EL100" s="410"/>
      <c r="EM100" s="447"/>
      <c r="EN100" s="410"/>
      <c r="EO100" s="447"/>
      <c r="EP100" s="410"/>
      <c r="EQ100" s="447"/>
      <c r="ER100" s="410"/>
      <c r="ES100" s="447"/>
      <c r="ET100" s="410"/>
      <c r="EU100" s="447"/>
      <c r="EV100" s="410"/>
      <c r="EW100" s="447"/>
      <c r="EX100" s="410"/>
      <c r="EY100" s="447"/>
      <c r="EZ100" s="410"/>
      <c r="FA100" s="447"/>
      <c r="FB100" s="410"/>
      <c r="FC100" s="447"/>
      <c r="FD100" s="410"/>
      <c r="FE100" s="447"/>
      <c r="FF100" s="410"/>
      <c r="FG100" s="447"/>
      <c r="FH100" s="410"/>
      <c r="FI100" s="447"/>
      <c r="FJ100" s="410"/>
      <c r="FK100" s="447"/>
      <c r="FL100" s="410"/>
      <c r="FM100" s="447"/>
      <c r="FN100" s="410"/>
      <c r="FO100" s="447"/>
      <c r="FP100" s="410"/>
      <c r="FQ100" s="447"/>
      <c r="FR100" s="410"/>
      <c r="FS100" s="447"/>
      <c r="FT100" s="410"/>
      <c r="FU100" s="447"/>
      <c r="FV100" s="410"/>
      <c r="FW100" s="447"/>
      <c r="FX100" s="410"/>
      <c r="FY100" s="447"/>
    </row>
    <row r="101" spans="1:209" ht="14.25" hidden="1" customHeight="1" outlineLevel="1">
      <c r="A101" s="158"/>
      <c r="B101" s="157" t="s">
        <v>357</v>
      </c>
      <c r="C101" s="198">
        <v>0</v>
      </c>
      <c r="D101" s="410"/>
      <c r="E101" s="198">
        <v>0</v>
      </c>
      <c r="F101" s="410"/>
      <c r="G101" s="547">
        <v>0</v>
      </c>
      <c r="H101" s="410"/>
      <c r="I101" s="547">
        <v>0</v>
      </c>
      <c r="J101" s="410"/>
      <c r="K101" s="547">
        <v>0</v>
      </c>
      <c r="L101" s="410"/>
      <c r="M101" s="547">
        <v>0</v>
      </c>
      <c r="N101" s="410"/>
      <c r="O101" s="547">
        <v>0</v>
      </c>
      <c r="P101" s="410"/>
      <c r="Q101" s="547">
        <v>0</v>
      </c>
      <c r="R101" s="410"/>
      <c r="S101" s="547">
        <v>0</v>
      </c>
      <c r="T101" s="410"/>
      <c r="U101" s="547">
        <v>0</v>
      </c>
      <c r="V101" s="410"/>
      <c r="W101" s="547">
        <v>0</v>
      </c>
      <c r="X101" s="410"/>
      <c r="Y101" s="547">
        <v>0</v>
      </c>
      <c r="Z101" s="410"/>
      <c r="AA101" s="547">
        <v>0</v>
      </c>
      <c r="AB101" s="410"/>
      <c r="AC101" s="547">
        <v>0</v>
      </c>
      <c r="AD101" s="410"/>
      <c r="AE101" s="198">
        <v>0</v>
      </c>
      <c r="AF101" s="410"/>
      <c r="AG101" s="198">
        <v>0</v>
      </c>
      <c r="AH101" s="410"/>
      <c r="AI101" s="198">
        <v>0</v>
      </c>
      <c r="AJ101" s="410"/>
      <c r="AK101" s="198">
        <v>0</v>
      </c>
      <c r="AL101" s="410"/>
      <c r="AM101" s="198">
        <v>0</v>
      </c>
      <c r="AN101" s="410"/>
      <c r="AO101" s="198">
        <v>0</v>
      </c>
      <c r="AP101" s="410"/>
      <c r="AQ101" s="198">
        <v>0</v>
      </c>
      <c r="AR101" s="410"/>
      <c r="AS101" s="198">
        <v>0</v>
      </c>
      <c r="AT101" s="410"/>
      <c r="AU101" s="547">
        <v>0</v>
      </c>
      <c r="AV101" s="410"/>
      <c r="AW101" s="198">
        <v>0</v>
      </c>
      <c r="AX101" s="410"/>
      <c r="AY101" s="198">
        <v>0</v>
      </c>
      <c r="AZ101" s="410"/>
      <c r="BA101" s="198">
        <v>0</v>
      </c>
      <c r="BB101" s="410"/>
      <c r="BC101" s="198">
        <v>0</v>
      </c>
      <c r="BD101" s="410"/>
      <c r="BE101" s="198">
        <v>0</v>
      </c>
      <c r="BF101" s="410"/>
      <c r="BG101" s="198">
        <v>0</v>
      </c>
      <c r="BH101" s="410"/>
      <c r="BI101" s="198">
        <v>0</v>
      </c>
      <c r="BJ101" s="410"/>
      <c r="BK101" s="198">
        <v>0</v>
      </c>
      <c r="BL101" s="410"/>
      <c r="BM101" s="198">
        <v>0</v>
      </c>
      <c r="BN101" s="410"/>
      <c r="BO101" s="198">
        <v>0</v>
      </c>
      <c r="BP101" s="410"/>
      <c r="BQ101" s="198">
        <v>0</v>
      </c>
      <c r="BR101" s="410"/>
      <c r="BS101" s="547">
        <v>0</v>
      </c>
      <c r="BT101" s="410"/>
      <c r="BU101" s="198">
        <v>0</v>
      </c>
      <c r="BV101" s="410"/>
      <c r="BW101" s="198">
        <v>0</v>
      </c>
      <c r="BX101" s="410"/>
      <c r="BY101" s="198">
        <v>0</v>
      </c>
      <c r="BZ101" s="410"/>
      <c r="CA101" s="198">
        <v>0</v>
      </c>
      <c r="CB101" s="410"/>
      <c r="CC101" s="198">
        <v>0</v>
      </c>
      <c r="CD101" s="410"/>
      <c r="CE101" s="198">
        <v>0</v>
      </c>
      <c r="CF101" s="410"/>
      <c r="CG101" s="547">
        <v>0</v>
      </c>
      <c r="CH101" s="410"/>
      <c r="CI101" s="198">
        <v>2844884.5500000003</v>
      </c>
      <c r="CJ101" s="410"/>
      <c r="CK101" s="198">
        <v>2971953.99</v>
      </c>
      <c r="CL101" s="410"/>
      <c r="CM101" s="198">
        <f>2889945.23+36445.44</f>
        <v>2926390.67</v>
      </c>
      <c r="CN101" s="410"/>
      <c r="CO101" s="198">
        <f>2790224.04+26519.46</f>
        <v>2816743.5</v>
      </c>
      <c r="CP101" s="410"/>
      <c r="CQ101" s="198">
        <v>2984565.85</v>
      </c>
      <c r="CR101" s="410"/>
      <c r="CS101" s="198">
        <v>5566977.75</v>
      </c>
      <c r="CT101" s="157"/>
      <c r="CU101" s="198">
        <v>6392957.9500000002</v>
      </c>
      <c r="CV101" s="157"/>
      <c r="CW101" s="198">
        <f>6340620+98626.15</f>
        <v>6439246.1500000004</v>
      </c>
      <c r="CX101" s="157"/>
      <c r="CY101" s="191">
        <f>8911280.53-102648.1+189385.07</f>
        <v>8998017.5</v>
      </c>
      <c r="CZ101" s="157"/>
      <c r="DA101" s="191">
        <f>13318796.33-121722.38+349496.18</f>
        <v>13546570.129999999</v>
      </c>
      <c r="DB101" s="157"/>
      <c r="DC101" s="191">
        <f>14885867.63-151607.58+374742.35</f>
        <v>15109002.4</v>
      </c>
      <c r="DD101" s="157"/>
      <c r="DE101" s="191">
        <f>15074573.08-185882.94+328466.92</f>
        <v>15217157.060000001</v>
      </c>
      <c r="DF101" s="157"/>
      <c r="DG101" s="191">
        <f>10402466.49-66186.3+344911.47</f>
        <v>10681191.66</v>
      </c>
      <c r="DH101" s="157"/>
      <c r="DI101" s="191">
        <f>14555281.36-91916.06+484629.76</f>
        <v>14947995.059999999</v>
      </c>
      <c r="DJ101" s="157"/>
      <c r="DK101" s="191">
        <f>22637101.02-126801.34+768631.37</f>
        <v>23278931.050000001</v>
      </c>
      <c r="DL101" s="157"/>
      <c r="DM101" s="191">
        <f>24641198.28-180184.46+723959.2</f>
        <v>25184973.02</v>
      </c>
      <c r="DN101" s="157"/>
      <c r="DO101" s="191">
        <v>26421995.77</v>
      </c>
      <c r="DP101" s="157"/>
      <c r="DQ101" s="198">
        <v>26569874.009999998</v>
      </c>
      <c r="DR101" s="157"/>
      <c r="DS101" s="198">
        <v>25824061.612172436</v>
      </c>
      <c r="DT101" s="157"/>
      <c r="DU101" s="198">
        <v>30371045.044230361</v>
      </c>
      <c r="DV101" s="157"/>
      <c r="DW101" s="198">
        <v>36697821.760521844</v>
      </c>
      <c r="DX101" s="157"/>
      <c r="DY101" s="191">
        <v>38111489.689999998</v>
      </c>
      <c r="DZ101" s="157"/>
      <c r="EA101" s="191">
        <v>38294413.986934371</v>
      </c>
      <c r="EB101" s="157"/>
      <c r="EC101" s="191">
        <v>38894183.589999996</v>
      </c>
      <c r="ED101" s="157"/>
      <c r="EE101" s="191">
        <v>35448158.859999999</v>
      </c>
      <c r="EF101" s="157"/>
      <c r="EG101" s="191">
        <v>36745902.896145292</v>
      </c>
      <c r="EH101" s="157"/>
      <c r="EI101" s="191">
        <v>38597522.229999997</v>
      </c>
      <c r="EJ101" s="157"/>
      <c r="EK101" s="191">
        <v>38512823.130000003</v>
      </c>
      <c r="EL101" s="157"/>
      <c r="EM101" s="191">
        <v>38891739.049999997</v>
      </c>
      <c r="EN101" s="157"/>
      <c r="EO101" s="191">
        <v>36025473.670000002</v>
      </c>
      <c r="EP101" s="157"/>
      <c r="EQ101" s="191">
        <v>35090768.300000004</v>
      </c>
      <c r="ER101" s="157"/>
      <c r="ES101" s="191">
        <v>31459453.670000002</v>
      </c>
      <c r="ET101" s="157"/>
      <c r="EU101" s="191">
        <v>17930975.099999998</v>
      </c>
      <c r="EV101" s="157"/>
      <c r="EW101" s="191">
        <v>15875703.159999998</v>
      </c>
      <c r="EX101" s="157"/>
      <c r="EY101" s="191">
        <v>12722309.609999999</v>
      </c>
      <c r="EZ101" s="157"/>
      <c r="FA101" s="191">
        <v>15319021.699999999</v>
      </c>
      <c r="FB101" s="157"/>
      <c r="FC101" s="191">
        <v>15310717.48</v>
      </c>
      <c r="FD101" s="157"/>
      <c r="FE101" s="191">
        <v>11668073.780000001</v>
      </c>
      <c r="FF101" s="157"/>
      <c r="FG101" s="191">
        <v>11741368.880000001</v>
      </c>
      <c r="FH101" s="157"/>
      <c r="FI101" s="191">
        <v>11132837.75</v>
      </c>
      <c r="FJ101" s="157"/>
      <c r="FK101" s="191">
        <v>164537</v>
      </c>
      <c r="FL101" s="157"/>
      <c r="FM101" s="191">
        <v>161663.70000000001</v>
      </c>
      <c r="FN101" s="157"/>
      <c r="FO101" s="191">
        <v>5114953.3499999996</v>
      </c>
      <c r="FP101" s="157"/>
      <c r="FQ101" s="191">
        <v>5118088.47</v>
      </c>
      <c r="FR101" s="157"/>
      <c r="FS101" s="191">
        <v>5075204.3600000003</v>
      </c>
      <c r="FT101" s="157"/>
      <c r="FU101" s="191">
        <v>4863557.4800000004</v>
      </c>
      <c r="FV101" s="157"/>
      <c r="FW101" s="191">
        <v>4851687.55</v>
      </c>
      <c r="FX101" s="157"/>
      <c r="FY101" s="191">
        <v>4670276.22</v>
      </c>
    </row>
    <row r="102" spans="1:209" ht="14.25" hidden="1" customHeight="1" outlineLevel="1">
      <c r="A102" s="158"/>
      <c r="B102" s="157" t="s">
        <v>358</v>
      </c>
      <c r="C102" s="198">
        <v>0</v>
      </c>
      <c r="D102" s="410"/>
      <c r="E102" s="198">
        <v>0</v>
      </c>
      <c r="F102" s="410"/>
      <c r="G102" s="547">
        <v>0</v>
      </c>
      <c r="H102" s="410"/>
      <c r="I102" s="547">
        <v>0</v>
      </c>
      <c r="J102" s="410"/>
      <c r="K102" s="547">
        <v>0</v>
      </c>
      <c r="L102" s="410"/>
      <c r="M102" s="547">
        <v>0</v>
      </c>
      <c r="N102" s="410"/>
      <c r="O102" s="547">
        <v>0</v>
      </c>
      <c r="P102" s="410"/>
      <c r="Q102" s="547">
        <v>0</v>
      </c>
      <c r="R102" s="410"/>
      <c r="S102" s="547">
        <v>0</v>
      </c>
      <c r="T102" s="410"/>
      <c r="U102" s="547">
        <v>0</v>
      </c>
      <c r="V102" s="410"/>
      <c r="W102" s="547">
        <v>0</v>
      </c>
      <c r="X102" s="410"/>
      <c r="Y102" s="547">
        <v>0</v>
      </c>
      <c r="Z102" s="410"/>
      <c r="AA102" s="547">
        <v>0</v>
      </c>
      <c r="AB102" s="410"/>
      <c r="AC102" s="547">
        <v>0</v>
      </c>
      <c r="AD102" s="410"/>
      <c r="AE102" s="198">
        <v>0</v>
      </c>
      <c r="AF102" s="410"/>
      <c r="AG102" s="198">
        <v>0</v>
      </c>
      <c r="AH102" s="410"/>
      <c r="AI102" s="198">
        <v>0</v>
      </c>
      <c r="AJ102" s="410"/>
      <c r="AK102" s="198">
        <v>0</v>
      </c>
      <c r="AL102" s="410"/>
      <c r="AM102" s="198">
        <v>0</v>
      </c>
      <c r="AN102" s="410"/>
      <c r="AO102" s="198">
        <v>0</v>
      </c>
      <c r="AP102" s="410"/>
      <c r="AQ102" s="198">
        <v>0</v>
      </c>
      <c r="AR102" s="410"/>
      <c r="AS102" s="198">
        <v>0</v>
      </c>
      <c r="AT102" s="410"/>
      <c r="AU102" s="547">
        <v>0</v>
      </c>
      <c r="AV102" s="410"/>
      <c r="AW102" s="198">
        <v>0</v>
      </c>
      <c r="AX102" s="410"/>
      <c r="AY102" s="198">
        <v>0</v>
      </c>
      <c r="AZ102" s="410"/>
      <c r="BA102" s="198">
        <v>0</v>
      </c>
      <c r="BB102" s="410"/>
      <c r="BC102" s="198">
        <v>0</v>
      </c>
      <c r="BD102" s="410"/>
      <c r="BE102" s="198">
        <v>0</v>
      </c>
      <c r="BF102" s="410"/>
      <c r="BG102" s="198">
        <v>0</v>
      </c>
      <c r="BH102" s="410"/>
      <c r="BI102" s="198">
        <v>0</v>
      </c>
      <c r="BJ102" s="410"/>
      <c r="BK102" s="198">
        <v>0</v>
      </c>
      <c r="BL102" s="410"/>
      <c r="BM102" s="198">
        <v>0</v>
      </c>
      <c r="BN102" s="410"/>
      <c r="BO102" s="198">
        <v>0</v>
      </c>
      <c r="BP102" s="410"/>
      <c r="BQ102" s="198">
        <v>0</v>
      </c>
      <c r="BR102" s="410"/>
      <c r="BS102" s="547">
        <v>0</v>
      </c>
      <c r="BT102" s="410"/>
      <c r="BU102" s="198">
        <v>0</v>
      </c>
      <c r="BV102" s="410"/>
      <c r="BW102" s="198">
        <v>0</v>
      </c>
      <c r="BX102" s="410"/>
      <c r="BY102" s="198">
        <v>0</v>
      </c>
      <c r="BZ102" s="410"/>
      <c r="CA102" s="198">
        <v>0</v>
      </c>
      <c r="CB102" s="410"/>
      <c r="CC102" s="198">
        <v>0</v>
      </c>
      <c r="CD102" s="410"/>
      <c r="CE102" s="198">
        <v>0</v>
      </c>
      <c r="CF102" s="410"/>
      <c r="CG102" s="547">
        <v>0</v>
      </c>
      <c r="CH102" s="410"/>
      <c r="CI102" s="198">
        <v>0</v>
      </c>
      <c r="CJ102" s="410"/>
      <c r="CK102" s="198">
        <v>0</v>
      </c>
      <c r="CL102" s="410"/>
      <c r="CM102" s="198">
        <v>0</v>
      </c>
      <c r="CN102" s="410"/>
      <c r="CO102" s="198">
        <v>0</v>
      </c>
      <c r="CP102" s="410"/>
      <c r="CQ102" s="198">
        <v>0</v>
      </c>
      <c r="CR102" s="410"/>
      <c r="CS102" s="198">
        <v>0</v>
      </c>
      <c r="CT102" s="157"/>
      <c r="CU102" s="198">
        <v>0</v>
      </c>
      <c r="CV102" s="157"/>
      <c r="CW102" s="198">
        <v>0</v>
      </c>
      <c r="CX102" s="157"/>
      <c r="CY102" s="191">
        <v>0</v>
      </c>
      <c r="CZ102" s="157"/>
      <c r="DA102" s="191">
        <v>0</v>
      </c>
      <c r="DB102" s="157"/>
      <c r="DC102" s="191">
        <v>0</v>
      </c>
      <c r="DD102" s="157"/>
      <c r="DE102" s="191">
        <v>0</v>
      </c>
      <c r="DF102" s="157"/>
      <c r="DG102" s="191">
        <v>0</v>
      </c>
      <c r="DH102" s="157"/>
      <c r="DI102" s="191">
        <v>0</v>
      </c>
      <c r="DJ102" s="157"/>
      <c r="DK102" s="191">
        <v>0</v>
      </c>
      <c r="DL102" s="157"/>
      <c r="DM102" s="191">
        <v>0</v>
      </c>
      <c r="DN102" s="157"/>
      <c r="DO102" s="191">
        <v>0</v>
      </c>
      <c r="DP102" s="157"/>
      <c r="DQ102" s="198">
        <v>0</v>
      </c>
      <c r="DR102" s="157"/>
      <c r="DS102" s="198">
        <v>0</v>
      </c>
      <c r="DT102" s="157"/>
      <c r="DU102" s="198">
        <v>0</v>
      </c>
      <c r="DV102" s="157"/>
      <c r="DW102" s="198">
        <v>0</v>
      </c>
      <c r="DX102" s="157"/>
      <c r="DY102" s="191">
        <v>0</v>
      </c>
      <c r="DZ102" s="157"/>
      <c r="EA102" s="191">
        <v>0</v>
      </c>
      <c r="EB102" s="157"/>
      <c r="EC102" s="191">
        <v>0</v>
      </c>
      <c r="ED102" s="157"/>
      <c r="EE102" s="191">
        <v>0</v>
      </c>
      <c r="EF102" s="157"/>
      <c r="EG102" s="191">
        <v>0</v>
      </c>
      <c r="EH102" s="157"/>
      <c r="EI102" s="191">
        <v>0</v>
      </c>
      <c r="EJ102" s="157"/>
      <c r="EK102" s="191">
        <v>0</v>
      </c>
      <c r="EL102" s="157"/>
      <c r="EM102" s="191">
        <v>0</v>
      </c>
      <c r="EN102" s="157"/>
      <c r="EO102" s="191">
        <v>0</v>
      </c>
      <c r="EP102" s="157"/>
      <c r="EQ102" s="191">
        <v>0</v>
      </c>
      <c r="ER102" s="157"/>
      <c r="ES102" s="191">
        <v>0</v>
      </c>
      <c r="ET102" s="157"/>
      <c r="EU102" s="191">
        <v>0</v>
      </c>
      <c r="EV102" s="157"/>
      <c r="EW102" s="191">
        <v>0</v>
      </c>
      <c r="EX102" s="157"/>
      <c r="EY102" s="191">
        <v>0</v>
      </c>
      <c r="EZ102" s="157"/>
      <c r="FA102" s="191">
        <v>0</v>
      </c>
      <c r="FB102" s="157"/>
      <c r="FC102" s="191">
        <v>4465434.79</v>
      </c>
      <c r="FD102" s="157"/>
      <c r="FE102" s="191">
        <v>4307918.5999999996</v>
      </c>
      <c r="FF102" s="157"/>
      <c r="FG102" s="191">
        <v>4249776.76</v>
      </c>
      <c r="FH102" s="157"/>
      <c r="FI102" s="191">
        <v>4723821.25</v>
      </c>
      <c r="FJ102" s="157"/>
      <c r="FK102" s="191">
        <v>5134242.01</v>
      </c>
      <c r="FL102" s="157"/>
      <c r="FM102" s="191">
        <v>5077101.43</v>
      </c>
      <c r="FN102" s="157"/>
      <c r="FO102" s="191">
        <v>5014334.2300000004</v>
      </c>
      <c r="FP102" s="157"/>
      <c r="FQ102" s="191">
        <v>4951567.03</v>
      </c>
      <c r="FR102" s="157"/>
      <c r="FS102" s="191">
        <v>4891172.74</v>
      </c>
      <c r="FT102" s="157"/>
      <c r="FU102" s="191">
        <v>4832906.0999999996</v>
      </c>
      <c r="FV102" s="157"/>
      <c r="FW102" s="191">
        <v>0</v>
      </c>
      <c r="FX102" s="157"/>
      <c r="FY102" s="191"/>
    </row>
    <row r="103" spans="1:209" ht="14.25" hidden="1" customHeight="1" outlineLevel="1">
      <c r="A103" s="158"/>
      <c r="B103" s="157" t="s">
        <v>359</v>
      </c>
      <c r="C103" s="198">
        <v>0</v>
      </c>
      <c r="D103" s="410"/>
      <c r="E103" s="198">
        <v>0</v>
      </c>
      <c r="F103" s="410"/>
      <c r="G103" s="547">
        <v>0</v>
      </c>
      <c r="H103" s="410"/>
      <c r="I103" s="547">
        <v>0</v>
      </c>
      <c r="J103" s="410"/>
      <c r="K103" s="547">
        <v>0</v>
      </c>
      <c r="L103" s="410"/>
      <c r="M103" s="547">
        <v>0</v>
      </c>
      <c r="N103" s="410"/>
      <c r="O103" s="547">
        <v>0</v>
      </c>
      <c r="P103" s="410"/>
      <c r="Q103" s="547">
        <v>0</v>
      </c>
      <c r="R103" s="410"/>
      <c r="S103" s="547">
        <v>0</v>
      </c>
      <c r="T103" s="410"/>
      <c r="U103" s="547">
        <v>0</v>
      </c>
      <c r="V103" s="410"/>
      <c r="W103" s="547">
        <v>0</v>
      </c>
      <c r="X103" s="410"/>
      <c r="Y103" s="547">
        <v>0</v>
      </c>
      <c r="Z103" s="410"/>
      <c r="AA103" s="547">
        <v>0</v>
      </c>
      <c r="AB103" s="410"/>
      <c r="AC103" s="547">
        <v>0</v>
      </c>
      <c r="AD103" s="410"/>
      <c r="AE103" s="198">
        <v>0</v>
      </c>
      <c r="AF103" s="410"/>
      <c r="AG103" s="198">
        <v>0</v>
      </c>
      <c r="AH103" s="410"/>
      <c r="AI103" s="198">
        <v>0</v>
      </c>
      <c r="AJ103" s="410"/>
      <c r="AK103" s="198">
        <v>0</v>
      </c>
      <c r="AL103" s="410"/>
      <c r="AM103" s="198">
        <v>0</v>
      </c>
      <c r="AN103" s="410"/>
      <c r="AO103" s="198">
        <v>0</v>
      </c>
      <c r="AP103" s="410"/>
      <c r="AQ103" s="198">
        <v>0</v>
      </c>
      <c r="AR103" s="410"/>
      <c r="AS103" s="198">
        <v>0</v>
      </c>
      <c r="AT103" s="410"/>
      <c r="AU103" s="547">
        <v>0</v>
      </c>
      <c r="AV103" s="410"/>
      <c r="AW103" s="198">
        <v>0</v>
      </c>
      <c r="AX103" s="410"/>
      <c r="AY103" s="198">
        <v>0</v>
      </c>
      <c r="AZ103" s="410"/>
      <c r="BA103" s="198">
        <v>0</v>
      </c>
      <c r="BB103" s="410"/>
      <c r="BC103" s="198">
        <v>0</v>
      </c>
      <c r="BD103" s="410"/>
      <c r="BE103" s="198">
        <v>0</v>
      </c>
      <c r="BF103" s="410"/>
      <c r="BG103" s="198">
        <v>0</v>
      </c>
      <c r="BH103" s="410"/>
      <c r="BI103" s="198">
        <v>0</v>
      </c>
      <c r="BJ103" s="410"/>
      <c r="BK103" s="198">
        <v>0</v>
      </c>
      <c r="BL103" s="410"/>
      <c r="BM103" s="198">
        <v>0</v>
      </c>
      <c r="BN103" s="410"/>
      <c r="BO103" s="198">
        <v>0</v>
      </c>
      <c r="BP103" s="410"/>
      <c r="BQ103" s="198">
        <v>0</v>
      </c>
      <c r="BR103" s="410"/>
      <c r="BS103" s="547">
        <v>0</v>
      </c>
      <c r="BT103" s="410"/>
      <c r="BU103" s="198">
        <v>0</v>
      </c>
      <c r="BV103" s="410"/>
      <c r="BW103" s="198">
        <v>0</v>
      </c>
      <c r="BX103" s="410"/>
      <c r="BY103" s="198">
        <v>0</v>
      </c>
      <c r="BZ103" s="410"/>
      <c r="CA103" s="198">
        <v>0</v>
      </c>
      <c r="CB103" s="410"/>
      <c r="CC103" s="198">
        <v>0</v>
      </c>
      <c r="CD103" s="410"/>
      <c r="CE103" s="198">
        <v>0</v>
      </c>
      <c r="CF103" s="410"/>
      <c r="CG103" s="547">
        <v>0</v>
      </c>
      <c r="CH103" s="410"/>
      <c r="CI103" s="198">
        <v>0</v>
      </c>
      <c r="CJ103" s="410"/>
      <c r="CK103" s="198">
        <v>0</v>
      </c>
      <c r="CL103" s="410"/>
      <c r="CM103" s="198">
        <v>0</v>
      </c>
      <c r="CN103" s="410"/>
      <c r="CO103" s="198">
        <v>0</v>
      </c>
      <c r="CP103" s="410"/>
      <c r="CQ103" s="198">
        <v>0</v>
      </c>
      <c r="CR103" s="410"/>
      <c r="CS103" s="198">
        <v>0</v>
      </c>
      <c r="CT103" s="157"/>
      <c r="CU103" s="198">
        <v>0</v>
      </c>
      <c r="CV103" s="157"/>
      <c r="CW103" s="198">
        <v>0</v>
      </c>
      <c r="CX103" s="157"/>
      <c r="CY103" s="191">
        <v>0</v>
      </c>
      <c r="CZ103" s="157"/>
      <c r="DA103" s="191">
        <v>0</v>
      </c>
      <c r="DB103" s="157"/>
      <c r="DC103" s="191">
        <v>0</v>
      </c>
      <c r="DD103" s="157"/>
      <c r="DE103" s="191">
        <v>0</v>
      </c>
      <c r="DF103" s="157"/>
      <c r="DG103" s="191">
        <v>0</v>
      </c>
      <c r="DH103" s="157"/>
      <c r="DI103" s="191">
        <v>0</v>
      </c>
      <c r="DJ103" s="157"/>
      <c r="DK103" s="191">
        <v>0</v>
      </c>
      <c r="DL103" s="157"/>
      <c r="DM103" s="191">
        <v>0</v>
      </c>
      <c r="DN103" s="157"/>
      <c r="DO103" s="191">
        <v>0</v>
      </c>
      <c r="DP103" s="157"/>
      <c r="DQ103" s="198">
        <v>0</v>
      </c>
      <c r="DR103" s="157"/>
      <c r="DS103" s="198">
        <v>0</v>
      </c>
      <c r="DT103" s="157"/>
      <c r="DU103" s="198">
        <v>0</v>
      </c>
      <c r="DV103" s="157"/>
      <c r="DW103" s="198">
        <v>0</v>
      </c>
      <c r="DX103" s="157"/>
      <c r="DY103" s="191">
        <v>11556164.380000001</v>
      </c>
      <c r="DZ103" s="157"/>
      <c r="EA103" s="191">
        <v>11424657.529999999</v>
      </c>
      <c r="EB103" s="157"/>
      <c r="EC103" s="191">
        <v>11288767.119999999</v>
      </c>
      <c r="ED103" s="157"/>
      <c r="EE103" s="191">
        <v>11152876.710000001</v>
      </c>
      <c r="EF103" s="157"/>
      <c r="EG103" s="198">
        <v>11021369.859999999</v>
      </c>
      <c r="EH103" s="157"/>
      <c r="EI103" s="198">
        <v>10885479.449999999</v>
      </c>
      <c r="EJ103" s="157"/>
      <c r="EK103" s="198">
        <v>10753972.6</v>
      </c>
      <c r="EL103" s="157"/>
      <c r="EM103" s="198">
        <v>10618082.189999999</v>
      </c>
      <c r="EN103" s="157"/>
      <c r="EO103" s="198">
        <v>10490958.9</v>
      </c>
      <c r="EP103" s="157"/>
      <c r="EQ103" s="191">
        <v>10363835.619999999</v>
      </c>
      <c r="ER103" s="157"/>
      <c r="ES103" s="191">
        <v>10219178.08</v>
      </c>
      <c r="ET103" s="157"/>
      <c r="EU103" s="191">
        <v>10096438.359999999</v>
      </c>
      <c r="EV103" s="157"/>
      <c r="EW103" s="191">
        <v>11551780.82</v>
      </c>
      <c r="EX103" s="157"/>
      <c r="EY103" s="191">
        <v>11420273.970000001</v>
      </c>
      <c r="EZ103" s="157"/>
      <c r="FA103" s="191">
        <v>11284383.560000001</v>
      </c>
      <c r="FB103" s="157"/>
      <c r="FC103" s="191">
        <v>11148493.15</v>
      </c>
      <c r="FD103" s="157"/>
      <c r="FE103" s="191">
        <v>11016986.300000001</v>
      </c>
      <c r="FF103" s="157"/>
      <c r="FG103" s="191">
        <v>10881095.890000001</v>
      </c>
      <c r="FH103" s="157"/>
      <c r="FI103" s="191">
        <v>10749589.039999999</v>
      </c>
      <c r="FJ103" s="157"/>
      <c r="FK103" s="191">
        <v>10613698.630000001</v>
      </c>
      <c r="FL103" s="157"/>
      <c r="FM103" s="191">
        <v>10490958.9</v>
      </c>
      <c r="FN103" s="157"/>
      <c r="FO103" s="191">
        <v>10355068.49</v>
      </c>
      <c r="FP103" s="157"/>
      <c r="FQ103" s="191">
        <v>10219178.08</v>
      </c>
      <c r="FR103" s="157"/>
      <c r="FS103" s="191">
        <v>10087671.23</v>
      </c>
      <c r="FT103" s="157"/>
      <c r="FU103" s="191"/>
      <c r="FV103" s="157"/>
      <c r="FW103" s="191"/>
      <c r="FX103" s="157"/>
      <c r="FY103" s="191"/>
    </row>
    <row r="104" spans="1:209" ht="14.25" hidden="1" customHeight="1" outlineLevel="1">
      <c r="A104" s="158"/>
      <c r="B104" t="s">
        <v>360</v>
      </c>
      <c r="C104" s="198">
        <v>0</v>
      </c>
      <c r="E104" s="198">
        <v>0</v>
      </c>
      <c r="G104" s="547">
        <v>0</v>
      </c>
      <c r="I104" s="547">
        <v>0</v>
      </c>
      <c r="K104" s="547">
        <v>0</v>
      </c>
      <c r="M104" s="547">
        <v>0</v>
      </c>
      <c r="O104" s="547">
        <v>0</v>
      </c>
      <c r="Q104" s="547">
        <v>0</v>
      </c>
      <c r="S104" s="547">
        <v>0</v>
      </c>
      <c r="U104" s="547">
        <v>0</v>
      </c>
      <c r="W104" s="547">
        <v>0</v>
      </c>
      <c r="Y104" s="547">
        <v>0</v>
      </c>
      <c r="AA104" s="547">
        <v>0</v>
      </c>
      <c r="AC104" s="547">
        <v>0</v>
      </c>
      <c r="AE104" s="198">
        <v>0</v>
      </c>
      <c r="AG104" s="198">
        <v>0</v>
      </c>
      <c r="AI104" s="198">
        <v>0</v>
      </c>
      <c r="AK104" s="198">
        <v>0</v>
      </c>
      <c r="AM104" s="198">
        <v>0</v>
      </c>
      <c r="AO104" s="198">
        <v>0</v>
      </c>
      <c r="AQ104" s="198">
        <v>0</v>
      </c>
      <c r="AS104" s="198">
        <v>0</v>
      </c>
      <c r="AU104" s="547">
        <v>0</v>
      </c>
      <c r="AW104" s="198">
        <v>0</v>
      </c>
      <c r="AY104" s="198">
        <v>0</v>
      </c>
      <c r="BA104" s="647">
        <v>0</v>
      </c>
      <c r="BC104" s="647">
        <v>0</v>
      </c>
      <c r="BE104" s="647">
        <v>0</v>
      </c>
      <c r="BG104" s="647">
        <v>0</v>
      </c>
      <c r="BI104" s="647">
        <v>0</v>
      </c>
      <c r="BK104" s="647">
        <v>0</v>
      </c>
      <c r="BM104" s="647">
        <v>0</v>
      </c>
      <c r="BO104" s="647">
        <v>0</v>
      </c>
      <c r="BQ104" s="647">
        <v>0</v>
      </c>
      <c r="BS104" s="812">
        <v>0</v>
      </c>
      <c r="BU104" s="647">
        <v>0</v>
      </c>
      <c r="BW104" s="198">
        <v>6861557</v>
      </c>
      <c r="BY104" s="198">
        <v>6525964.3600000003</v>
      </c>
      <c r="CA104" s="198">
        <v>6488277.5800000001</v>
      </c>
      <c r="CC104" s="198">
        <v>5933058.0199999996</v>
      </c>
      <c r="CE104" s="198">
        <v>5208061.09</v>
      </c>
      <c r="CG104" s="547">
        <v>4607489.51</v>
      </c>
      <c r="CI104" s="198">
        <v>4109263.52</v>
      </c>
      <c r="CK104" s="198">
        <v>3562267.73</v>
      </c>
      <c r="CM104" s="198">
        <v>3194848.65</v>
      </c>
      <c r="CO104" s="198">
        <v>2593078.98</v>
      </c>
      <c r="CQ104" s="198">
        <v>91796619.489999995</v>
      </c>
      <c r="CS104" s="198">
        <v>1200100.1399999999</v>
      </c>
      <c r="CU104" s="198">
        <v>-83921.25</v>
      </c>
      <c r="CV104" s="157"/>
      <c r="CW104" s="198">
        <v>-23000</v>
      </c>
      <c r="CX104" s="157"/>
      <c r="CY104" s="191">
        <v>0</v>
      </c>
      <c r="CZ104" s="157"/>
      <c r="DA104" s="191">
        <v>0</v>
      </c>
      <c r="DB104" s="157"/>
      <c r="DC104" s="191">
        <v>0</v>
      </c>
      <c r="DD104" s="157"/>
      <c r="DE104" s="191">
        <v>0</v>
      </c>
      <c r="DF104" s="157"/>
      <c r="DG104" s="191">
        <v>0</v>
      </c>
      <c r="DH104" s="157"/>
      <c r="DI104" s="191">
        <v>0</v>
      </c>
      <c r="DJ104" s="157"/>
      <c r="DK104" s="191">
        <v>0</v>
      </c>
      <c r="DL104" s="157"/>
      <c r="DM104" s="191">
        <v>0</v>
      </c>
      <c r="DN104" s="157"/>
      <c r="DO104" s="191">
        <v>0</v>
      </c>
      <c r="DP104" s="157"/>
      <c r="DQ104" s="198">
        <v>0</v>
      </c>
      <c r="DR104" s="157"/>
      <c r="DS104" s="198">
        <v>0</v>
      </c>
      <c r="DT104" s="157"/>
      <c r="DU104" s="198">
        <v>0</v>
      </c>
      <c r="DV104" s="157"/>
      <c r="DW104" s="198">
        <v>0</v>
      </c>
      <c r="DX104" s="157"/>
      <c r="DY104" s="191"/>
      <c r="DZ104" s="157"/>
      <c r="EA104" s="191"/>
      <c r="EB104" s="157"/>
      <c r="EC104" s="191"/>
      <c r="ED104" s="157"/>
      <c r="EE104" s="191"/>
      <c r="EF104" s="157"/>
      <c r="EG104" s="198"/>
      <c r="EH104" s="157"/>
      <c r="EI104" s="198"/>
      <c r="EJ104" s="157"/>
      <c r="EK104" s="198"/>
      <c r="EL104" s="157"/>
      <c r="EM104" s="198"/>
      <c r="EN104" s="157"/>
      <c r="EO104" s="198"/>
      <c r="EP104" s="157"/>
      <c r="EQ104" s="191"/>
      <c r="ER104" s="157"/>
      <c r="ES104" s="191"/>
      <c r="ET104" s="157"/>
      <c r="EU104" s="191"/>
      <c r="EV104" s="157"/>
      <c r="EW104" s="191"/>
      <c r="EX104" s="157"/>
      <c r="EY104" s="191"/>
      <c r="EZ104" s="157"/>
      <c r="FA104" s="191"/>
      <c r="FB104" s="157"/>
      <c r="FC104" s="191"/>
      <c r="FD104" s="157"/>
      <c r="FE104" s="191"/>
      <c r="FF104" s="157"/>
      <c r="FG104" s="191"/>
      <c r="FH104" s="157"/>
      <c r="FI104" s="191"/>
      <c r="FJ104" s="157"/>
      <c r="FK104" s="191"/>
      <c r="FL104" s="157"/>
      <c r="FM104" s="191"/>
      <c r="FN104" s="157"/>
      <c r="FO104" s="191"/>
      <c r="FP104" s="157"/>
      <c r="FQ104" s="191"/>
      <c r="FR104" s="157"/>
      <c r="FS104" s="191"/>
      <c r="FT104" s="157"/>
      <c r="FU104" s="191"/>
      <c r="FV104" s="157"/>
      <c r="FW104" s="191"/>
      <c r="FX104" s="157"/>
      <c r="FY104" s="191"/>
    </row>
    <row r="105" spans="1:209" ht="14.25" hidden="1" customHeight="1" outlineLevel="1">
      <c r="A105" s="158"/>
      <c r="B105" s="157" t="s">
        <v>361</v>
      </c>
      <c r="C105" s="198">
        <v>0</v>
      </c>
      <c r="D105" s="410"/>
      <c r="E105" s="198">
        <v>0</v>
      </c>
      <c r="F105" s="410"/>
      <c r="G105" s="547">
        <v>0</v>
      </c>
      <c r="H105" s="410"/>
      <c r="I105" s="547">
        <v>0</v>
      </c>
      <c r="J105" s="410"/>
      <c r="K105" s="547">
        <v>0</v>
      </c>
      <c r="L105" s="410"/>
      <c r="M105" s="547">
        <v>0</v>
      </c>
      <c r="N105" s="410"/>
      <c r="O105" s="547">
        <v>0</v>
      </c>
      <c r="P105" s="410"/>
      <c r="Q105" s="547">
        <v>0</v>
      </c>
      <c r="R105" s="410"/>
      <c r="S105" s="547">
        <v>0</v>
      </c>
      <c r="T105" s="410"/>
      <c r="U105" s="547">
        <v>0</v>
      </c>
      <c r="V105" s="410"/>
      <c r="W105" s="547">
        <v>0</v>
      </c>
      <c r="X105" s="410"/>
      <c r="Y105" s="547">
        <v>0</v>
      </c>
      <c r="Z105" s="410"/>
      <c r="AA105" s="547">
        <v>0</v>
      </c>
      <c r="AB105" s="410"/>
      <c r="AC105" s="547">
        <v>0</v>
      </c>
      <c r="AD105" s="410"/>
      <c r="AE105" s="198">
        <v>0</v>
      </c>
      <c r="AF105" s="410"/>
      <c r="AG105" s="198">
        <v>0</v>
      </c>
      <c r="AH105" s="410"/>
      <c r="AI105" s="198">
        <v>0</v>
      </c>
      <c r="AJ105" s="410"/>
      <c r="AK105" s="198">
        <v>0</v>
      </c>
      <c r="AL105" s="410"/>
      <c r="AM105" s="198">
        <v>0</v>
      </c>
      <c r="AN105" s="410"/>
      <c r="AO105" s="198">
        <v>0</v>
      </c>
      <c r="AP105" s="410"/>
      <c r="AQ105" s="198">
        <v>0</v>
      </c>
      <c r="AR105" s="410"/>
      <c r="AS105" s="198">
        <v>0</v>
      </c>
      <c r="AT105" s="410"/>
      <c r="AU105" s="547">
        <v>0</v>
      </c>
      <c r="AV105" s="410"/>
      <c r="AW105" s="198">
        <v>0</v>
      </c>
      <c r="AX105" s="410"/>
      <c r="AY105" s="198">
        <v>0</v>
      </c>
      <c r="AZ105" s="410"/>
      <c r="BA105" s="647">
        <v>0</v>
      </c>
      <c r="BB105" s="410"/>
      <c r="BC105" s="647">
        <v>0</v>
      </c>
      <c r="BD105" s="410"/>
      <c r="BE105" s="647">
        <v>0</v>
      </c>
      <c r="BF105" s="410"/>
      <c r="BG105" s="647">
        <v>0</v>
      </c>
      <c r="BH105" s="410"/>
      <c r="BI105" s="647">
        <v>0</v>
      </c>
      <c r="BJ105" s="410"/>
      <c r="BK105" s="647">
        <v>0</v>
      </c>
      <c r="BL105" s="410"/>
      <c r="BM105" s="647">
        <v>0</v>
      </c>
      <c r="BN105" s="410"/>
      <c r="BO105" s="647">
        <v>0</v>
      </c>
      <c r="BP105" s="410"/>
      <c r="BQ105" s="647">
        <v>0</v>
      </c>
      <c r="BR105" s="410"/>
      <c r="BS105" s="812">
        <v>0</v>
      </c>
      <c r="BT105" s="410"/>
      <c r="BU105" s="647">
        <v>0</v>
      </c>
      <c r="BV105" s="410"/>
      <c r="BW105" s="198">
        <v>251635.63</v>
      </c>
      <c r="BX105" s="410"/>
      <c r="BY105" s="198">
        <v>4401690.07</v>
      </c>
      <c r="BZ105" s="410"/>
      <c r="CA105" s="198">
        <v>4636323.3499999996</v>
      </c>
      <c r="CB105" s="410"/>
      <c r="CC105" s="198">
        <v>4522873.09</v>
      </c>
      <c r="CD105" s="410"/>
      <c r="CE105" s="198">
        <v>4380222.09</v>
      </c>
      <c r="CF105" s="410"/>
      <c r="CG105" s="547">
        <v>4188511.0599999996</v>
      </c>
      <c r="CH105" s="410"/>
      <c r="CI105" s="198">
        <v>8386215.3799999999</v>
      </c>
      <c r="CJ105" s="410"/>
      <c r="CK105" s="198">
        <v>7980088.4100000001</v>
      </c>
      <c r="CL105" s="410"/>
      <c r="CM105" s="198">
        <f>7900454.28+77922.34</f>
        <v>7978376.6200000001</v>
      </c>
      <c r="CN105" s="410"/>
      <c r="CO105" s="198">
        <f>7302948.2+216087.22</f>
        <v>7519035.4199999999</v>
      </c>
      <c r="CP105" s="410"/>
      <c r="CQ105" s="198">
        <f>7688203.37+149130.08</f>
        <v>7837333.4500000002</v>
      </c>
      <c r="CR105" s="410"/>
      <c r="CS105" s="198">
        <f>78319.75+7684599.44</f>
        <v>7762919.1900000004</v>
      </c>
      <c r="CT105" s="157"/>
      <c r="CU105" s="198">
        <v>7973400.7300000004</v>
      </c>
      <c r="CV105" s="157"/>
      <c r="CW105" s="198">
        <f>11928297+239219.6</f>
        <v>12167516.6</v>
      </c>
      <c r="CX105" s="157"/>
      <c r="CY105" s="191">
        <f>11427822.63+116469.93</f>
        <v>11544292.560000001</v>
      </c>
      <c r="CZ105" s="157"/>
      <c r="DA105" s="191">
        <f>11294993.6+341635</f>
        <v>11636628.6</v>
      </c>
      <c r="DB105" s="157"/>
      <c r="DC105" s="191">
        <f>10894195.57+222065.25</f>
        <v>11116260.82</v>
      </c>
      <c r="DD105" s="157"/>
      <c r="DE105" s="191">
        <f>10952694.58+111627.53</f>
        <v>11064322.109999999</v>
      </c>
      <c r="DF105" s="157"/>
      <c r="DG105" s="191">
        <f>14267390.88+426849.09</f>
        <v>14694239.970000001</v>
      </c>
      <c r="DH105" s="157"/>
      <c r="DI105" s="191">
        <f>13739396.62+275540.71</f>
        <v>14014937.33</v>
      </c>
      <c r="DJ105" s="157"/>
      <c r="DK105" s="191">
        <f>14497396.99+142988.03</f>
        <v>14640385.02</v>
      </c>
      <c r="DL105" s="157"/>
      <c r="DM105" s="191">
        <v>14774496.85</v>
      </c>
      <c r="DN105" s="157"/>
      <c r="DO105" s="191">
        <v>15404730.539999999</v>
      </c>
      <c r="DP105" s="157"/>
      <c r="DQ105" s="198">
        <v>15326627.01</v>
      </c>
      <c r="DR105" s="157"/>
      <c r="DS105" s="198">
        <v>14693004.366760897</v>
      </c>
      <c r="DT105" s="157"/>
      <c r="DU105" s="198">
        <v>15768914.345188607</v>
      </c>
      <c r="DV105" s="157"/>
      <c r="DW105" s="198">
        <v>32821132.154451847</v>
      </c>
      <c r="DX105" s="157"/>
      <c r="DY105" s="191">
        <v>33519983.780000001</v>
      </c>
      <c r="DZ105" s="157"/>
      <c r="EA105" s="191">
        <v>33909812.18</v>
      </c>
      <c r="EB105" s="157"/>
      <c r="EC105" s="191">
        <v>34500083.850000001</v>
      </c>
      <c r="ED105" s="157"/>
      <c r="EE105" s="191">
        <v>34667813.020000003</v>
      </c>
      <c r="EF105" s="157"/>
      <c r="EG105" s="198">
        <v>35791710.280203424</v>
      </c>
      <c r="EH105" s="157"/>
      <c r="EI105" s="198">
        <v>37418687.049999997</v>
      </c>
      <c r="EJ105" s="157"/>
      <c r="EK105" s="198">
        <v>35732981.729999997</v>
      </c>
      <c r="EL105" s="157"/>
      <c r="EM105" s="198">
        <v>31951459.109999999</v>
      </c>
      <c r="EN105" s="157"/>
      <c r="EO105" s="198">
        <v>29500000</v>
      </c>
      <c r="EP105" s="157"/>
      <c r="EQ105" s="191">
        <v>28001596.09</v>
      </c>
      <c r="ER105" s="157"/>
      <c r="ES105" s="191">
        <v>29419549.52</v>
      </c>
      <c r="ET105" s="157"/>
      <c r="EU105" s="191">
        <v>29574519.120000001</v>
      </c>
      <c r="EV105" s="157"/>
      <c r="EW105" s="191">
        <v>29299104.219999999</v>
      </c>
      <c r="EX105" s="157"/>
      <c r="EY105" s="191">
        <v>29958632.039999999</v>
      </c>
      <c r="EZ105" s="157"/>
      <c r="FA105" s="191">
        <v>28814041.020000003</v>
      </c>
      <c r="FB105" s="157"/>
      <c r="FC105" s="191">
        <v>28251102.100000001</v>
      </c>
      <c r="FD105" s="157"/>
      <c r="FE105" s="191">
        <v>29315533.34</v>
      </c>
      <c r="FF105" s="157"/>
      <c r="FG105" s="191">
        <v>28732594.439999998</v>
      </c>
      <c r="FH105" s="157"/>
      <c r="FI105" s="191">
        <v>28495803.960000001</v>
      </c>
      <c r="FJ105" s="157"/>
      <c r="FK105" s="191">
        <v>28792650.799999997</v>
      </c>
      <c r="FL105" s="157"/>
      <c r="FM105" s="191">
        <v>28656419.189999998</v>
      </c>
      <c r="FN105" s="157"/>
      <c r="FO105" s="191">
        <v>29144264.800000001</v>
      </c>
      <c r="FP105" s="157"/>
      <c r="FQ105" s="191">
        <v>13885288.380000001</v>
      </c>
      <c r="FR105" s="157"/>
      <c r="FS105" s="191">
        <v>13673787.5</v>
      </c>
      <c r="FT105" s="157"/>
      <c r="FU105" s="191"/>
      <c r="FV105" s="157"/>
      <c r="FW105" s="191"/>
      <c r="FX105" s="157"/>
      <c r="FY105" s="191"/>
    </row>
    <row r="106" spans="1:209" ht="14.25" hidden="1" customHeight="1" outlineLevel="1">
      <c r="A106" s="158"/>
      <c r="B106" s="157" t="s">
        <v>362</v>
      </c>
      <c r="C106" s="198">
        <v>0</v>
      </c>
      <c r="D106" s="410"/>
      <c r="E106" s="198">
        <v>0</v>
      </c>
      <c r="F106" s="410"/>
      <c r="G106" s="547">
        <v>0</v>
      </c>
      <c r="H106" s="410"/>
      <c r="I106" s="547">
        <v>0</v>
      </c>
      <c r="J106" s="410"/>
      <c r="K106" s="547">
        <v>0</v>
      </c>
      <c r="L106" s="410"/>
      <c r="M106" s="547">
        <v>0</v>
      </c>
      <c r="N106" s="410"/>
      <c r="O106" s="547">
        <v>0</v>
      </c>
      <c r="P106" s="410"/>
      <c r="Q106" s="547">
        <v>0</v>
      </c>
      <c r="R106" s="410"/>
      <c r="S106" s="547">
        <v>0</v>
      </c>
      <c r="T106" s="410"/>
      <c r="U106" s="547">
        <v>0</v>
      </c>
      <c r="V106" s="410"/>
      <c r="W106" s="547">
        <v>0</v>
      </c>
      <c r="X106" s="410"/>
      <c r="Y106" s="547">
        <v>0</v>
      </c>
      <c r="Z106" s="410"/>
      <c r="AA106" s="547">
        <v>0</v>
      </c>
      <c r="AB106" s="410"/>
      <c r="AC106" s="547">
        <v>0</v>
      </c>
      <c r="AD106" s="410"/>
      <c r="AE106" s="198">
        <v>0</v>
      </c>
      <c r="AF106" s="410"/>
      <c r="AG106" s="198">
        <v>0</v>
      </c>
      <c r="AH106" s="410"/>
      <c r="AI106" s="198">
        <v>0</v>
      </c>
      <c r="AJ106" s="410"/>
      <c r="AK106" s="198">
        <v>0</v>
      </c>
      <c r="AL106" s="410"/>
      <c r="AM106" s="198">
        <v>0</v>
      </c>
      <c r="AN106" s="410"/>
      <c r="AO106" s="198">
        <v>0</v>
      </c>
      <c r="AP106" s="410"/>
      <c r="AQ106" s="198">
        <v>0</v>
      </c>
      <c r="AR106" s="410"/>
      <c r="AS106" s="198">
        <v>0</v>
      </c>
      <c r="AT106" s="410"/>
      <c r="AU106" s="547">
        <v>0</v>
      </c>
      <c r="AV106" s="410"/>
      <c r="AW106" s="198">
        <v>0</v>
      </c>
      <c r="AX106" s="410"/>
      <c r="AY106" s="198">
        <v>0</v>
      </c>
      <c r="AZ106" s="410"/>
      <c r="BA106" s="647">
        <v>0</v>
      </c>
      <c r="BB106" s="410"/>
      <c r="BC106" s="647">
        <v>0</v>
      </c>
      <c r="BD106" s="410"/>
      <c r="BE106" s="647">
        <v>0</v>
      </c>
      <c r="BF106" s="410"/>
      <c r="BG106" s="647">
        <v>0</v>
      </c>
      <c r="BH106" s="410"/>
      <c r="BI106" s="647">
        <v>0</v>
      </c>
      <c r="BJ106" s="410"/>
      <c r="BK106" s="647">
        <v>0</v>
      </c>
      <c r="BL106" s="410"/>
      <c r="BM106" s="647">
        <v>0</v>
      </c>
      <c r="BN106" s="410"/>
      <c r="BO106" s="647">
        <v>0</v>
      </c>
      <c r="BP106" s="410"/>
      <c r="BQ106" s="647">
        <v>0</v>
      </c>
      <c r="BR106" s="410"/>
      <c r="BS106" s="547">
        <v>955718.44</v>
      </c>
      <c r="BT106" s="410"/>
      <c r="BU106" s="198">
        <v>29802777.559999999</v>
      </c>
      <c r="BV106" s="410"/>
      <c r="BW106" s="198">
        <v>29725461.190000001</v>
      </c>
      <c r="BX106" s="410"/>
      <c r="BY106" s="198">
        <v>29406617.09</v>
      </c>
      <c r="BZ106" s="410"/>
      <c r="CA106" s="198">
        <v>30212621.109999999</v>
      </c>
      <c r="CB106" s="410"/>
      <c r="CC106" s="198">
        <v>29893777.010000002</v>
      </c>
      <c r="CD106" s="410"/>
      <c r="CE106" s="198">
        <v>29577134.370000001</v>
      </c>
      <c r="CF106" s="410"/>
      <c r="CG106" s="547">
        <v>29250206.440000001</v>
      </c>
      <c r="CH106" s="410"/>
      <c r="CI106" s="198">
        <v>29859240.239999998</v>
      </c>
      <c r="CJ106" s="410"/>
      <c r="CK106" s="198">
        <v>29542597.600000001</v>
      </c>
      <c r="CL106" s="410"/>
      <c r="CM106" s="198">
        <v>29215669.670000002</v>
      </c>
      <c r="CN106" s="410"/>
      <c r="CO106" s="198">
        <v>29824703.460000001</v>
      </c>
      <c r="CP106" s="410"/>
      <c r="CQ106" s="198">
        <v>29497775.530000001</v>
      </c>
      <c r="CR106" s="410"/>
      <c r="CS106" s="198">
        <v>29201703.48</v>
      </c>
      <c r="CT106" s="157"/>
      <c r="CU106" s="198">
        <v>29821022.59</v>
      </c>
      <c r="CV106" s="157"/>
      <c r="CW106" s="198">
        <v>29494095</v>
      </c>
      <c r="CX106" s="157"/>
      <c r="CY106" s="191">
        <v>29177452.02</v>
      </c>
      <c r="CZ106" s="157"/>
      <c r="DA106" s="191">
        <v>29796771.109999999</v>
      </c>
      <c r="DB106" s="157"/>
      <c r="DC106" s="191">
        <v>29480128.469999999</v>
      </c>
      <c r="DD106" s="157"/>
      <c r="DE106" s="191">
        <v>29153200.539999999</v>
      </c>
      <c r="DF106" s="157"/>
      <c r="DG106" s="191">
        <v>29762234.32</v>
      </c>
      <c r="DH106" s="157"/>
      <c r="DI106" s="191">
        <v>29445591.68</v>
      </c>
      <c r="DJ106" s="157"/>
      <c r="DK106" s="191">
        <v>29118663.75</v>
      </c>
      <c r="DL106" s="157"/>
      <c r="DM106" s="191">
        <v>29727697.5</v>
      </c>
      <c r="DN106" s="157"/>
      <c r="DO106" s="191">
        <v>29400769.57</v>
      </c>
      <c r="DP106" s="157"/>
      <c r="DQ106" s="198">
        <v>29104697.52</v>
      </c>
      <c r="DR106" s="157"/>
      <c r="DS106" s="198">
        <v>29724016.609999999</v>
      </c>
      <c r="DT106" s="157"/>
      <c r="DU106" s="198">
        <v>29388995.329999998</v>
      </c>
      <c r="DV106" s="157"/>
      <c r="DW106" s="198">
        <v>29072352.690000001</v>
      </c>
      <c r="DX106" s="157"/>
      <c r="DY106" s="191">
        <v>29691672.460000001</v>
      </c>
      <c r="DZ106" s="157"/>
      <c r="EA106" s="191">
        <v>29375029.82</v>
      </c>
      <c r="EB106" s="157"/>
      <c r="EC106" s="191">
        <v>29048101.890000001</v>
      </c>
      <c r="ED106" s="157"/>
      <c r="EE106" s="191">
        <v>29669977.510000002</v>
      </c>
      <c r="EF106" s="157"/>
      <c r="EG106" s="198">
        <v>29353334.870000001</v>
      </c>
      <c r="EH106" s="157"/>
      <c r="EI106" s="198">
        <v>29026406.940000001</v>
      </c>
      <c r="EJ106" s="157"/>
      <c r="EK106" s="198">
        <v>29643168.75</v>
      </c>
      <c r="EL106" s="157"/>
      <c r="EM106" s="198">
        <v>29820239.359999999</v>
      </c>
      <c r="EN106" s="157"/>
      <c r="EO106" s="198">
        <v>29513882.010000002</v>
      </c>
      <c r="EP106" s="157"/>
      <c r="EQ106" s="191">
        <v>29968242.997000001</v>
      </c>
      <c r="ER106" s="157"/>
      <c r="ES106" s="191">
        <v>29641708.469999999</v>
      </c>
      <c r="ET106" s="157"/>
      <c r="EU106" s="191">
        <v>0</v>
      </c>
      <c r="EV106" s="157"/>
      <c r="EW106" s="191"/>
      <c r="EX106" s="157"/>
      <c r="EY106" s="191"/>
      <c r="EZ106" s="157"/>
      <c r="FA106" s="191"/>
      <c r="FB106" s="157"/>
      <c r="FC106" s="191"/>
      <c r="FD106" s="157"/>
      <c r="FE106" s="191"/>
      <c r="FF106" s="157"/>
      <c r="FG106" s="191"/>
      <c r="FH106" s="157"/>
      <c r="FI106" s="191"/>
      <c r="FJ106" s="157"/>
      <c r="FK106" s="191"/>
      <c r="FL106" s="157"/>
      <c r="FM106" s="191"/>
      <c r="FN106" s="157"/>
      <c r="FO106" s="191"/>
      <c r="FP106" s="157"/>
      <c r="FQ106" s="191"/>
      <c r="FR106" s="157"/>
      <c r="FS106" s="191"/>
      <c r="FT106" s="157"/>
      <c r="FU106" s="191"/>
      <c r="FV106" s="157"/>
      <c r="FW106" s="191"/>
      <c r="FX106" s="157"/>
      <c r="FY106" s="191"/>
    </row>
    <row r="107" spans="1:209" ht="14.25" hidden="1" customHeight="1" outlineLevel="1">
      <c r="A107" s="158"/>
      <c r="B107" s="157" t="s">
        <v>796</v>
      </c>
      <c r="C107" s="198">
        <v>0</v>
      </c>
      <c r="D107" s="410"/>
      <c r="E107" s="198">
        <v>0</v>
      </c>
      <c r="F107" s="410"/>
      <c r="G107" s="547">
        <v>0</v>
      </c>
      <c r="H107" s="410"/>
      <c r="I107" s="547">
        <v>0</v>
      </c>
      <c r="J107" s="410"/>
      <c r="K107" s="547">
        <v>0</v>
      </c>
      <c r="L107" s="410"/>
      <c r="M107" s="547">
        <v>0</v>
      </c>
      <c r="N107" s="410"/>
      <c r="O107" s="547">
        <v>0</v>
      </c>
      <c r="P107" s="410"/>
      <c r="Q107" s="547">
        <v>0</v>
      </c>
      <c r="R107" s="410"/>
      <c r="S107" s="547">
        <v>0</v>
      </c>
      <c r="T107" s="410"/>
      <c r="U107" s="547">
        <v>0</v>
      </c>
      <c r="V107" s="410"/>
      <c r="W107" s="547">
        <v>0</v>
      </c>
      <c r="X107" s="410"/>
      <c r="Y107" s="547">
        <v>0</v>
      </c>
      <c r="Z107" s="410"/>
      <c r="AA107" s="547">
        <v>0</v>
      </c>
      <c r="AB107" s="410"/>
      <c r="AC107" s="547">
        <v>0</v>
      </c>
      <c r="AD107" s="410"/>
      <c r="AE107" s="198">
        <v>23176830.870000001</v>
      </c>
      <c r="AF107" s="410"/>
      <c r="AG107" s="198">
        <v>46354042.460000001</v>
      </c>
      <c r="AH107" s="410"/>
      <c r="AI107" s="198">
        <v>45965076.520000003</v>
      </c>
      <c r="AJ107" s="410"/>
      <c r="AK107" s="198">
        <v>45562583.259999998</v>
      </c>
      <c r="AL107" s="410"/>
      <c r="AM107" s="198">
        <v>46387712.899999999</v>
      </c>
      <c r="AN107" s="410"/>
      <c r="AO107" s="198">
        <v>45978422.039999999</v>
      </c>
      <c r="AP107" s="410"/>
      <c r="AQ107" s="198">
        <v>45538750.159999996</v>
      </c>
      <c r="AR107" s="410"/>
      <c r="AS107" s="198">
        <v>46340228.5</v>
      </c>
      <c r="AT107" s="410"/>
      <c r="AU107" s="547">
        <v>45903919.619999997</v>
      </c>
      <c r="AV107" s="410"/>
      <c r="AW107" s="198">
        <v>45491302.380000003</v>
      </c>
      <c r="AX107" s="410"/>
      <c r="AY107" s="198">
        <v>45673887.280000001</v>
      </c>
      <c r="AZ107" s="410"/>
      <c r="BA107" s="198">
        <v>45856472.18</v>
      </c>
      <c r="BB107" s="410"/>
      <c r="BC107" s="198">
        <v>45430327.619999997</v>
      </c>
      <c r="BD107" s="410"/>
      <c r="BE107" s="198">
        <v>45612912.520000003</v>
      </c>
      <c r="BF107" s="410"/>
      <c r="BG107" s="198">
        <v>45805802.049999997</v>
      </c>
      <c r="BH107" s="410"/>
      <c r="BI107" s="198">
        <v>45367741.509999998</v>
      </c>
      <c r="BJ107" s="410"/>
      <c r="BK107" s="198">
        <v>44929680.969999999</v>
      </c>
      <c r="BL107" s="410"/>
      <c r="BM107" s="198">
        <v>45589276.409999996</v>
      </c>
      <c r="BN107" s="410"/>
      <c r="BO107" s="198">
        <v>30722363.59</v>
      </c>
      <c r="BP107" s="410"/>
      <c r="BQ107" s="198">
        <v>30434733.07</v>
      </c>
      <c r="BR107" s="410"/>
      <c r="BS107" s="547">
        <v>31010593.219999999</v>
      </c>
      <c r="BT107" s="410"/>
      <c r="BU107" s="198">
        <v>30741302.75</v>
      </c>
      <c r="BV107" s="410"/>
      <c r="BW107" s="198">
        <v>45931912.859999999</v>
      </c>
      <c r="BX107" s="410"/>
      <c r="BY107" s="198">
        <v>45583929.789999999</v>
      </c>
      <c r="BZ107" s="410"/>
      <c r="CA107" s="198">
        <v>45167139.729999997</v>
      </c>
      <c r="CB107" s="410"/>
      <c r="CC107" s="198">
        <v>44736874.32</v>
      </c>
      <c r="CD107" s="410"/>
      <c r="CE107" s="198">
        <v>45559815.759999998</v>
      </c>
      <c r="CF107" s="410"/>
      <c r="CG107" s="547">
        <v>45129550.350000001</v>
      </c>
      <c r="CH107" s="410"/>
      <c r="CI107" s="198">
        <v>44699284.939999998</v>
      </c>
      <c r="CJ107" s="410"/>
      <c r="CK107" s="198">
        <v>45508751.039999999</v>
      </c>
      <c r="CL107" s="410"/>
      <c r="CM107" s="198">
        <v>45078485.630000003</v>
      </c>
      <c r="CN107" s="410"/>
      <c r="CO107" s="198">
        <v>45874476.390000001</v>
      </c>
      <c r="CP107" s="410"/>
      <c r="CQ107" s="198">
        <v>45444210.979999997</v>
      </c>
      <c r="CR107" s="410"/>
      <c r="CS107" s="198">
        <v>45054371.600000001</v>
      </c>
      <c r="CT107" s="157"/>
      <c r="CU107" s="198">
        <v>44624106.189999998</v>
      </c>
      <c r="CV107" s="157"/>
      <c r="CW107" s="198">
        <v>45433572</v>
      </c>
      <c r="CX107" s="157"/>
      <c r="CY107" s="191">
        <v>45016782.219999999</v>
      </c>
      <c r="CZ107" s="157"/>
      <c r="DA107" s="191">
        <v>45826248.32</v>
      </c>
      <c r="DB107" s="157"/>
      <c r="DC107" s="191">
        <v>44991722.640000001</v>
      </c>
      <c r="DD107" s="157"/>
      <c r="DE107" s="191">
        <v>44979192.850000001</v>
      </c>
      <c r="DF107" s="157"/>
      <c r="DG107" s="191">
        <v>44548927.439999998</v>
      </c>
      <c r="DH107" s="157"/>
      <c r="DI107" s="191"/>
      <c r="DJ107" s="157"/>
      <c r="DK107" s="191"/>
      <c r="DL107" s="157"/>
      <c r="DM107" s="191"/>
      <c r="DN107" s="157"/>
      <c r="DO107" s="191"/>
      <c r="DP107" s="157"/>
      <c r="DQ107" s="198"/>
      <c r="DR107" s="157"/>
      <c r="DS107" s="198"/>
      <c r="DT107" s="157"/>
      <c r="DU107" s="198"/>
      <c r="DV107" s="157"/>
      <c r="DW107" s="198"/>
      <c r="DX107" s="157"/>
      <c r="DY107" s="191"/>
      <c r="DZ107" s="157"/>
      <c r="EA107" s="191"/>
      <c r="EB107" s="157"/>
      <c r="EC107" s="191"/>
      <c r="ED107" s="157"/>
      <c r="EE107" s="191"/>
      <c r="EF107" s="157"/>
      <c r="EG107" s="198"/>
      <c r="EH107" s="157"/>
      <c r="EI107" s="198"/>
      <c r="EJ107" s="157"/>
      <c r="EK107" s="198"/>
      <c r="EL107" s="157"/>
      <c r="EM107" s="198"/>
      <c r="EN107" s="157"/>
      <c r="EO107" s="198"/>
      <c r="EP107" s="157"/>
      <c r="EQ107" s="191"/>
      <c r="ER107" s="157"/>
      <c r="ES107" s="191"/>
      <c r="ET107" s="157"/>
      <c r="EU107" s="191"/>
      <c r="EV107" s="157"/>
      <c r="EW107" s="191"/>
      <c r="EX107" s="157"/>
      <c r="EY107" s="191"/>
      <c r="EZ107" s="157"/>
      <c r="FA107" s="191"/>
      <c r="FB107" s="157"/>
      <c r="FC107" s="191"/>
      <c r="FD107" s="157"/>
      <c r="FE107" s="191"/>
      <c r="FF107" s="157"/>
      <c r="FG107" s="191"/>
      <c r="FH107" s="157"/>
      <c r="FI107" s="191"/>
      <c r="FJ107" s="157"/>
      <c r="FK107" s="191"/>
      <c r="FL107" s="157"/>
      <c r="FM107" s="191"/>
      <c r="FN107" s="157"/>
      <c r="FO107" s="191"/>
      <c r="FP107" s="157"/>
      <c r="FQ107" s="191"/>
      <c r="FR107" s="157"/>
      <c r="FS107" s="191"/>
      <c r="FT107" s="157"/>
      <c r="FU107" s="191"/>
      <c r="FV107" s="157"/>
      <c r="FW107" s="191"/>
      <c r="FX107" s="157"/>
      <c r="FY107" s="191"/>
    </row>
    <row r="108" spans="1:209" ht="14.25" hidden="1" customHeight="1" collapsed="1">
      <c r="A108" s="158"/>
      <c r="B108" s="157" t="s">
        <v>363</v>
      </c>
      <c r="C108" s="198">
        <v>0</v>
      </c>
      <c r="D108" s="410"/>
      <c r="E108" s="198">
        <v>0</v>
      </c>
      <c r="F108" s="410"/>
      <c r="G108" s="547">
        <v>0</v>
      </c>
      <c r="H108" s="410"/>
      <c r="I108" s="547">
        <v>0</v>
      </c>
      <c r="J108" s="410"/>
      <c r="K108" s="547">
        <v>0</v>
      </c>
      <c r="L108" s="410"/>
      <c r="M108" s="547">
        <v>0</v>
      </c>
      <c r="N108" s="410"/>
      <c r="O108" s="547">
        <v>0</v>
      </c>
      <c r="P108" s="410"/>
      <c r="Q108" s="547">
        <v>0</v>
      </c>
      <c r="R108" s="410"/>
      <c r="S108" s="547">
        <v>0</v>
      </c>
      <c r="T108" s="410"/>
      <c r="U108" s="547">
        <v>0</v>
      </c>
      <c r="V108" s="410"/>
      <c r="W108" s="547">
        <v>0</v>
      </c>
      <c r="X108" s="410"/>
      <c r="Y108" s="547">
        <v>0</v>
      </c>
      <c r="Z108" s="410"/>
      <c r="AA108" s="547">
        <v>0</v>
      </c>
      <c r="AB108" s="410"/>
      <c r="AC108" s="547">
        <v>-0.38</v>
      </c>
      <c r="AD108" s="410"/>
      <c r="AE108" s="198">
        <v>-0.38</v>
      </c>
      <c r="AF108" s="410"/>
      <c r="AG108" s="198">
        <v>-0.38</v>
      </c>
      <c r="AH108" s="410"/>
      <c r="AI108" s="198">
        <v>-0.38</v>
      </c>
      <c r="AJ108" s="410"/>
      <c r="AK108" s="198">
        <v>-0.38</v>
      </c>
      <c r="AL108" s="410"/>
      <c r="AM108" s="198">
        <v>-0.38</v>
      </c>
      <c r="AN108" s="410"/>
      <c r="AO108" s="198">
        <v>-0.38</v>
      </c>
      <c r="AP108" s="410"/>
      <c r="AQ108" s="198">
        <v>-0.38</v>
      </c>
      <c r="AR108" s="410"/>
      <c r="AS108" s="198">
        <v>4463833.4400000004</v>
      </c>
      <c r="AT108" s="410"/>
      <c r="AU108" s="547">
        <v>4381382.1500000004</v>
      </c>
      <c r="AV108" s="410"/>
      <c r="AW108" s="198">
        <v>4301750.76</v>
      </c>
      <c r="AX108" s="410"/>
      <c r="AY108" s="198">
        <v>8850181.4499999993</v>
      </c>
      <c r="AZ108" s="410"/>
      <c r="BA108" s="198">
        <v>8724021.7799999993</v>
      </c>
      <c r="BB108" s="410"/>
      <c r="BC108" s="198">
        <v>8600682</v>
      </c>
      <c r="BD108" s="410"/>
      <c r="BE108" s="198">
        <v>13244989.15</v>
      </c>
      <c r="BF108" s="410"/>
      <c r="BG108" s="198">
        <v>13079350.939999999</v>
      </c>
      <c r="BH108" s="410"/>
      <c r="BI108" s="198">
        <v>12909482.880000001</v>
      </c>
      <c r="BJ108" s="410"/>
      <c r="BK108" s="198">
        <v>17628517.27</v>
      </c>
      <c r="BL108" s="410"/>
      <c r="BM108" s="198">
        <v>17420580.620000001</v>
      </c>
      <c r="BN108" s="410"/>
      <c r="BO108" s="198">
        <v>17262784.68</v>
      </c>
      <c r="BP108" s="410"/>
      <c r="BQ108" s="198">
        <v>22055554.899999999</v>
      </c>
      <c r="BR108" s="410"/>
      <c r="BS108" s="547">
        <v>21802918.449999999</v>
      </c>
      <c r="BT108" s="410"/>
      <c r="BU108" s="198">
        <v>26780391.84</v>
      </c>
      <c r="BV108" s="410"/>
      <c r="BW108" s="198">
        <v>26486866.899999999</v>
      </c>
      <c r="BX108" s="410"/>
      <c r="BY108" s="198">
        <v>26190522.07</v>
      </c>
      <c r="BZ108" s="410"/>
      <c r="CA108" s="198">
        <v>25902636.920000002</v>
      </c>
      <c r="CB108" s="410"/>
      <c r="CC108" s="198">
        <v>30889979.949999999</v>
      </c>
      <c r="CD108" s="410"/>
      <c r="CE108" s="198">
        <v>30559796.370000001</v>
      </c>
      <c r="CF108" s="410"/>
      <c r="CG108" s="547">
        <v>30219743.149999999</v>
      </c>
      <c r="CH108" s="410"/>
      <c r="CI108" s="198">
        <v>34989254.75</v>
      </c>
      <c r="CJ108" s="410"/>
      <c r="CK108" s="198">
        <v>34616772.729999997</v>
      </c>
      <c r="CL108" s="410"/>
      <c r="CM108" s="198">
        <v>34233011.130000003</v>
      </c>
      <c r="CN108" s="410"/>
      <c r="CO108" s="198">
        <v>33860529.109999999</v>
      </c>
      <c r="CP108" s="410"/>
      <c r="CQ108" s="198">
        <v>33476767.510000002</v>
      </c>
      <c r="CR108" s="410"/>
      <c r="CS108" s="198">
        <v>33126844.66</v>
      </c>
      <c r="CT108" s="157"/>
      <c r="CU108" s="198">
        <v>35088526.399999999</v>
      </c>
      <c r="CV108" s="157"/>
      <c r="CW108" s="198">
        <v>34704765</v>
      </c>
      <c r="CX108" s="157"/>
      <c r="CY108" s="191">
        <v>34332282.780000001</v>
      </c>
      <c r="CZ108" s="157"/>
      <c r="DA108" s="191">
        <v>34986242.850000001</v>
      </c>
      <c r="DB108" s="157"/>
      <c r="DC108" s="191">
        <v>34613760.829999998</v>
      </c>
      <c r="DD108" s="157"/>
      <c r="DE108" s="191">
        <v>34229999.229999997</v>
      </c>
      <c r="DF108" s="157"/>
      <c r="DG108" s="191">
        <v>34872679.710000001</v>
      </c>
      <c r="DH108" s="157"/>
      <c r="DI108" s="191">
        <v>34500197.689999998</v>
      </c>
      <c r="DJ108" s="157"/>
      <c r="DK108" s="191">
        <v>34638638.75</v>
      </c>
      <c r="DL108" s="157"/>
      <c r="DM108" s="191"/>
      <c r="DN108" s="157"/>
      <c r="DO108" s="191"/>
      <c r="DP108" s="157"/>
      <c r="DQ108" s="198"/>
      <c r="DR108" s="157"/>
      <c r="DS108" s="198"/>
      <c r="DT108" s="157"/>
      <c r="DU108" s="198"/>
      <c r="DV108" s="157"/>
      <c r="DW108" s="198"/>
      <c r="DX108" s="157"/>
      <c r="DY108" s="191"/>
      <c r="DZ108" s="157"/>
      <c r="EA108" s="191"/>
      <c r="EB108" s="157"/>
      <c r="EC108" s="191"/>
      <c r="ED108" s="157"/>
      <c r="EE108" s="191"/>
      <c r="EF108" s="157"/>
      <c r="EG108" s="198"/>
      <c r="EH108" s="157"/>
      <c r="EI108" s="198"/>
      <c r="EJ108" s="157"/>
      <c r="EK108" s="198"/>
      <c r="EL108" s="157"/>
      <c r="EM108" s="198"/>
      <c r="EN108" s="157"/>
      <c r="EO108" s="198"/>
      <c r="EP108" s="157"/>
      <c r="EQ108" s="191"/>
      <c r="ER108" s="157"/>
      <c r="ES108" s="191"/>
      <c r="ET108" s="157"/>
      <c r="EU108" s="191"/>
      <c r="EV108" s="157"/>
      <c r="EW108" s="191"/>
      <c r="EX108" s="157"/>
      <c r="EY108" s="191"/>
      <c r="EZ108" s="157"/>
      <c r="FA108" s="191"/>
      <c r="FB108" s="157"/>
      <c r="FC108" s="191"/>
      <c r="FD108" s="157"/>
      <c r="FE108" s="191"/>
      <c r="FF108" s="157"/>
      <c r="FG108" s="191"/>
      <c r="FH108" s="157"/>
      <c r="FI108" s="191"/>
      <c r="FJ108" s="157"/>
      <c r="FK108" s="191"/>
      <c r="FL108" s="157"/>
      <c r="FM108" s="191"/>
      <c r="FN108" s="157"/>
      <c r="FO108" s="191"/>
      <c r="FP108" s="157"/>
      <c r="FQ108" s="191"/>
      <c r="FR108" s="157"/>
      <c r="FS108" s="191"/>
      <c r="FT108" s="157"/>
      <c r="FU108" s="191"/>
      <c r="FV108" s="157"/>
      <c r="FW108" s="191"/>
      <c r="FX108" s="157"/>
      <c r="FY108" s="191"/>
    </row>
    <row r="109" spans="1:209" ht="14.25" customHeight="1">
      <c r="A109" s="158"/>
      <c r="B109" s="157" t="s">
        <v>797</v>
      </c>
      <c r="C109" s="647">
        <v>0</v>
      </c>
      <c r="D109" s="811"/>
      <c r="E109" s="647">
        <v>0</v>
      </c>
      <c r="F109" s="811"/>
      <c r="G109" s="812">
        <v>0</v>
      </c>
      <c r="H109" s="811"/>
      <c r="I109" s="812">
        <v>0</v>
      </c>
      <c r="J109" s="811"/>
      <c r="K109" s="812">
        <v>0</v>
      </c>
      <c r="L109" s="811"/>
      <c r="M109" s="812">
        <v>0</v>
      </c>
      <c r="N109" s="811"/>
      <c r="O109" s="812">
        <v>0</v>
      </c>
      <c r="P109" s="811"/>
      <c r="Q109" s="812">
        <v>0</v>
      </c>
      <c r="R109" s="811"/>
      <c r="S109" s="812">
        <v>0</v>
      </c>
      <c r="T109" s="811"/>
      <c r="U109" s="812">
        <v>0</v>
      </c>
      <c r="V109" s="811"/>
      <c r="W109" s="812">
        <v>0</v>
      </c>
      <c r="X109" s="811"/>
      <c r="Y109" s="812">
        <v>0</v>
      </c>
      <c r="Z109" s="410"/>
      <c r="AA109" s="547">
        <v>4823456.74</v>
      </c>
      <c r="AB109" s="410"/>
      <c r="AC109" s="547">
        <v>4775028.62</v>
      </c>
      <c r="AD109" s="410"/>
      <c r="AE109" s="198">
        <v>4728042.8499999996</v>
      </c>
      <c r="AF109" s="410"/>
      <c r="AG109" s="198">
        <v>9639483.3100000005</v>
      </c>
      <c r="AH109" s="410"/>
      <c r="AI109" s="198">
        <v>9549226.8699999992</v>
      </c>
      <c r="AJ109" s="410"/>
      <c r="AK109" s="198">
        <v>9456085.7100000009</v>
      </c>
      <c r="AL109" s="410"/>
      <c r="AM109" s="198">
        <v>14451182.810000001</v>
      </c>
      <c r="AN109" s="410"/>
      <c r="AO109" s="198">
        <v>14317655.689999999</v>
      </c>
      <c r="AP109" s="410"/>
      <c r="AQ109" s="198">
        <v>14179801.5</v>
      </c>
      <c r="AR109" s="410"/>
      <c r="AS109" s="198">
        <v>19265767.02</v>
      </c>
      <c r="AT109" s="410"/>
      <c r="AU109" s="547">
        <v>19083199.800000001</v>
      </c>
      <c r="AV109" s="410"/>
      <c r="AW109" s="198">
        <v>18912171.43</v>
      </c>
      <c r="AX109" s="410"/>
      <c r="AY109" s="198">
        <v>24087563.02</v>
      </c>
      <c r="AZ109" s="410"/>
      <c r="BA109" s="198">
        <v>23860282.77</v>
      </c>
      <c r="BB109" s="410"/>
      <c r="BC109" s="198">
        <v>23640214.289999999</v>
      </c>
      <c r="BD109" s="410"/>
      <c r="BE109" s="198">
        <v>28903589.59</v>
      </c>
      <c r="BF109" s="410"/>
      <c r="BG109" s="198">
        <v>28640250.440000001</v>
      </c>
      <c r="BH109" s="410"/>
      <c r="BI109" s="198">
        <v>28368257.149999999</v>
      </c>
      <c r="BJ109" s="410"/>
      <c r="BK109" s="198">
        <v>33709519.670000002</v>
      </c>
      <c r="BL109" s="410"/>
      <c r="BM109" s="198">
        <v>33402909.84</v>
      </c>
      <c r="BN109" s="410"/>
      <c r="BO109" s="198">
        <v>33086203.52</v>
      </c>
      <c r="BP109" s="410"/>
      <c r="BQ109" s="198">
        <v>38512565.030000001</v>
      </c>
      <c r="BR109" s="410"/>
      <c r="BS109" s="547">
        <v>38151145.68</v>
      </c>
      <c r="BT109" s="410"/>
      <c r="BU109" s="198">
        <v>37824342.869999997</v>
      </c>
      <c r="BV109" s="410"/>
      <c r="BW109" s="198">
        <v>38524497.460000001</v>
      </c>
      <c r="BX109" s="410"/>
      <c r="BY109" s="198">
        <v>38163078.109999999</v>
      </c>
      <c r="BZ109" s="410"/>
      <c r="CA109" s="198">
        <v>37813197.600000001</v>
      </c>
      <c r="CB109" s="410"/>
      <c r="CC109" s="198">
        <v>38513352.189999998</v>
      </c>
      <c r="CD109" s="410"/>
      <c r="CE109" s="198">
        <v>38163471.68</v>
      </c>
      <c r="CF109" s="410"/>
      <c r="CG109" s="547">
        <v>37802052.329999998</v>
      </c>
      <c r="CH109" s="410"/>
      <c r="CI109" s="198">
        <v>38490668.079999998</v>
      </c>
      <c r="CJ109" s="410"/>
      <c r="CK109" s="198">
        <v>38140788</v>
      </c>
      <c r="CL109" s="410"/>
      <c r="CM109" s="198">
        <v>37779368.219999999</v>
      </c>
      <c r="CN109" s="447"/>
      <c r="CO109" s="198">
        <v>38467983.960000001</v>
      </c>
      <c r="CP109" s="410"/>
      <c r="CQ109" s="198">
        <v>38106564.609999999</v>
      </c>
      <c r="CR109" s="410"/>
      <c r="CS109" s="198">
        <v>37779761.799999997</v>
      </c>
      <c r="CT109" s="157"/>
      <c r="CU109" s="198"/>
      <c r="CV109" s="157"/>
      <c r="CW109" s="198"/>
      <c r="CX109" s="157"/>
      <c r="CY109" s="191"/>
      <c r="CZ109" s="157"/>
      <c r="DA109" s="191"/>
      <c r="DB109" s="157"/>
      <c r="DC109" s="191"/>
      <c r="DD109" s="157"/>
      <c r="DE109" s="191"/>
      <c r="DF109" s="157"/>
      <c r="DG109" s="191"/>
      <c r="DH109" s="157"/>
      <c r="DI109" s="191"/>
      <c r="DJ109" s="157"/>
      <c r="DK109" s="191"/>
      <c r="DL109" s="157"/>
      <c r="DM109" s="191"/>
      <c r="DN109" s="157"/>
      <c r="DO109" s="191"/>
      <c r="DP109" s="157"/>
      <c r="DQ109" s="198"/>
      <c r="DR109" s="157"/>
      <c r="DS109" s="198"/>
      <c r="DT109" s="157"/>
      <c r="DU109" s="198"/>
      <c r="DV109" s="157"/>
      <c r="DW109" s="198"/>
      <c r="DX109" s="157"/>
      <c r="DY109" s="191"/>
      <c r="DZ109" s="157"/>
      <c r="EA109" s="191"/>
      <c r="EB109" s="157"/>
      <c r="EC109" s="191"/>
      <c r="ED109" s="157"/>
      <c r="EE109" s="191"/>
      <c r="EF109" s="157"/>
      <c r="EG109" s="198"/>
      <c r="EH109" s="157"/>
      <c r="EI109" s="198"/>
      <c r="EJ109" s="157"/>
      <c r="EK109" s="198"/>
      <c r="EL109" s="157"/>
      <c r="EM109" s="198"/>
      <c r="EN109" s="157"/>
      <c r="EO109" s="198"/>
      <c r="EP109" s="157"/>
      <c r="EQ109" s="191"/>
      <c r="ER109" s="157"/>
      <c r="ES109" s="191"/>
      <c r="ET109" s="157"/>
      <c r="EU109" s="191"/>
      <c r="EV109" s="157"/>
      <c r="EW109" s="191"/>
      <c r="EX109" s="157"/>
      <c r="EY109" s="191"/>
      <c r="EZ109" s="157"/>
      <c r="FA109" s="191"/>
      <c r="FB109" s="157"/>
      <c r="FC109" s="191"/>
      <c r="FD109" s="157"/>
      <c r="FE109" s="191"/>
      <c r="FF109" s="157"/>
      <c r="FG109" s="191"/>
      <c r="FH109" s="157"/>
      <c r="FI109" s="191"/>
      <c r="FJ109" s="157"/>
      <c r="FK109" s="191"/>
      <c r="FL109" s="157"/>
      <c r="FM109" s="191"/>
      <c r="FN109" s="157"/>
      <c r="FO109" s="191"/>
      <c r="FP109" s="157"/>
      <c r="FQ109" s="191"/>
      <c r="FR109" s="157"/>
      <c r="FS109" s="191"/>
      <c r="FT109" s="157"/>
      <c r="FU109" s="191"/>
      <c r="FV109" s="157"/>
      <c r="FW109" s="191"/>
      <c r="FX109" s="157"/>
      <c r="FY109" s="191"/>
    </row>
    <row r="110" spans="1:209" ht="14.25" hidden="1" customHeight="1" outlineLevel="1">
      <c r="A110" s="158"/>
      <c r="B110" s="157" t="s">
        <v>364</v>
      </c>
      <c r="C110" s="198">
        <v>0</v>
      </c>
      <c r="D110" s="410"/>
      <c r="E110" s="198">
        <v>0</v>
      </c>
      <c r="F110" s="410"/>
      <c r="G110" s="547">
        <v>0</v>
      </c>
      <c r="H110" s="410"/>
      <c r="I110" s="547">
        <v>0</v>
      </c>
      <c r="J110" s="410"/>
      <c r="K110" s="547">
        <v>0</v>
      </c>
      <c r="L110" s="410"/>
      <c r="M110" s="547">
        <v>0</v>
      </c>
      <c r="N110" s="410"/>
      <c r="O110" s="547">
        <v>0</v>
      </c>
      <c r="P110" s="410"/>
      <c r="Q110" s="547">
        <v>0</v>
      </c>
      <c r="R110" s="410"/>
      <c r="S110" s="547">
        <v>0</v>
      </c>
      <c r="T110" s="410"/>
      <c r="U110" s="547">
        <v>0</v>
      </c>
      <c r="V110" s="410"/>
      <c r="W110" s="547">
        <v>0</v>
      </c>
      <c r="X110" s="410"/>
      <c r="Y110" s="547">
        <v>0</v>
      </c>
      <c r="Z110" s="410"/>
      <c r="AA110" s="547">
        <v>0</v>
      </c>
      <c r="AB110" s="410"/>
      <c r="AC110" s="547">
        <v>0</v>
      </c>
      <c r="AD110" s="410"/>
      <c r="AE110" s="198">
        <v>0</v>
      </c>
      <c r="AF110" s="410"/>
      <c r="AG110" s="198">
        <v>0</v>
      </c>
      <c r="AH110" s="410"/>
      <c r="AI110" s="198">
        <v>0</v>
      </c>
      <c r="AJ110" s="410"/>
      <c r="AK110" s="198">
        <v>0</v>
      </c>
      <c r="AL110" s="410"/>
      <c r="AM110" s="198">
        <v>0</v>
      </c>
      <c r="AN110" s="410"/>
      <c r="AO110" s="198">
        <v>0</v>
      </c>
      <c r="AP110" s="410"/>
      <c r="AQ110" s="198">
        <v>0</v>
      </c>
      <c r="AR110" s="410"/>
      <c r="AS110" s="198">
        <v>0</v>
      </c>
      <c r="AT110" s="410"/>
      <c r="AU110" s="547">
        <v>0</v>
      </c>
      <c r="AV110" s="410"/>
      <c r="AW110" s="198">
        <v>0</v>
      </c>
      <c r="AX110" s="410"/>
      <c r="AY110" s="198">
        <v>0</v>
      </c>
      <c r="AZ110" s="410"/>
      <c r="BA110" s="647">
        <v>0</v>
      </c>
      <c r="BB110" s="410"/>
      <c r="BC110" s="647">
        <v>0</v>
      </c>
      <c r="BD110" s="410"/>
      <c r="BE110" s="591">
        <v>0</v>
      </c>
      <c r="BF110" s="410"/>
      <c r="BG110" s="591">
        <v>0</v>
      </c>
      <c r="BH110" s="410"/>
      <c r="BI110" s="591">
        <v>0</v>
      </c>
      <c r="BJ110" s="410"/>
      <c r="BK110" s="591">
        <v>0</v>
      </c>
      <c r="BL110" s="410"/>
      <c r="BM110" s="591">
        <v>0</v>
      </c>
      <c r="BN110" s="410"/>
      <c r="BO110" s="591">
        <v>0</v>
      </c>
      <c r="BP110" s="410"/>
      <c r="BQ110" s="591">
        <v>0</v>
      </c>
      <c r="BR110" s="410"/>
      <c r="BS110" s="547">
        <v>300000</v>
      </c>
      <c r="BT110" s="410"/>
      <c r="BU110" s="198">
        <v>7837500</v>
      </c>
      <c r="BV110" s="410"/>
      <c r="BW110" s="198">
        <v>7757187.5</v>
      </c>
      <c r="BX110" s="410"/>
      <c r="BY110" s="198">
        <v>7676875</v>
      </c>
      <c r="BZ110" s="410"/>
      <c r="CA110" s="198">
        <v>7598750</v>
      </c>
      <c r="CB110" s="410"/>
      <c r="CC110" s="198">
        <v>7518437.5</v>
      </c>
      <c r="CD110" s="410"/>
      <c r="CE110" s="198">
        <v>7440312.5</v>
      </c>
      <c r="CF110" s="410"/>
      <c r="CG110" s="547">
        <v>15599375</v>
      </c>
      <c r="CH110" s="410"/>
      <c r="CI110" s="198">
        <v>15451250</v>
      </c>
      <c r="CJ110" s="410"/>
      <c r="CK110" s="198">
        <v>15307500</v>
      </c>
      <c r="CL110" s="410"/>
      <c r="CM110" s="198">
        <v>15159375</v>
      </c>
      <c r="CN110" s="410"/>
      <c r="CO110" s="198">
        <v>15015625</v>
      </c>
      <c r="CP110" s="410"/>
      <c r="CQ110" s="198">
        <v>14867500</v>
      </c>
      <c r="CR110" s="410"/>
      <c r="CS110" s="198">
        <v>23367812.5</v>
      </c>
      <c r="CT110" s="157"/>
      <c r="CU110" s="198">
        <v>23151875</v>
      </c>
      <c r="CV110" s="157"/>
      <c r="CW110" s="198">
        <v>22935938</v>
      </c>
      <c r="CX110" s="157"/>
      <c r="CY110" s="191">
        <v>22726562.5</v>
      </c>
      <c r="CZ110" s="157"/>
      <c r="DA110" s="191">
        <v>22510625</v>
      </c>
      <c r="DB110" s="157"/>
      <c r="DC110" s="191">
        <v>22301250</v>
      </c>
      <c r="DD110" s="157"/>
      <c r="DE110" s="191">
        <v>31136250</v>
      </c>
      <c r="DF110" s="157"/>
      <c r="DG110" s="191">
        <v>30852500</v>
      </c>
      <c r="DH110" s="157"/>
      <c r="DI110" s="191">
        <v>30577500</v>
      </c>
      <c r="DJ110" s="157"/>
      <c r="DK110" s="191">
        <v>30293750</v>
      </c>
      <c r="DL110" s="157"/>
      <c r="DM110" s="191">
        <v>30018750</v>
      </c>
      <c r="DN110" s="157"/>
      <c r="DO110" s="191">
        <v>29735000</v>
      </c>
      <c r="DP110" s="157"/>
      <c r="DQ110" s="198"/>
      <c r="DR110" s="157"/>
      <c r="DS110" s="198"/>
      <c r="DT110" s="157"/>
      <c r="DU110" s="198"/>
      <c r="DV110" s="157"/>
      <c r="DW110" s="198"/>
      <c r="DX110" s="157"/>
      <c r="DY110" s="191"/>
      <c r="DZ110" s="157"/>
      <c r="EA110" s="191"/>
      <c r="EB110" s="157"/>
      <c r="EC110" s="191"/>
      <c r="ED110" s="157"/>
      <c r="EE110" s="191"/>
      <c r="EF110" s="157"/>
      <c r="EG110" s="198"/>
      <c r="EH110" s="157"/>
      <c r="EI110" s="198"/>
      <c r="EJ110" s="157"/>
      <c r="EK110" s="198"/>
      <c r="EL110" s="157"/>
      <c r="EM110" s="198"/>
      <c r="EN110" s="157"/>
      <c r="EO110" s="198"/>
      <c r="EP110" s="157"/>
      <c r="EQ110" s="191"/>
      <c r="ER110" s="157"/>
      <c r="ES110" s="191"/>
      <c r="ET110" s="157"/>
      <c r="EU110" s="191"/>
      <c r="EV110" s="157"/>
      <c r="EW110" s="191"/>
      <c r="EX110" s="157"/>
      <c r="EY110" s="191"/>
      <c r="EZ110" s="157"/>
      <c r="FA110" s="191"/>
      <c r="FB110" s="157"/>
      <c r="FC110" s="191"/>
      <c r="FD110" s="157"/>
      <c r="FE110" s="191"/>
      <c r="FF110" s="157"/>
      <c r="FG110" s="191"/>
      <c r="FH110" s="157"/>
      <c r="FI110" s="191"/>
      <c r="FJ110" s="157"/>
      <c r="FK110" s="191"/>
      <c r="FL110" s="157"/>
      <c r="FM110" s="191"/>
      <c r="FN110" s="157"/>
      <c r="FO110" s="191"/>
      <c r="FP110" s="157"/>
      <c r="FQ110" s="191"/>
      <c r="FR110" s="157"/>
      <c r="FS110" s="191"/>
      <c r="FT110" s="157"/>
      <c r="FU110" s="191"/>
      <c r="FV110" s="157"/>
      <c r="FW110" s="191"/>
      <c r="FX110" s="157"/>
      <c r="FY110" s="191"/>
    </row>
    <row r="111" spans="1:209" ht="14.25" hidden="1" customHeight="1" collapsed="1">
      <c r="A111" s="158"/>
      <c r="B111" s="157" t="s">
        <v>365</v>
      </c>
      <c r="C111" s="198">
        <v>0</v>
      </c>
      <c r="D111" s="410"/>
      <c r="E111" s="198">
        <v>0</v>
      </c>
      <c r="F111" s="410"/>
      <c r="G111" s="547">
        <v>0</v>
      </c>
      <c r="H111" s="410"/>
      <c r="I111" s="547">
        <v>0</v>
      </c>
      <c r="J111" s="410"/>
      <c r="K111" s="547">
        <v>0</v>
      </c>
      <c r="L111" s="410"/>
      <c r="M111" s="547">
        <v>0</v>
      </c>
      <c r="N111" s="410"/>
      <c r="O111" s="547">
        <v>0</v>
      </c>
      <c r="P111" s="410"/>
      <c r="Q111" s="547">
        <v>0</v>
      </c>
      <c r="R111" s="410"/>
      <c r="S111" s="547">
        <v>0</v>
      </c>
      <c r="T111" s="410"/>
      <c r="U111" s="547">
        <v>0</v>
      </c>
      <c r="V111" s="410"/>
      <c r="W111" s="547">
        <v>0</v>
      </c>
      <c r="X111" s="410"/>
      <c r="Y111" s="547">
        <v>0</v>
      </c>
      <c r="Z111" s="410"/>
      <c r="AA111" s="547">
        <v>0</v>
      </c>
      <c r="AB111" s="410"/>
      <c r="AC111" s="547">
        <v>0</v>
      </c>
      <c r="AD111" s="410"/>
      <c r="AE111" s="198">
        <v>0</v>
      </c>
      <c r="AF111" s="410"/>
      <c r="AG111" s="198">
        <v>0</v>
      </c>
      <c r="AH111" s="410"/>
      <c r="AI111" s="198">
        <v>0</v>
      </c>
      <c r="AJ111" s="410"/>
      <c r="AK111" s="198">
        <v>0</v>
      </c>
      <c r="AL111" s="410"/>
      <c r="AM111" s="198">
        <v>0</v>
      </c>
      <c r="AN111" s="410"/>
      <c r="AO111" s="198">
        <v>0</v>
      </c>
      <c r="AP111" s="410"/>
      <c r="AQ111" s="198">
        <v>0</v>
      </c>
      <c r="AR111" s="410"/>
      <c r="AS111" s="198">
        <v>0</v>
      </c>
      <c r="AT111" s="410"/>
      <c r="AU111" s="547">
        <v>0</v>
      </c>
      <c r="AV111" s="410"/>
      <c r="AW111" s="198">
        <v>0</v>
      </c>
      <c r="AX111" s="410"/>
      <c r="AY111" s="198">
        <v>0</v>
      </c>
      <c r="AZ111" s="410"/>
      <c r="BA111" s="725">
        <v>0</v>
      </c>
      <c r="BB111" s="410"/>
      <c r="BC111" s="725">
        <v>0</v>
      </c>
      <c r="BD111" s="410"/>
      <c r="BE111" s="766">
        <v>0</v>
      </c>
      <c r="BF111" s="410"/>
      <c r="BG111" s="766">
        <v>0</v>
      </c>
      <c r="BH111" s="410"/>
      <c r="BI111" s="198">
        <v>9390661.5600000005</v>
      </c>
      <c r="BJ111" s="410"/>
      <c r="BK111" s="198">
        <v>9298645.4499999993</v>
      </c>
      <c r="BL111" s="410"/>
      <c r="BM111" s="198">
        <v>9201116.2899999991</v>
      </c>
      <c r="BN111" s="410"/>
      <c r="BO111" s="198">
        <v>9100830.5999999996</v>
      </c>
      <c r="BP111" s="410"/>
      <c r="BQ111" s="198">
        <v>9003301.4399999995</v>
      </c>
      <c r="BR111" s="410"/>
      <c r="BS111" s="547">
        <v>8903015.75</v>
      </c>
      <c r="BT111" s="410"/>
      <c r="BU111" s="198">
        <v>14874528.5</v>
      </c>
      <c r="BV111" s="410"/>
      <c r="BW111" s="198">
        <v>18539663.920000002</v>
      </c>
      <c r="BX111" s="410"/>
      <c r="BY111" s="198">
        <v>18353925.870000001</v>
      </c>
      <c r="BZ111" s="410"/>
      <c r="CA111" s="198">
        <v>18173700.870000001</v>
      </c>
      <c r="CB111" s="410"/>
      <c r="CC111" s="198">
        <v>17987962.82</v>
      </c>
      <c r="CD111" s="410"/>
      <c r="CE111" s="198">
        <v>17807737.82</v>
      </c>
      <c r="CF111" s="410"/>
      <c r="CG111" s="547">
        <v>17621999.77</v>
      </c>
      <c r="CH111" s="410"/>
      <c r="CI111" s="198">
        <v>27747603.829999998</v>
      </c>
      <c r="CJ111" s="410"/>
      <c r="CK111" s="198">
        <v>27484683</v>
      </c>
      <c r="CL111" s="410"/>
      <c r="CM111" s="198">
        <v>27213492.59</v>
      </c>
      <c r="CN111" s="410"/>
      <c r="CO111" s="198">
        <v>26950571.760000002</v>
      </c>
      <c r="CP111" s="410"/>
      <c r="CQ111" s="198">
        <v>26679381.350000001</v>
      </c>
      <c r="CR111" s="410"/>
      <c r="CS111" s="198">
        <v>26432999.690000001</v>
      </c>
      <c r="CT111" s="157"/>
      <c r="CU111" s="198">
        <v>37038239.969999999</v>
      </c>
      <c r="CV111" s="157"/>
      <c r="CW111" s="198">
        <v>36681597</v>
      </c>
      <c r="CX111" s="157"/>
      <c r="CY111" s="191">
        <v>36335980.539999999</v>
      </c>
      <c r="CZ111" s="157"/>
      <c r="DA111" s="191">
        <v>35979337.770000003</v>
      </c>
      <c r="DB111" s="157"/>
      <c r="DC111" s="191">
        <v>35633721.109999999</v>
      </c>
      <c r="DD111" s="157"/>
      <c r="DE111" s="191">
        <v>35244000</v>
      </c>
      <c r="DF111" s="157"/>
      <c r="DG111" s="191"/>
      <c r="DH111" s="157"/>
      <c r="DI111" s="191"/>
      <c r="DJ111" s="157"/>
      <c r="DK111" s="191"/>
      <c r="DL111" s="157"/>
      <c r="DM111" s="191"/>
      <c r="DN111" s="157"/>
      <c r="DO111" s="191"/>
      <c r="DP111" s="157"/>
      <c r="DQ111" s="198"/>
      <c r="DR111" s="157"/>
      <c r="DS111" s="198"/>
      <c r="DT111" s="157"/>
      <c r="DU111" s="198"/>
      <c r="DV111" s="157"/>
      <c r="DW111" s="198"/>
      <c r="DX111" s="157"/>
      <c r="DY111" s="191"/>
      <c r="DZ111" s="157"/>
      <c r="EA111" s="191"/>
      <c r="EB111" s="157"/>
      <c r="EC111" s="191"/>
      <c r="ED111" s="157"/>
      <c r="EE111" s="191"/>
      <c r="EF111" s="157"/>
      <c r="EG111" s="198"/>
      <c r="EH111" s="157"/>
      <c r="EI111" s="198"/>
      <c r="EJ111" s="157"/>
      <c r="EK111" s="198"/>
      <c r="EL111" s="157"/>
      <c r="EM111" s="198"/>
      <c r="EN111" s="157"/>
      <c r="EO111" s="198"/>
      <c r="EP111" s="157"/>
      <c r="EQ111" s="191"/>
      <c r="ER111" s="157"/>
      <c r="ES111" s="191"/>
      <c r="ET111" s="157"/>
      <c r="EU111" s="191"/>
      <c r="EV111" s="157"/>
      <c r="EW111" s="191"/>
      <c r="EX111" s="157"/>
      <c r="EY111" s="191"/>
      <c r="EZ111" s="157"/>
      <c r="FA111" s="191"/>
      <c r="FB111" s="157"/>
      <c r="FC111" s="191"/>
      <c r="FD111" s="157"/>
      <c r="FE111" s="191"/>
      <c r="FF111" s="157"/>
      <c r="FG111" s="191"/>
      <c r="FH111" s="157"/>
      <c r="FI111" s="191"/>
      <c r="FJ111" s="157"/>
      <c r="FK111" s="191"/>
      <c r="FL111" s="157"/>
      <c r="FM111" s="191"/>
      <c r="FN111" s="157"/>
      <c r="FO111" s="191"/>
      <c r="FP111" s="157"/>
      <c r="FQ111" s="191"/>
      <c r="FR111" s="157"/>
      <c r="FS111" s="191"/>
      <c r="FT111" s="157"/>
      <c r="FU111" s="191"/>
      <c r="FV111" s="157"/>
      <c r="FW111" s="191"/>
      <c r="FX111" s="157"/>
      <c r="FY111" s="191"/>
    </row>
    <row r="112" spans="1:209" ht="14.1" customHeight="1">
      <c r="A112" s="158"/>
      <c r="B112" s="572" t="s">
        <v>798</v>
      </c>
      <c r="C112" s="647">
        <v>0</v>
      </c>
      <c r="D112" s="410"/>
      <c r="E112" s="647">
        <v>0</v>
      </c>
      <c r="F112" s="410"/>
      <c r="G112" s="812">
        <v>0</v>
      </c>
      <c r="H112" s="410"/>
      <c r="I112" s="812">
        <v>0</v>
      </c>
      <c r="J112" s="410"/>
      <c r="K112" s="812">
        <v>0</v>
      </c>
      <c r="L112" s="410"/>
      <c r="M112" s="547">
        <v>0</v>
      </c>
      <c r="N112" s="410"/>
      <c r="O112" s="547">
        <v>13845543.58</v>
      </c>
      <c r="P112" s="410"/>
      <c r="Q112" s="547">
        <v>13678217.189999999</v>
      </c>
      <c r="R112" s="410"/>
      <c r="S112" s="547">
        <v>13506593.35</v>
      </c>
      <c r="T112" s="410"/>
      <c r="U112" s="547">
        <v>13339266.960000001</v>
      </c>
      <c r="V112" s="410"/>
      <c r="W112" s="547">
        <v>13167643.119999999</v>
      </c>
      <c r="X112" s="410"/>
      <c r="Y112" s="547">
        <v>13008911.640000001</v>
      </c>
      <c r="Z112" s="410"/>
      <c r="AA112" s="547">
        <v>27498499.140000001</v>
      </c>
      <c r="AB112" s="410"/>
      <c r="AC112" s="547">
        <v>27193654.23</v>
      </c>
      <c r="AD112" s="410"/>
      <c r="AE112" s="198">
        <v>26897404.23</v>
      </c>
      <c r="AF112" s="410"/>
      <c r="AG112" s="198">
        <v>26592559.32</v>
      </c>
      <c r="AH112" s="410"/>
      <c r="AI112" s="198">
        <v>26296309.32</v>
      </c>
      <c r="AJ112" s="410"/>
      <c r="AK112" s="198">
        <v>25991464.41</v>
      </c>
      <c r="AL112" s="410"/>
      <c r="AM112" s="198">
        <v>41113722.060000002</v>
      </c>
      <c r="AN112" s="410"/>
      <c r="AO112" s="198">
        <v>40688548.450000003</v>
      </c>
      <c r="AP112" s="410"/>
      <c r="AQ112" s="198">
        <v>40250482.479999997</v>
      </c>
      <c r="AR112" s="410"/>
      <c r="AS112" s="198">
        <v>39825308.869999997</v>
      </c>
      <c r="AT112" s="410"/>
      <c r="AU112" s="547">
        <v>39387242.899999999</v>
      </c>
      <c r="AV112" s="410"/>
      <c r="AW112" s="198">
        <v>38978314.649999999</v>
      </c>
      <c r="AX112" s="410"/>
      <c r="AY112" s="198">
        <v>54792153.909999996</v>
      </c>
      <c r="AZ112" s="410"/>
      <c r="BA112" s="198">
        <v>54220866.869999997</v>
      </c>
      <c r="BB112" s="410"/>
      <c r="BC112" s="198">
        <v>53666769.649999999</v>
      </c>
      <c r="BD112" s="410"/>
      <c r="BE112" s="198">
        <v>53095482.609999999</v>
      </c>
      <c r="BF112" s="410"/>
      <c r="BG112" s="198">
        <v>52541385.390000001</v>
      </c>
      <c r="BH112" s="410"/>
      <c r="BI112" s="198">
        <v>51970098.350000001</v>
      </c>
      <c r="BJ112" s="410"/>
      <c r="BK112" s="198">
        <v>68316493.540000007</v>
      </c>
      <c r="BL112" s="410"/>
      <c r="BM112" s="198">
        <v>67633472.700000003</v>
      </c>
      <c r="BN112" s="410"/>
      <c r="BO112" s="198">
        <v>66928964.600000001</v>
      </c>
      <c r="BP112" s="410"/>
      <c r="BQ112" s="198">
        <v>66245943.759999998</v>
      </c>
      <c r="BR112" s="410"/>
      <c r="BS112" s="547">
        <v>65541435.659999996</v>
      </c>
      <c r="BT112" s="410"/>
      <c r="BU112" s="198">
        <v>64901389.359999999</v>
      </c>
      <c r="BV112" s="410"/>
      <c r="BW112" s="198">
        <v>82038208.349999994</v>
      </c>
      <c r="BX112" s="410"/>
      <c r="BY112" s="198">
        <v>81200479.180000007</v>
      </c>
      <c r="BZ112" s="410"/>
      <c r="CA112" s="198">
        <v>80388534.730000004</v>
      </c>
      <c r="CB112" s="410"/>
      <c r="CC112" s="198">
        <v>79550805.560000002</v>
      </c>
      <c r="CD112" s="410"/>
      <c r="CE112" s="198">
        <v>78738861.109999999</v>
      </c>
      <c r="CF112" s="410"/>
      <c r="CG112" s="547">
        <v>77901131.939999998</v>
      </c>
      <c r="CH112" s="410"/>
      <c r="CI112" s="198">
        <v>0</v>
      </c>
      <c r="CJ112" s="410"/>
      <c r="CK112" s="198">
        <v>0</v>
      </c>
      <c r="CL112" s="410"/>
      <c r="CM112" s="198">
        <v>0</v>
      </c>
      <c r="CN112" s="410"/>
      <c r="CO112" s="198">
        <v>0</v>
      </c>
      <c r="CP112" s="410"/>
      <c r="CQ112" s="198">
        <v>0</v>
      </c>
      <c r="CR112" s="410"/>
      <c r="CS112" s="198">
        <v>0</v>
      </c>
      <c r="CT112" s="157"/>
      <c r="CU112" s="198">
        <v>0</v>
      </c>
      <c r="CV112" s="157"/>
      <c r="CW112" s="198">
        <v>7933333</v>
      </c>
      <c r="CX112" s="157"/>
      <c r="CY112" s="191">
        <v>7839583.3300000001</v>
      </c>
      <c r="CZ112" s="157"/>
      <c r="DA112" s="191">
        <v>7743125</v>
      </c>
      <c r="DB112" s="157"/>
      <c r="DC112" s="191">
        <v>7649375</v>
      </c>
      <c r="DD112" s="157"/>
      <c r="DE112" s="191">
        <v>7552916.6699999999</v>
      </c>
      <c r="DF112" s="157"/>
      <c r="DG112" s="191">
        <v>7949375.0099999998</v>
      </c>
      <c r="DH112" s="157"/>
      <c r="DI112" s="191">
        <v>15786250.01</v>
      </c>
      <c r="DJ112" s="157"/>
      <c r="DK112" s="191">
        <v>15605833.34</v>
      </c>
      <c r="DL112" s="157"/>
      <c r="DM112" s="191">
        <v>15430833.34</v>
      </c>
      <c r="DN112" s="157"/>
      <c r="DO112" s="191">
        <v>15250416.67</v>
      </c>
      <c r="DP112" s="157"/>
      <c r="DQ112" s="198">
        <v>15086250</v>
      </c>
      <c r="DR112" s="157"/>
      <c r="DS112" s="198">
        <v>14905833.333333332</v>
      </c>
      <c r="DT112" s="157"/>
      <c r="DU112" s="198">
        <v>23650000</v>
      </c>
      <c r="DV112" s="157"/>
      <c r="DW112" s="198">
        <v>23393750</v>
      </c>
      <c r="DX112" s="157"/>
      <c r="DY112" s="191">
        <v>23129375</v>
      </c>
      <c r="DZ112" s="157"/>
      <c r="EA112" s="191">
        <v>22873125</v>
      </c>
      <c r="EB112" s="157"/>
      <c r="EC112" s="191">
        <v>22608750</v>
      </c>
      <c r="ED112" s="157"/>
      <c r="EE112" s="191">
        <v>22352500</v>
      </c>
      <c r="EF112" s="157"/>
      <c r="EG112" s="198">
        <v>31725000</v>
      </c>
      <c r="EH112" s="157"/>
      <c r="EI112" s="198">
        <v>31387500</v>
      </c>
      <c r="EJ112" s="157"/>
      <c r="EK112" s="198">
        <v>31050000</v>
      </c>
      <c r="EL112" s="157"/>
      <c r="EM112" s="198">
        <v>30712500</v>
      </c>
      <c r="EN112" s="157"/>
      <c r="EO112" s="198">
        <v>30375000</v>
      </c>
      <c r="EP112" s="157"/>
      <c r="EQ112" s="191">
        <v>30037500</v>
      </c>
      <c r="ER112" s="157"/>
      <c r="ES112" s="191"/>
      <c r="ET112" s="157"/>
      <c r="EU112" s="191"/>
      <c r="EV112" s="157"/>
      <c r="EW112" s="191"/>
      <c r="EX112" s="157"/>
      <c r="EY112" s="191"/>
      <c r="EZ112" s="157"/>
      <c r="FA112" s="191"/>
      <c r="FB112" s="157"/>
      <c r="FC112" s="191"/>
      <c r="FD112" s="157"/>
      <c r="FE112" s="191"/>
      <c r="FF112" s="157"/>
      <c r="FG112" s="191"/>
      <c r="FH112" s="157"/>
      <c r="FI112" s="191"/>
      <c r="FJ112" s="157"/>
      <c r="FK112" s="191"/>
      <c r="FL112" s="157"/>
      <c r="FM112" s="191"/>
      <c r="FN112" s="157"/>
      <c r="FO112" s="191"/>
      <c r="FP112" s="157"/>
      <c r="FQ112" s="191"/>
      <c r="FR112" s="157"/>
      <c r="FS112" s="191"/>
      <c r="FT112" s="157"/>
      <c r="FU112" s="191"/>
      <c r="FV112" s="157"/>
      <c r="FW112" s="191"/>
      <c r="FX112" s="157"/>
      <c r="FY112" s="191"/>
    </row>
    <row r="113" spans="1:199" ht="14.1" customHeight="1">
      <c r="A113" s="446"/>
      <c r="B113" s="582" t="s">
        <v>754</v>
      </c>
      <c r="C113" s="198">
        <v>168785281.19999999</v>
      </c>
      <c r="D113" s="410"/>
      <c r="E113" s="198">
        <v>169181669.69</v>
      </c>
      <c r="F113" s="410"/>
      <c r="G113" s="547">
        <v>-2157295.81</v>
      </c>
      <c r="H113" s="410"/>
      <c r="I113" s="547">
        <v>-371045.81</v>
      </c>
      <c r="J113" s="410"/>
      <c r="K113" s="547">
        <v>-371045.81</v>
      </c>
      <c r="L113" s="410"/>
      <c r="M113" s="547">
        <v>-371045.81</v>
      </c>
      <c r="N113" s="410"/>
      <c r="O113" s="547">
        <v>-371045.81</v>
      </c>
      <c r="P113" s="410"/>
      <c r="Q113" s="547">
        <v>-371045.81</v>
      </c>
      <c r="R113" s="410"/>
      <c r="S113" s="547">
        <v>-371045.81</v>
      </c>
      <c r="T113" s="410"/>
      <c r="U113" s="547">
        <v>-371045.81</v>
      </c>
      <c r="V113" s="410"/>
      <c r="W113" s="547">
        <v>-371045.81</v>
      </c>
      <c r="X113" s="410"/>
      <c r="Y113" s="547">
        <v>-371045.81</v>
      </c>
      <c r="Z113" s="410"/>
      <c r="AA113" s="547">
        <v>-371045.81</v>
      </c>
      <c r="AB113" s="410"/>
      <c r="AC113" s="547">
        <v>-371045.81</v>
      </c>
      <c r="AD113" s="410"/>
      <c r="AE113" s="198">
        <v>-371045.81</v>
      </c>
      <c r="AF113" s="410"/>
      <c r="AG113" s="198">
        <v>-371045.81</v>
      </c>
      <c r="AH113" s="410"/>
      <c r="AI113" s="198">
        <v>-371045.81</v>
      </c>
      <c r="AJ113" s="410"/>
      <c r="AK113" s="198">
        <v>-371045.81</v>
      </c>
      <c r="AL113" s="410"/>
      <c r="AM113" s="198">
        <v>-371045.81</v>
      </c>
      <c r="AN113" s="410"/>
      <c r="AO113" s="198">
        <v>-371045.81</v>
      </c>
      <c r="AP113" s="410"/>
      <c r="AQ113" s="198">
        <v>-0.38</v>
      </c>
      <c r="AR113" s="198"/>
      <c r="AS113" s="198">
        <v>-0.38</v>
      </c>
      <c r="AT113" s="198"/>
      <c r="AU113" s="547">
        <v>-0.38</v>
      </c>
      <c r="AV113" s="198"/>
      <c r="AW113" s="198">
        <v>-0.38</v>
      </c>
      <c r="AX113" s="198"/>
      <c r="AY113" s="198">
        <v>-0.38</v>
      </c>
      <c r="AZ113" s="198"/>
      <c r="BA113" s="198">
        <v>-0.38</v>
      </c>
      <c r="BB113" s="410"/>
      <c r="BC113" s="198">
        <v>0</v>
      </c>
      <c r="BD113" s="410"/>
      <c r="BE113" s="198"/>
      <c r="BF113" s="410"/>
      <c r="BG113" s="198"/>
      <c r="BH113" s="410"/>
      <c r="BI113" s="198"/>
      <c r="BJ113" s="410"/>
      <c r="BK113" s="198"/>
      <c r="BL113" s="410"/>
      <c r="BM113" s="198"/>
      <c r="BN113" s="410"/>
      <c r="BO113" s="198"/>
      <c r="BP113" s="410"/>
      <c r="BQ113" s="198"/>
      <c r="BR113" s="410"/>
      <c r="BS113" s="547"/>
      <c r="BT113" s="410"/>
      <c r="BU113" s="198"/>
      <c r="BV113" s="410"/>
      <c r="BW113" s="198"/>
      <c r="BX113" s="410"/>
      <c r="BY113" s="198"/>
      <c r="BZ113" s="410"/>
      <c r="CA113" s="198"/>
      <c r="CB113" s="410"/>
      <c r="CC113" s="198"/>
      <c r="CD113" s="410"/>
      <c r="CE113" s="198"/>
      <c r="CF113" s="410"/>
      <c r="CG113" s="547"/>
      <c r="CH113" s="410"/>
      <c r="CI113" s="198"/>
      <c r="CJ113" s="410"/>
      <c r="CK113" s="198"/>
      <c r="CL113" s="410"/>
      <c r="CM113" s="198"/>
      <c r="CN113" s="410"/>
      <c r="CO113" s="198"/>
      <c r="CP113" s="410"/>
      <c r="CQ113" s="198"/>
      <c r="CR113" s="410"/>
      <c r="CS113" s="198"/>
      <c r="CT113" s="410"/>
      <c r="CU113" s="198"/>
      <c r="CV113" s="410"/>
      <c r="CW113" s="198"/>
      <c r="CX113" s="410"/>
      <c r="CY113" s="447"/>
      <c r="CZ113" s="410"/>
      <c r="DA113" s="447"/>
      <c r="DB113" s="410"/>
      <c r="DC113" s="447"/>
      <c r="DD113" s="410"/>
      <c r="DE113" s="447"/>
      <c r="DF113" s="410"/>
      <c r="DG113" s="447"/>
      <c r="DH113" s="410"/>
      <c r="DI113" s="447"/>
      <c r="DJ113" s="410"/>
      <c r="DK113" s="447"/>
      <c r="DL113" s="410"/>
      <c r="DM113" s="447"/>
      <c r="DN113" s="410"/>
      <c r="DO113" s="447"/>
      <c r="DP113" s="410"/>
      <c r="DQ113" s="198"/>
      <c r="DR113" s="410"/>
      <c r="DS113" s="198"/>
      <c r="DT113" s="410"/>
      <c r="DU113" s="198"/>
      <c r="DV113" s="410"/>
      <c r="DW113" s="198"/>
      <c r="DX113" s="410"/>
      <c r="DY113" s="447"/>
      <c r="DZ113" s="410"/>
      <c r="EA113" s="447"/>
      <c r="EB113" s="410"/>
      <c r="EC113" s="447"/>
      <c r="ED113" s="410"/>
      <c r="EE113" s="447"/>
      <c r="EF113" s="410"/>
      <c r="EG113" s="198"/>
      <c r="EH113" s="410"/>
      <c r="EI113" s="198"/>
      <c r="EJ113" s="410"/>
      <c r="EK113" s="198"/>
      <c r="EL113" s="410"/>
      <c r="EM113" s="198"/>
      <c r="EN113" s="410"/>
      <c r="EO113" s="198"/>
      <c r="EP113" s="410"/>
      <c r="EQ113" s="447"/>
      <c r="ER113" s="410"/>
      <c r="ES113" s="447"/>
      <c r="ET113" s="410"/>
      <c r="EU113" s="447"/>
      <c r="EV113" s="410"/>
      <c r="EW113" s="447"/>
      <c r="EX113" s="410"/>
      <c r="EY113" s="447"/>
      <c r="EZ113" s="410"/>
      <c r="FA113" s="447"/>
      <c r="FB113" s="410"/>
      <c r="FC113" s="447"/>
      <c r="FD113" s="410"/>
      <c r="FE113" s="447"/>
      <c r="FF113" s="410"/>
      <c r="FG113" s="447"/>
      <c r="FH113" s="410"/>
      <c r="FI113" s="447"/>
      <c r="FJ113" s="410"/>
      <c r="FK113" s="447"/>
      <c r="FL113" s="410"/>
      <c r="FM113" s="447"/>
      <c r="FN113" s="410"/>
      <c r="FO113" s="447"/>
      <c r="FP113" s="410"/>
      <c r="FQ113" s="447"/>
      <c r="FR113" s="410"/>
      <c r="FS113" s="447"/>
      <c r="FT113" s="410"/>
      <c r="FU113" s="447"/>
      <c r="FV113" s="410"/>
      <c r="FW113" s="447"/>
      <c r="FX113" s="410"/>
      <c r="FY113" s="447"/>
    </row>
    <row r="114" spans="1:199" ht="14.1" customHeight="1">
      <c r="A114" s="446"/>
      <c r="B114" s="582" t="s">
        <v>855</v>
      </c>
      <c r="C114" s="198">
        <v>180640541.12</v>
      </c>
      <c r="D114" s="410"/>
      <c r="E114" s="198">
        <v>178635835.21000001</v>
      </c>
      <c r="F114" s="410"/>
      <c r="G114" s="547">
        <v>176693358.34</v>
      </c>
      <c r="H114" s="410"/>
      <c r="I114" s="547">
        <v>186076566.94999999</v>
      </c>
      <c r="J114" s="410"/>
      <c r="K114" s="547">
        <v>184134090.08000001</v>
      </c>
      <c r="L114" s="410"/>
      <c r="M114" s="547">
        <v>182129384.16999999</v>
      </c>
      <c r="N114" s="410"/>
      <c r="O114" s="547">
        <v>180124678.25999999</v>
      </c>
      <c r="P114" s="410"/>
      <c r="Q114" s="547">
        <v>178182201.38999999</v>
      </c>
      <c r="R114" s="410"/>
      <c r="S114" s="547">
        <v>176177495.47999999</v>
      </c>
      <c r="T114" s="410"/>
      <c r="U114" s="547">
        <v>184627268.47</v>
      </c>
      <c r="V114" s="410"/>
      <c r="W114" s="547">
        <v>182622562.56</v>
      </c>
      <c r="X114" s="410"/>
      <c r="Y114" s="547">
        <v>180804543.77000001</v>
      </c>
      <c r="Z114" s="410"/>
      <c r="AA114" s="547">
        <v>178799837.86000001</v>
      </c>
      <c r="AB114" s="410"/>
      <c r="AC114" s="547">
        <v>176795131.94999999</v>
      </c>
      <c r="AD114" s="410"/>
      <c r="AE114" s="198">
        <v>174852655.08000001</v>
      </c>
      <c r="AF114" s="410"/>
      <c r="AG114" s="198">
        <v>-42463.75</v>
      </c>
      <c r="AH114" s="410"/>
      <c r="AI114" s="198"/>
      <c r="AJ114" s="410"/>
      <c r="AK114" s="198"/>
      <c r="AL114" s="410"/>
      <c r="AM114" s="198"/>
      <c r="AN114" s="410"/>
      <c r="AO114" s="198"/>
      <c r="AP114" s="410"/>
      <c r="AQ114" s="198"/>
      <c r="AR114" s="198"/>
      <c r="AS114" s="198"/>
      <c r="AT114" s="198"/>
      <c r="AU114" s="547"/>
      <c r="AV114" s="198"/>
      <c r="AW114" s="198"/>
      <c r="AX114" s="198"/>
      <c r="AY114" s="198"/>
      <c r="AZ114" s="198"/>
      <c r="BA114" s="198"/>
      <c r="BB114" s="410"/>
      <c r="BC114" s="198"/>
      <c r="BD114" s="410"/>
      <c r="BE114" s="198"/>
      <c r="BF114" s="410"/>
      <c r="BG114" s="198"/>
      <c r="BH114" s="410"/>
      <c r="BI114" s="198"/>
      <c r="BJ114" s="410"/>
      <c r="BK114" s="198"/>
      <c r="BL114" s="410"/>
      <c r="BM114" s="198"/>
      <c r="BN114" s="410"/>
      <c r="BO114" s="198"/>
      <c r="BP114" s="410"/>
      <c r="BQ114" s="198"/>
      <c r="BR114" s="410"/>
      <c r="BS114" s="547"/>
      <c r="BT114" s="410"/>
      <c r="BU114" s="198"/>
      <c r="BV114" s="410"/>
      <c r="BW114" s="198"/>
      <c r="BX114" s="410"/>
      <c r="BY114" s="198"/>
      <c r="BZ114" s="410"/>
      <c r="CA114" s="198"/>
      <c r="CB114" s="410"/>
      <c r="CC114" s="198"/>
      <c r="CD114" s="410"/>
      <c r="CE114" s="198"/>
      <c r="CF114" s="410"/>
      <c r="CG114" s="547"/>
      <c r="CH114" s="410"/>
      <c r="CI114" s="198"/>
      <c r="CJ114" s="410"/>
      <c r="CK114" s="198"/>
      <c r="CL114" s="410"/>
      <c r="CM114" s="198"/>
      <c r="CN114" s="410"/>
      <c r="CO114" s="198"/>
      <c r="CP114" s="410"/>
      <c r="CQ114" s="198"/>
      <c r="CR114" s="410"/>
      <c r="CS114" s="198"/>
      <c r="CT114" s="410"/>
      <c r="CU114" s="198"/>
      <c r="CV114" s="410"/>
      <c r="CW114" s="198"/>
      <c r="CX114" s="410"/>
      <c r="CY114" s="447"/>
      <c r="CZ114" s="410"/>
      <c r="DA114" s="447"/>
      <c r="DB114" s="410"/>
      <c r="DC114" s="447"/>
      <c r="DD114" s="410"/>
      <c r="DE114" s="447"/>
      <c r="DF114" s="410"/>
      <c r="DG114" s="447"/>
      <c r="DH114" s="410"/>
      <c r="DI114" s="447"/>
      <c r="DJ114" s="410"/>
      <c r="DK114" s="447"/>
      <c r="DL114" s="410"/>
      <c r="DM114" s="447"/>
      <c r="DN114" s="410"/>
      <c r="DO114" s="447"/>
      <c r="DP114" s="410"/>
      <c r="DQ114" s="198"/>
      <c r="DR114" s="410"/>
      <c r="DS114" s="198"/>
      <c r="DT114" s="410"/>
      <c r="DU114" s="198"/>
      <c r="DV114" s="410"/>
      <c r="DW114" s="198"/>
      <c r="DX114" s="410"/>
      <c r="DY114" s="447"/>
      <c r="DZ114" s="410"/>
      <c r="EA114" s="447"/>
      <c r="EB114" s="410"/>
      <c r="EC114" s="447"/>
      <c r="ED114" s="410"/>
      <c r="EE114" s="447"/>
      <c r="EF114" s="410"/>
      <c r="EG114" s="198"/>
      <c r="EH114" s="410"/>
      <c r="EI114" s="198"/>
      <c r="EJ114" s="410"/>
      <c r="EK114" s="198"/>
      <c r="EL114" s="410"/>
      <c r="EM114" s="198"/>
      <c r="EN114" s="410"/>
      <c r="EO114" s="198"/>
      <c r="EP114" s="410"/>
      <c r="EQ114" s="447"/>
      <c r="ER114" s="410"/>
      <c r="ES114" s="447"/>
      <c r="ET114" s="410"/>
      <c r="EU114" s="447"/>
      <c r="EV114" s="410"/>
      <c r="EW114" s="447"/>
      <c r="EX114" s="410"/>
      <c r="EY114" s="447"/>
      <c r="EZ114" s="410"/>
      <c r="FA114" s="447"/>
      <c r="FB114" s="410"/>
      <c r="FC114" s="447"/>
      <c r="FD114" s="410"/>
      <c r="FE114" s="447"/>
      <c r="FF114" s="410"/>
      <c r="FG114" s="447"/>
      <c r="FH114" s="410"/>
      <c r="FI114" s="447"/>
      <c r="FJ114" s="410"/>
      <c r="FK114" s="447"/>
      <c r="FL114" s="410"/>
      <c r="FM114" s="447"/>
      <c r="FN114" s="410"/>
      <c r="FO114" s="447"/>
      <c r="FP114" s="410"/>
      <c r="FQ114" s="447"/>
      <c r="FR114" s="410"/>
      <c r="FS114" s="447"/>
      <c r="FT114" s="410"/>
      <c r="FU114" s="447"/>
      <c r="FV114" s="410"/>
      <c r="FW114" s="447"/>
      <c r="FX114" s="410"/>
      <c r="FY114" s="447"/>
    </row>
    <row r="115" spans="1:199" s="591" customFormat="1" ht="14.1" customHeight="1">
      <c r="A115" s="446"/>
      <c r="B115" s="794" t="s">
        <v>677</v>
      </c>
      <c r="C115" s="198">
        <v>25038055.5</v>
      </c>
      <c r="D115" s="410"/>
      <c r="E115" s="198">
        <v>24723999.699999999</v>
      </c>
      <c r="F115" s="410"/>
      <c r="G115" s="547">
        <v>24418945.699999999</v>
      </c>
      <c r="H115" s="410"/>
      <c r="I115" s="547">
        <v>24104889.899999999</v>
      </c>
      <c r="J115" s="410"/>
      <c r="K115" s="547">
        <v>23799835.899999999</v>
      </c>
      <c r="L115" s="410"/>
      <c r="M115" s="547">
        <v>50642552.899999999</v>
      </c>
      <c r="N115" s="410"/>
      <c r="O115" s="547">
        <v>50049525</v>
      </c>
      <c r="P115" s="410"/>
      <c r="Q115" s="547">
        <v>49474498</v>
      </c>
      <c r="R115" s="410"/>
      <c r="S115" s="547">
        <v>48881470.100000001</v>
      </c>
      <c r="T115" s="410"/>
      <c r="U115" s="547">
        <v>48306443.100000001</v>
      </c>
      <c r="V115" s="410"/>
      <c r="W115" s="547">
        <v>47713415.200000003</v>
      </c>
      <c r="X115" s="410"/>
      <c r="Y115" s="547">
        <v>50486555.700000003</v>
      </c>
      <c r="Z115" s="410"/>
      <c r="AA115" s="547">
        <v>49893527.799999997</v>
      </c>
      <c r="AB115" s="410"/>
      <c r="AC115" s="547">
        <v>49300499.899999999</v>
      </c>
      <c r="AD115" s="410"/>
      <c r="AE115" s="198">
        <v>48725472.899999999</v>
      </c>
      <c r="AF115" s="410"/>
      <c r="AG115" s="198">
        <v>48132445</v>
      </c>
      <c r="AH115" s="410"/>
      <c r="AI115" s="198">
        <v>47557418</v>
      </c>
      <c r="AJ115" s="410"/>
      <c r="AK115" s="198">
        <v>75750000</v>
      </c>
      <c r="AL115" s="410"/>
      <c r="AM115" s="198">
        <v>74878000</v>
      </c>
      <c r="AN115" s="410"/>
      <c r="AO115" s="198">
        <v>74033000</v>
      </c>
      <c r="AP115" s="410"/>
      <c r="AQ115" s="198">
        <v>73161000</v>
      </c>
      <c r="AR115" s="410"/>
      <c r="AS115" s="198">
        <v>72316000</v>
      </c>
      <c r="AT115" s="410"/>
      <c r="AU115" s="547">
        <v>71444000</v>
      </c>
      <c r="AV115" s="410"/>
      <c r="AW115" s="198">
        <v>75621000</v>
      </c>
      <c r="AX115" s="410"/>
      <c r="AY115" s="198">
        <v>74749000</v>
      </c>
      <c r="AZ115" s="410"/>
      <c r="BA115" s="198">
        <v>73877000</v>
      </c>
      <c r="BB115" s="410"/>
      <c r="BC115" s="198">
        <v>73032000</v>
      </c>
      <c r="BD115" s="410"/>
      <c r="BE115" s="198">
        <v>72160000</v>
      </c>
      <c r="BF115" s="410"/>
      <c r="BG115" s="198">
        <v>71315000</v>
      </c>
      <c r="BH115" s="410"/>
      <c r="BI115" s="591">
        <v>0</v>
      </c>
      <c r="BJ115" s="811"/>
      <c r="BK115" s="591">
        <v>0</v>
      </c>
      <c r="BL115" s="811"/>
      <c r="BM115" s="591">
        <v>0</v>
      </c>
      <c r="BN115" s="811"/>
      <c r="BO115" s="591">
        <v>0</v>
      </c>
      <c r="BP115" s="811"/>
      <c r="BQ115" s="591">
        <v>0</v>
      </c>
      <c r="BR115" s="811"/>
      <c r="BS115" s="812">
        <v>0</v>
      </c>
      <c r="BT115" s="811"/>
      <c r="BU115" s="591">
        <v>0</v>
      </c>
      <c r="BV115" s="811"/>
      <c r="BW115" s="591">
        <v>0</v>
      </c>
      <c r="BX115" s="811"/>
      <c r="BY115" s="591">
        <v>0</v>
      </c>
      <c r="BZ115" s="811"/>
      <c r="CA115" s="591">
        <v>0</v>
      </c>
      <c r="CB115" s="811"/>
      <c r="CD115" s="811"/>
      <c r="CF115" s="811"/>
      <c r="CG115" s="812"/>
      <c r="CH115" s="811"/>
      <c r="CJ115" s="811"/>
      <c r="CL115" s="811"/>
      <c r="CN115" s="811"/>
      <c r="CP115" s="811"/>
      <c r="CR115" s="811"/>
      <c r="CT115" s="811"/>
      <c r="CV115" s="811"/>
      <c r="CX115" s="811"/>
      <c r="CY115" s="811"/>
      <c r="CZ115" s="811"/>
      <c r="DA115" s="811"/>
      <c r="DB115" s="811"/>
      <c r="DC115" s="811"/>
      <c r="DD115" s="811"/>
      <c r="DE115" s="811"/>
      <c r="DF115" s="811"/>
      <c r="DG115" s="811"/>
      <c r="DH115" s="811"/>
      <c r="DI115" s="811"/>
      <c r="DJ115" s="811"/>
      <c r="DK115" s="811"/>
      <c r="DL115" s="811"/>
      <c r="DM115" s="811"/>
      <c r="DN115" s="811"/>
      <c r="DO115" s="811"/>
      <c r="DP115" s="811"/>
      <c r="DR115" s="811"/>
      <c r="DT115" s="811"/>
      <c r="DV115" s="811"/>
      <c r="DX115" s="811"/>
      <c r="DY115" s="811"/>
      <c r="DZ115" s="811"/>
      <c r="EA115" s="811"/>
      <c r="EB115" s="811"/>
      <c r="EC115" s="811"/>
      <c r="ED115" s="811"/>
      <c r="EE115" s="811"/>
      <c r="EF115" s="811"/>
      <c r="EH115" s="811"/>
      <c r="EJ115" s="811"/>
      <c r="EL115" s="811"/>
      <c r="EN115" s="811"/>
      <c r="EP115" s="811"/>
      <c r="EQ115" s="811"/>
      <c r="ER115" s="811"/>
      <c r="ES115" s="811"/>
      <c r="ET115" s="811"/>
      <c r="EU115" s="811"/>
      <c r="EV115" s="811"/>
      <c r="EW115" s="811"/>
      <c r="EX115" s="811"/>
      <c r="EY115" s="811"/>
      <c r="EZ115" s="811"/>
      <c r="FA115" s="811"/>
      <c r="FB115" s="811"/>
      <c r="FC115" s="811"/>
      <c r="FD115" s="811"/>
      <c r="FE115" s="811"/>
      <c r="FF115" s="811"/>
      <c r="FG115" s="811"/>
      <c r="FH115" s="811"/>
      <c r="FI115" s="811"/>
      <c r="FJ115" s="811"/>
      <c r="FK115" s="811"/>
      <c r="FL115" s="811"/>
      <c r="FM115" s="811"/>
      <c r="FN115" s="811"/>
      <c r="FO115" s="811"/>
      <c r="FP115" s="811"/>
      <c r="FQ115" s="811"/>
      <c r="FR115" s="811"/>
      <c r="FS115" s="811"/>
      <c r="FT115" s="811"/>
      <c r="FU115" s="811"/>
      <c r="FV115" s="811"/>
      <c r="FW115" s="811"/>
      <c r="FX115" s="811"/>
      <c r="FY115" s="811"/>
    </row>
    <row r="116" spans="1:199" s="591" customFormat="1" ht="14.1" customHeight="1">
      <c r="A116" s="446"/>
      <c r="B116" s="582" t="s">
        <v>755</v>
      </c>
      <c r="C116" s="198">
        <v>65420703.57</v>
      </c>
      <c r="D116" s="410"/>
      <c r="E116" s="198">
        <v>64696385.630000003</v>
      </c>
      <c r="F116" s="410"/>
      <c r="G116" s="547">
        <v>63994368.57</v>
      </c>
      <c r="H116" s="410"/>
      <c r="I116" s="547">
        <v>63270050.630000003</v>
      </c>
      <c r="J116" s="410"/>
      <c r="K116" s="547">
        <v>62568033.57</v>
      </c>
      <c r="L116" s="410"/>
      <c r="M116" s="547">
        <v>61843715.630000003</v>
      </c>
      <c r="N116" s="410"/>
      <c r="O116" s="547">
        <v>98113178.25</v>
      </c>
      <c r="P116" s="410"/>
      <c r="Q116" s="547">
        <v>97076648.060000002</v>
      </c>
      <c r="R116" s="410"/>
      <c r="S116" s="547">
        <v>96006666.560000002</v>
      </c>
      <c r="T116" s="410"/>
      <c r="U116" s="547">
        <v>94970136.370000005</v>
      </c>
      <c r="V116" s="410"/>
      <c r="W116" s="547">
        <v>93900154.870000005</v>
      </c>
      <c r="X116" s="410"/>
      <c r="Y116" s="547">
        <v>92930527.310000002</v>
      </c>
      <c r="Z116" s="410"/>
      <c r="AA116" s="547">
        <v>99387091.120000005</v>
      </c>
      <c r="AB116" s="410"/>
      <c r="AC116" s="547">
        <v>98317109.620000005</v>
      </c>
      <c r="AD116" s="410"/>
      <c r="AE116" s="198">
        <v>97280579.430000007</v>
      </c>
      <c r="AF116" s="410"/>
      <c r="AG116" s="198">
        <v>96210597.930000007</v>
      </c>
      <c r="AH116" s="410"/>
      <c r="AI116" s="198">
        <v>95174067.739999995</v>
      </c>
      <c r="AJ116" s="410"/>
      <c r="AK116" s="198">
        <v>94104086.239999995</v>
      </c>
      <c r="AL116" s="410"/>
      <c r="AM116" s="198">
        <v>93034104.739999995</v>
      </c>
      <c r="AN116" s="410"/>
      <c r="AO116" s="198">
        <v>-20762.63</v>
      </c>
      <c r="AP116" s="410"/>
      <c r="AQ116" s="198">
        <v>0</v>
      </c>
      <c r="AR116" s="410"/>
      <c r="AS116" s="198">
        <v>0</v>
      </c>
      <c r="AT116" s="410"/>
      <c r="AU116" s="547">
        <v>0</v>
      </c>
      <c r="AV116" s="410"/>
      <c r="AW116" s="198">
        <v>0</v>
      </c>
      <c r="AX116" s="410"/>
      <c r="AY116" s="198">
        <v>0</v>
      </c>
      <c r="AZ116" s="410"/>
      <c r="BA116" s="198">
        <v>0</v>
      </c>
      <c r="BB116" s="410"/>
      <c r="BC116" s="198">
        <v>0</v>
      </c>
      <c r="BD116" s="410"/>
      <c r="BE116" s="198"/>
      <c r="BF116" s="410"/>
      <c r="BG116" s="198"/>
      <c r="BH116" s="410"/>
      <c r="BJ116" s="811"/>
      <c r="BL116" s="811"/>
      <c r="BN116" s="811"/>
      <c r="BP116" s="811"/>
      <c r="BR116" s="811"/>
      <c r="BS116" s="812"/>
      <c r="BT116" s="811"/>
      <c r="BV116" s="811"/>
      <c r="BX116" s="811"/>
      <c r="BZ116" s="811"/>
      <c r="CB116" s="811"/>
      <c r="CD116" s="811"/>
      <c r="CF116" s="811"/>
      <c r="CG116" s="812"/>
      <c r="CH116" s="811"/>
      <c r="CJ116" s="811"/>
      <c r="CL116" s="811"/>
      <c r="CN116" s="811"/>
      <c r="CP116" s="811"/>
      <c r="CR116" s="811"/>
      <c r="CT116" s="811"/>
      <c r="CV116" s="811"/>
      <c r="CX116" s="811"/>
      <c r="CY116" s="811"/>
      <c r="CZ116" s="811"/>
      <c r="DA116" s="811"/>
      <c r="DB116" s="811"/>
      <c r="DC116" s="811"/>
      <c r="DD116" s="811"/>
      <c r="DE116" s="811"/>
      <c r="DF116" s="811"/>
      <c r="DG116" s="811"/>
      <c r="DH116" s="811"/>
      <c r="DI116" s="811"/>
      <c r="DJ116" s="811"/>
      <c r="DK116" s="811"/>
      <c r="DL116" s="811"/>
      <c r="DM116" s="811"/>
      <c r="DN116" s="811"/>
      <c r="DO116" s="811"/>
      <c r="DP116" s="811"/>
      <c r="DR116" s="811"/>
      <c r="DT116" s="811"/>
      <c r="DV116" s="811"/>
      <c r="DX116" s="811"/>
      <c r="DY116" s="811"/>
      <c r="DZ116" s="811"/>
      <c r="EA116" s="811"/>
      <c r="EB116" s="811"/>
      <c r="EC116" s="811"/>
      <c r="ED116" s="811"/>
      <c r="EE116" s="811"/>
      <c r="EF116" s="811"/>
      <c r="EH116" s="811"/>
      <c r="EJ116" s="811"/>
      <c r="EL116" s="811"/>
      <c r="EN116" s="811"/>
      <c r="EP116" s="811"/>
      <c r="EQ116" s="811"/>
      <c r="ER116" s="811"/>
      <c r="ES116" s="811"/>
      <c r="ET116" s="811"/>
      <c r="EU116" s="811"/>
      <c r="EV116" s="811"/>
      <c r="EW116" s="811"/>
      <c r="EX116" s="811"/>
      <c r="EY116" s="811"/>
      <c r="EZ116" s="811"/>
      <c r="FA116" s="811"/>
      <c r="FB116" s="811"/>
      <c r="FC116" s="811"/>
      <c r="FD116" s="811"/>
      <c r="FE116" s="811"/>
      <c r="FF116" s="811"/>
      <c r="FG116" s="811"/>
      <c r="FH116" s="811"/>
      <c r="FI116" s="811"/>
      <c r="FJ116" s="811"/>
      <c r="FK116" s="811"/>
      <c r="FL116" s="811"/>
      <c r="FM116" s="811"/>
      <c r="FN116" s="811"/>
      <c r="FO116" s="811"/>
      <c r="FP116" s="811"/>
      <c r="FQ116" s="811"/>
      <c r="FR116" s="811"/>
      <c r="FS116" s="811"/>
      <c r="FT116" s="811"/>
      <c r="FU116" s="811"/>
      <c r="FV116" s="811"/>
      <c r="FW116" s="811"/>
      <c r="FX116" s="811"/>
      <c r="FY116" s="811"/>
    </row>
    <row r="117" spans="1:199" s="591" customFormat="1" ht="14.1" customHeight="1">
      <c r="A117" s="446"/>
      <c r="B117" s="582" t="s">
        <v>676</v>
      </c>
      <c r="C117" s="198">
        <v>119863388.34</v>
      </c>
      <c r="D117" s="410"/>
      <c r="E117" s="198">
        <v>122385340.63</v>
      </c>
      <c r="F117" s="410"/>
      <c r="G117" s="547">
        <v>121075865.81999999</v>
      </c>
      <c r="H117" s="410"/>
      <c r="I117" s="547">
        <v>119726391.01000001</v>
      </c>
      <c r="J117" s="410"/>
      <c r="K117" s="547">
        <v>183875289.09999999</v>
      </c>
      <c r="L117" s="410"/>
      <c r="M117" s="547">
        <v>181788014.28999999</v>
      </c>
      <c r="N117" s="410"/>
      <c r="O117" s="547">
        <v>179700739.47999999</v>
      </c>
      <c r="P117" s="410"/>
      <c r="Q117" s="547">
        <v>183556784.66999999</v>
      </c>
      <c r="R117" s="410"/>
      <c r="S117" s="547">
        <v>181464549.86000001</v>
      </c>
      <c r="T117" s="410"/>
      <c r="U117" s="547">
        <v>179436275.05000001</v>
      </c>
      <c r="V117" s="410"/>
      <c r="W117" s="547">
        <v>244874373.63</v>
      </c>
      <c r="X117" s="410"/>
      <c r="Y117" s="547">
        <v>242383032.15000001</v>
      </c>
      <c r="Z117" s="410"/>
      <c r="AA117" s="547">
        <v>239636490.66999999</v>
      </c>
      <c r="AB117" s="410"/>
      <c r="AC117" s="547">
        <v>244875015.86000001</v>
      </c>
      <c r="AD117" s="410"/>
      <c r="AE117" s="198">
        <v>242091541.05000001</v>
      </c>
      <c r="AF117" s="410"/>
      <c r="AG117" s="198">
        <v>239218932.91</v>
      </c>
      <c r="AH117" s="410"/>
      <c r="AI117" s="198">
        <v>244635724.77000001</v>
      </c>
      <c r="AJ117" s="410"/>
      <c r="AK117" s="198">
        <v>241763116.63</v>
      </c>
      <c r="AL117" s="410"/>
      <c r="AM117" s="198">
        <v>238890508.49000001</v>
      </c>
      <c r="AN117" s="410"/>
      <c r="AO117" s="198">
        <v>243271125.34999999</v>
      </c>
      <c r="AP117" s="410"/>
      <c r="AQ117" s="198">
        <v>240398517.21000001</v>
      </c>
      <c r="AR117" s="410"/>
      <c r="AS117" s="198">
        <v>149323689.65000001</v>
      </c>
      <c r="AT117" s="410"/>
      <c r="AU117" s="547">
        <v>152590040.58000001</v>
      </c>
      <c r="AV117" s="410"/>
      <c r="AW117" s="198">
        <v>150915308.18000001</v>
      </c>
      <c r="AX117" s="410"/>
      <c r="AY117" s="198">
        <v>149129467.44</v>
      </c>
      <c r="AZ117" s="410"/>
      <c r="BA117" s="198">
        <v>152399055.87</v>
      </c>
      <c r="BB117" s="410"/>
      <c r="BC117" s="198">
        <v>150668769.30000001</v>
      </c>
      <c r="BD117" s="410"/>
      <c r="BE117" s="198">
        <v>148882928.56</v>
      </c>
      <c r="BF117" s="410"/>
      <c r="BG117" s="198">
        <v>-41816.339999999997</v>
      </c>
      <c r="BH117" s="410"/>
      <c r="BI117" s="591">
        <v>0</v>
      </c>
      <c r="BJ117" s="811"/>
      <c r="BK117" s="591">
        <v>0</v>
      </c>
      <c r="BL117" s="811"/>
      <c r="BM117" s="591">
        <v>0</v>
      </c>
      <c r="BN117" s="811"/>
      <c r="BO117" s="591">
        <v>0</v>
      </c>
      <c r="BP117" s="811"/>
      <c r="BQ117" s="591">
        <v>0</v>
      </c>
      <c r="BR117" s="811"/>
      <c r="BS117" s="812">
        <v>0</v>
      </c>
      <c r="BT117" s="811"/>
      <c r="BU117" s="591">
        <v>0</v>
      </c>
      <c r="BV117" s="811"/>
      <c r="BW117" s="591">
        <v>0</v>
      </c>
      <c r="BX117" s="811"/>
      <c r="BY117" s="591">
        <v>0</v>
      </c>
      <c r="BZ117" s="811"/>
      <c r="CA117" s="591">
        <v>0</v>
      </c>
      <c r="CB117" s="811"/>
      <c r="CD117" s="811"/>
      <c r="CF117" s="811"/>
      <c r="CG117" s="812"/>
      <c r="CH117" s="811"/>
      <c r="CJ117" s="811"/>
      <c r="CL117" s="811"/>
      <c r="CN117" s="811"/>
      <c r="CP117" s="811"/>
      <c r="CR117" s="811"/>
      <c r="CT117" s="811"/>
      <c r="CV117" s="811"/>
      <c r="CX117" s="811"/>
      <c r="CY117" s="811"/>
      <c r="CZ117" s="811"/>
      <c r="DA117" s="811"/>
      <c r="DB117" s="811"/>
      <c r="DC117" s="811"/>
      <c r="DD117" s="811"/>
      <c r="DE117" s="811"/>
      <c r="DF117" s="811"/>
      <c r="DG117" s="811"/>
      <c r="DH117" s="811"/>
      <c r="DI117" s="811"/>
      <c r="DJ117" s="811"/>
      <c r="DK117" s="811"/>
      <c r="DL117" s="811"/>
      <c r="DM117" s="811"/>
      <c r="DN117" s="811"/>
      <c r="DO117" s="811"/>
      <c r="DP117" s="811"/>
      <c r="DR117" s="811"/>
      <c r="DT117" s="811"/>
      <c r="DV117" s="811"/>
      <c r="DX117" s="811"/>
      <c r="DY117" s="811"/>
      <c r="DZ117" s="811"/>
      <c r="EA117" s="811"/>
      <c r="EB117" s="811"/>
      <c r="EC117" s="811"/>
      <c r="ED117" s="811"/>
      <c r="EE117" s="811"/>
      <c r="EF117" s="811"/>
      <c r="EH117" s="811"/>
      <c r="EJ117" s="811"/>
      <c r="EL117" s="811"/>
      <c r="EN117" s="811"/>
      <c r="EP117" s="811"/>
      <c r="EQ117" s="811"/>
      <c r="ER117" s="811"/>
      <c r="ES117" s="811"/>
      <c r="ET117" s="811"/>
      <c r="EU117" s="811"/>
      <c r="EV117" s="811"/>
      <c r="EW117" s="811"/>
      <c r="EX117" s="811"/>
      <c r="EY117" s="811"/>
      <c r="EZ117" s="811"/>
      <c r="FA117" s="811"/>
      <c r="FB117" s="811"/>
      <c r="FC117" s="811"/>
      <c r="FD117" s="811"/>
      <c r="FE117" s="811"/>
      <c r="FF117" s="811"/>
      <c r="FG117" s="811"/>
      <c r="FH117" s="811"/>
      <c r="FI117" s="811"/>
      <c r="FJ117" s="811"/>
      <c r="FK117" s="811"/>
      <c r="FL117" s="811"/>
      <c r="FM117" s="811"/>
      <c r="FN117" s="811"/>
      <c r="FO117" s="811"/>
      <c r="FP117" s="811"/>
      <c r="FQ117" s="811"/>
      <c r="FR117" s="811"/>
      <c r="FS117" s="811"/>
      <c r="FT117" s="811"/>
      <c r="FU117" s="811"/>
      <c r="FV117" s="811"/>
      <c r="FW117" s="811"/>
      <c r="FX117" s="811"/>
      <c r="FY117" s="811"/>
    </row>
    <row r="118" spans="1:199" s="591" customFormat="1" ht="14.1" customHeight="1">
      <c r="A118" s="446"/>
      <c r="B118" s="582" t="s">
        <v>822</v>
      </c>
      <c r="C118" s="198">
        <v>-314110.01</v>
      </c>
      <c r="D118" s="410"/>
      <c r="E118" s="198">
        <v>-18671.12</v>
      </c>
      <c r="F118" s="410"/>
      <c r="G118" s="547">
        <v>-18671.12</v>
      </c>
      <c r="H118" s="410"/>
      <c r="I118" s="547">
        <v>-18671.12</v>
      </c>
      <c r="J118" s="410"/>
      <c r="K118" s="547">
        <v>-18671.12</v>
      </c>
      <c r="L118" s="410"/>
      <c r="M118" s="547">
        <v>-18671.12</v>
      </c>
      <c r="N118" s="410"/>
      <c r="O118" s="547">
        <v>-18671.12</v>
      </c>
      <c r="P118" s="410"/>
      <c r="Q118" s="547">
        <v>-18671.12</v>
      </c>
      <c r="R118" s="410"/>
      <c r="S118" s="547">
        <v>-18671.12</v>
      </c>
      <c r="T118" s="410"/>
      <c r="U118" s="547">
        <v>-18671.12</v>
      </c>
      <c r="V118" s="410"/>
      <c r="W118" s="547">
        <v>-18671.12</v>
      </c>
      <c r="X118" s="410"/>
      <c r="Y118" s="812">
        <v>0</v>
      </c>
      <c r="Z118" s="811"/>
      <c r="AA118" s="812">
        <v>0</v>
      </c>
      <c r="AB118" s="811"/>
      <c r="AC118" s="812">
        <v>0</v>
      </c>
      <c r="AD118" s="811"/>
      <c r="AE118" s="591">
        <v>0</v>
      </c>
      <c r="AF118" s="811"/>
      <c r="AG118" s="198">
        <v>0</v>
      </c>
      <c r="AH118" s="410"/>
      <c r="AI118" s="198">
        <v>0</v>
      </c>
      <c r="AJ118" s="410"/>
      <c r="AK118" s="198">
        <v>0</v>
      </c>
      <c r="AL118" s="410"/>
      <c r="AM118" s="198">
        <v>0</v>
      </c>
      <c r="AN118" s="410"/>
      <c r="AO118" s="198">
        <v>0</v>
      </c>
      <c r="AP118" s="410"/>
      <c r="AQ118" s="198">
        <v>0</v>
      </c>
      <c r="AR118" s="410"/>
      <c r="AS118" s="198">
        <v>0</v>
      </c>
      <c r="AT118" s="410"/>
      <c r="AU118" s="547">
        <v>0</v>
      </c>
      <c r="AV118" s="410"/>
      <c r="AW118" s="198">
        <v>0</v>
      </c>
      <c r="AX118" s="410"/>
      <c r="AY118" s="198">
        <v>0</v>
      </c>
      <c r="AZ118" s="410"/>
      <c r="BA118" s="198">
        <v>0</v>
      </c>
      <c r="BB118" s="410"/>
      <c r="BC118" s="198"/>
      <c r="BD118" s="410"/>
      <c r="BE118" s="198"/>
      <c r="BF118" s="410"/>
      <c r="BG118" s="198"/>
      <c r="BH118" s="410"/>
      <c r="BJ118" s="811"/>
      <c r="BL118" s="811"/>
      <c r="BN118" s="811"/>
      <c r="BP118" s="811"/>
      <c r="BR118" s="811"/>
      <c r="BS118" s="812"/>
      <c r="BT118" s="811"/>
      <c r="BV118" s="811"/>
      <c r="BX118" s="811"/>
      <c r="BZ118" s="811"/>
      <c r="CB118" s="811"/>
      <c r="CD118" s="811"/>
      <c r="CF118" s="811"/>
      <c r="CG118" s="812"/>
      <c r="CH118" s="811"/>
      <c r="CJ118" s="811"/>
      <c r="CL118" s="811"/>
      <c r="CN118" s="811"/>
      <c r="CP118" s="811"/>
      <c r="CR118" s="811"/>
      <c r="CT118" s="811"/>
      <c r="CV118" s="811"/>
      <c r="CX118" s="811"/>
      <c r="CY118" s="811"/>
      <c r="CZ118" s="811"/>
      <c r="DA118" s="811"/>
      <c r="DB118" s="811"/>
      <c r="DC118" s="811"/>
      <c r="DD118" s="811"/>
      <c r="DE118" s="811"/>
      <c r="DF118" s="811"/>
      <c r="DG118" s="811"/>
      <c r="DH118" s="811"/>
      <c r="DI118" s="811"/>
      <c r="DJ118" s="811"/>
      <c r="DK118" s="811"/>
      <c r="DL118" s="811"/>
      <c r="DM118" s="811"/>
      <c r="DN118" s="811"/>
      <c r="DO118" s="811"/>
      <c r="DP118" s="811"/>
      <c r="DR118" s="811"/>
      <c r="DT118" s="811"/>
      <c r="DV118" s="811"/>
      <c r="DX118" s="811"/>
      <c r="DY118" s="811"/>
      <c r="DZ118" s="811"/>
      <c r="EA118" s="811"/>
      <c r="EB118" s="811"/>
      <c r="EC118" s="811"/>
      <c r="ED118" s="811"/>
      <c r="EE118" s="811"/>
      <c r="EF118" s="811"/>
      <c r="EH118" s="811"/>
      <c r="EJ118" s="811"/>
      <c r="EL118" s="811"/>
      <c r="EN118" s="811"/>
      <c r="EP118" s="811"/>
      <c r="EQ118" s="811"/>
      <c r="ER118" s="811"/>
      <c r="ES118" s="811"/>
      <c r="ET118" s="811"/>
      <c r="EU118" s="811"/>
      <c r="EV118" s="811"/>
      <c r="EW118" s="811"/>
      <c r="EX118" s="811"/>
      <c r="EY118" s="811"/>
      <c r="EZ118" s="811"/>
      <c r="FA118" s="811"/>
      <c r="FB118" s="811"/>
      <c r="FC118" s="811"/>
      <c r="FD118" s="811"/>
      <c r="FE118" s="811"/>
      <c r="FF118" s="811"/>
      <c r="FG118" s="811"/>
      <c r="FH118" s="811"/>
      <c r="FI118" s="811"/>
      <c r="FJ118" s="811"/>
      <c r="FK118" s="811"/>
      <c r="FL118" s="811"/>
      <c r="FM118" s="811"/>
      <c r="FN118" s="811"/>
      <c r="FO118" s="811"/>
      <c r="FP118" s="811"/>
      <c r="FQ118" s="811"/>
      <c r="FR118" s="811"/>
      <c r="FS118" s="811"/>
      <c r="FT118" s="811"/>
      <c r="FU118" s="811"/>
      <c r="FV118" s="811"/>
      <c r="FW118" s="811"/>
      <c r="FX118" s="811"/>
      <c r="FY118" s="811"/>
    </row>
    <row r="119" spans="1:199" s="591" customFormat="1" ht="14.1" customHeight="1">
      <c r="A119" s="446"/>
      <c r="B119" s="582" t="s">
        <v>673</v>
      </c>
      <c r="C119" s="198">
        <v>111981203.75</v>
      </c>
      <c r="D119" s="410"/>
      <c r="E119" s="198">
        <v>114240029.48</v>
      </c>
      <c r="F119" s="410"/>
      <c r="G119" s="547">
        <v>113037697.73</v>
      </c>
      <c r="H119" s="410"/>
      <c r="I119" s="547">
        <v>115296523.45999999</v>
      </c>
      <c r="J119" s="410"/>
      <c r="K119" s="547">
        <v>114094191.70999999</v>
      </c>
      <c r="L119" s="410"/>
      <c r="M119" s="547">
        <v>112853825.26000001</v>
      </c>
      <c r="N119" s="410"/>
      <c r="O119" s="547">
        <v>115074616.29000001</v>
      </c>
      <c r="P119" s="410"/>
      <c r="Q119" s="547">
        <v>113872284.54000001</v>
      </c>
      <c r="R119" s="410"/>
      <c r="S119" s="547">
        <v>112631918.09</v>
      </c>
      <c r="T119" s="410"/>
      <c r="U119" s="547">
        <v>114852709.13</v>
      </c>
      <c r="V119" s="410"/>
      <c r="W119" s="547">
        <v>113612342.68000001</v>
      </c>
      <c r="X119" s="410"/>
      <c r="Y119" s="547">
        <v>112486080.33</v>
      </c>
      <c r="Z119" s="410"/>
      <c r="AA119" s="547">
        <v>111245713.88</v>
      </c>
      <c r="AB119" s="410"/>
      <c r="AC119" s="547">
        <v>113504539.61</v>
      </c>
      <c r="AD119" s="410"/>
      <c r="AE119" s="198">
        <v>112302207.86</v>
      </c>
      <c r="AF119" s="410"/>
      <c r="AG119" s="198">
        <v>114551472.95999999</v>
      </c>
      <c r="AH119" s="410"/>
      <c r="AI119" s="198">
        <v>113358701.84</v>
      </c>
      <c r="AJ119" s="410"/>
      <c r="AK119" s="198">
        <v>112118335.39</v>
      </c>
      <c r="AL119" s="410"/>
      <c r="AM119" s="198">
        <v>110877968.94</v>
      </c>
      <c r="AN119" s="410"/>
      <c r="AO119" s="198">
        <v>113136794.68000001</v>
      </c>
      <c r="AP119" s="410"/>
      <c r="AQ119" s="198">
        <v>111896428.23</v>
      </c>
      <c r="AR119" s="410"/>
      <c r="AS119" s="198">
        <v>114145797.25</v>
      </c>
      <c r="AT119" s="410"/>
      <c r="AU119" s="547">
        <v>112914887.51000001</v>
      </c>
      <c r="AV119" s="410"/>
      <c r="AW119" s="198">
        <v>111750590.45999999</v>
      </c>
      <c r="AX119" s="410"/>
      <c r="AY119" s="198">
        <v>110510224.01000001</v>
      </c>
      <c r="AZ119" s="410"/>
      <c r="BA119" s="198">
        <v>112769049.73999999</v>
      </c>
      <c r="BB119" s="410"/>
      <c r="BC119" s="198">
        <v>111566717.98999999</v>
      </c>
      <c r="BD119" s="410"/>
      <c r="BE119" s="198">
        <v>112468972.84</v>
      </c>
      <c r="BF119" s="410"/>
      <c r="BG119" s="198">
        <v>74214943.140000001</v>
      </c>
      <c r="BH119" s="410"/>
      <c r="BI119" s="198">
        <v>73367601.900000006</v>
      </c>
      <c r="BJ119" s="410"/>
      <c r="BK119" s="198">
        <v>-19555.75</v>
      </c>
      <c r="BL119" s="410"/>
      <c r="BM119" s="591">
        <v>0</v>
      </c>
      <c r="BN119" s="811"/>
      <c r="BO119" s="591">
        <v>0</v>
      </c>
      <c r="BP119" s="811"/>
      <c r="BQ119" s="591">
        <v>0</v>
      </c>
      <c r="BR119" s="811"/>
      <c r="BS119" s="812">
        <v>0</v>
      </c>
      <c r="BT119" s="811"/>
      <c r="BU119" s="591">
        <v>0</v>
      </c>
      <c r="BV119" s="811"/>
      <c r="BW119" s="591">
        <v>0</v>
      </c>
      <c r="BX119" s="811"/>
      <c r="BY119" s="591">
        <v>0</v>
      </c>
      <c r="BZ119" s="811"/>
      <c r="CA119" s="591">
        <v>0</v>
      </c>
      <c r="CB119" s="811"/>
      <c r="CD119" s="811"/>
      <c r="CF119" s="811"/>
      <c r="CG119" s="812"/>
      <c r="CH119" s="811"/>
      <c r="CJ119" s="811"/>
      <c r="CL119" s="811"/>
      <c r="CN119" s="811"/>
      <c r="CP119" s="811"/>
      <c r="CR119" s="811"/>
      <c r="CT119" s="811"/>
      <c r="CV119" s="811"/>
      <c r="CX119" s="811"/>
      <c r="CY119" s="811"/>
      <c r="CZ119" s="811"/>
      <c r="DA119" s="811"/>
      <c r="DB119" s="811"/>
      <c r="DC119" s="811"/>
      <c r="DD119" s="811"/>
      <c r="DE119" s="811"/>
      <c r="DF119" s="811"/>
      <c r="DG119" s="811"/>
      <c r="DH119" s="811"/>
      <c r="DI119" s="811"/>
      <c r="DJ119" s="811"/>
      <c r="DK119" s="811"/>
      <c r="DL119" s="811"/>
      <c r="DM119" s="811"/>
      <c r="DN119" s="811"/>
      <c r="DO119" s="811"/>
      <c r="DP119" s="811"/>
      <c r="DR119" s="811"/>
      <c r="DT119" s="811"/>
      <c r="DV119" s="811"/>
      <c r="DX119" s="811"/>
      <c r="DY119" s="811"/>
      <c r="DZ119" s="811"/>
      <c r="EA119" s="811"/>
      <c r="EB119" s="811"/>
      <c r="EC119" s="811"/>
      <c r="ED119" s="811"/>
      <c r="EE119" s="811"/>
      <c r="EF119" s="811"/>
      <c r="EH119" s="811"/>
      <c r="EJ119" s="811"/>
      <c r="EL119" s="811"/>
      <c r="EN119" s="811"/>
      <c r="EP119" s="811"/>
      <c r="EQ119" s="811"/>
      <c r="ER119" s="811"/>
      <c r="ES119" s="811"/>
      <c r="ET119" s="811"/>
      <c r="EU119" s="811"/>
      <c r="EV119" s="811"/>
      <c r="EW119" s="811"/>
      <c r="EX119" s="811"/>
      <c r="EY119" s="811"/>
      <c r="EZ119" s="811"/>
      <c r="FA119" s="811"/>
      <c r="FB119" s="811"/>
      <c r="FC119" s="811"/>
      <c r="FD119" s="811"/>
      <c r="FE119" s="811"/>
      <c r="FF119" s="811"/>
      <c r="FG119" s="811"/>
      <c r="FH119" s="811"/>
      <c r="FI119" s="811"/>
      <c r="FJ119" s="811"/>
      <c r="FK119" s="811"/>
      <c r="FL119" s="811"/>
      <c r="FM119" s="811"/>
      <c r="FN119" s="811"/>
      <c r="FO119" s="811"/>
      <c r="FP119" s="811"/>
      <c r="FQ119" s="811"/>
      <c r="FR119" s="811"/>
      <c r="FS119" s="811"/>
      <c r="FT119" s="811"/>
      <c r="FU119" s="811"/>
      <c r="FV119" s="811"/>
      <c r="FW119" s="811"/>
      <c r="FX119" s="811"/>
      <c r="FY119" s="811"/>
    </row>
    <row r="120" spans="1:199" ht="14.1" customHeight="1">
      <c r="A120" s="446"/>
      <c r="B120" s="582" t="s">
        <v>799</v>
      </c>
      <c r="C120" s="198">
        <v>51528273.780000001</v>
      </c>
      <c r="D120" s="410"/>
      <c r="E120" s="198">
        <v>50981659.520000003</v>
      </c>
      <c r="F120" s="410"/>
      <c r="G120" s="547">
        <v>50451510.840000004</v>
      </c>
      <c r="H120" s="410"/>
      <c r="I120" s="547">
        <v>49904896.579999998</v>
      </c>
      <c r="J120" s="410"/>
      <c r="K120" s="547">
        <v>105062098.42</v>
      </c>
      <c r="L120" s="410"/>
      <c r="M120" s="547">
        <v>104005051.11</v>
      </c>
      <c r="N120" s="410"/>
      <c r="O120" s="547">
        <v>102948003.8</v>
      </c>
      <c r="P120" s="410"/>
      <c r="Q120" s="547">
        <v>101923887.66</v>
      </c>
      <c r="R120" s="410"/>
      <c r="S120" s="547">
        <v>100866840.34999999</v>
      </c>
      <c r="T120" s="410"/>
      <c r="U120" s="547">
        <v>99842724.209999993</v>
      </c>
      <c r="V120" s="410"/>
      <c r="W120" s="547">
        <v>104746217.65000001</v>
      </c>
      <c r="X120" s="410"/>
      <c r="Y120" s="547">
        <v>103787963.84</v>
      </c>
      <c r="Z120" s="410"/>
      <c r="AA120" s="547">
        <v>102730916.53</v>
      </c>
      <c r="AB120" s="410"/>
      <c r="AC120" s="547">
        <v>101673869.22</v>
      </c>
      <c r="AD120" s="410"/>
      <c r="AE120" s="198">
        <v>100649753.08</v>
      </c>
      <c r="AF120" s="410"/>
      <c r="AG120" s="198">
        <v>99592705.769999996</v>
      </c>
      <c r="AH120" s="410"/>
      <c r="AI120" s="198">
        <v>104627923.88</v>
      </c>
      <c r="AJ120" s="410"/>
      <c r="AK120" s="198">
        <v>103570876.56999999</v>
      </c>
      <c r="AL120" s="410"/>
      <c r="AM120" s="198">
        <v>102513829.26000001</v>
      </c>
      <c r="AN120" s="410"/>
      <c r="AO120" s="198">
        <v>101489713.12</v>
      </c>
      <c r="AP120" s="410"/>
      <c r="AQ120" s="198">
        <v>100432665.81</v>
      </c>
      <c r="AR120" s="410"/>
      <c r="AS120" s="198">
        <v>99408549.670000002</v>
      </c>
      <c r="AT120" s="410"/>
      <c r="AU120" s="547">
        <v>104344974.28</v>
      </c>
      <c r="AV120" s="410"/>
      <c r="AW120" s="198">
        <v>103353789.3</v>
      </c>
      <c r="AX120" s="410"/>
      <c r="AY120" s="198">
        <v>102296741.98999999</v>
      </c>
      <c r="AZ120" s="410"/>
      <c r="BA120" s="198">
        <v>101239694.68000001</v>
      </c>
      <c r="BB120" s="410"/>
      <c r="BC120" s="198">
        <v>100215578.54000001</v>
      </c>
      <c r="BD120" s="410"/>
      <c r="BE120" s="198">
        <v>99158531.230000004</v>
      </c>
      <c r="BF120" s="410"/>
      <c r="BG120" s="198">
        <v>103897368.86</v>
      </c>
      <c r="BH120" s="410"/>
      <c r="BI120" s="198">
        <v>102840321.55</v>
      </c>
      <c r="BJ120" s="410"/>
      <c r="BK120" s="198">
        <v>101783274.23999999</v>
      </c>
      <c r="BL120" s="410"/>
      <c r="BM120" s="198">
        <v>100759158.09999999</v>
      </c>
      <c r="BN120" s="410"/>
      <c r="BO120" s="198">
        <v>99702110.790000007</v>
      </c>
      <c r="BP120" s="410"/>
      <c r="BQ120" s="198">
        <v>98677994.650000006</v>
      </c>
      <c r="BR120" s="410"/>
      <c r="BS120" s="547">
        <v>-25248.25</v>
      </c>
      <c r="BT120" s="410"/>
      <c r="BU120" s="198">
        <v>-25248.25</v>
      </c>
      <c r="BV120" s="410"/>
      <c r="BW120" s="198"/>
      <c r="BX120" s="410"/>
      <c r="BY120" s="198"/>
      <c r="BZ120" s="410"/>
      <c r="CA120" s="198"/>
      <c r="CB120" s="410"/>
      <c r="CC120" s="198"/>
      <c r="CD120" s="410"/>
      <c r="CE120" s="198"/>
      <c r="CF120" s="410"/>
      <c r="CG120" s="547"/>
      <c r="CH120" s="410"/>
      <c r="CI120" s="198"/>
      <c r="CJ120" s="410"/>
      <c r="CK120" s="198"/>
      <c r="CL120" s="410"/>
      <c r="CM120" s="198"/>
      <c r="CN120" s="410"/>
      <c r="CO120" s="198"/>
      <c r="CP120" s="410"/>
      <c r="CQ120" s="198"/>
      <c r="CR120" s="410"/>
      <c r="CS120" s="198"/>
      <c r="CT120" s="410"/>
      <c r="CU120" s="198"/>
      <c r="CV120" s="410"/>
      <c r="CW120" s="198"/>
      <c r="CX120" s="410"/>
      <c r="CY120" s="447"/>
      <c r="CZ120" s="410"/>
      <c r="DA120" s="447"/>
      <c r="DB120" s="410"/>
      <c r="DC120" s="447"/>
      <c r="DD120" s="410"/>
      <c r="DE120" s="447"/>
      <c r="DF120" s="410"/>
      <c r="DG120" s="447"/>
      <c r="DH120" s="410"/>
      <c r="DI120" s="447"/>
      <c r="DJ120" s="410"/>
      <c r="DK120" s="447"/>
      <c r="DL120" s="410"/>
      <c r="DM120" s="447"/>
      <c r="DN120" s="410"/>
      <c r="DO120" s="447"/>
      <c r="DP120" s="410"/>
      <c r="DQ120" s="198"/>
      <c r="DR120" s="410"/>
      <c r="DS120" s="198"/>
      <c r="DT120" s="410"/>
      <c r="DU120" s="198"/>
      <c r="DV120" s="410"/>
      <c r="DW120" s="198"/>
      <c r="DX120" s="410"/>
      <c r="DY120" s="447"/>
      <c r="DZ120" s="410"/>
      <c r="EA120" s="447"/>
      <c r="EB120" s="410"/>
      <c r="EC120" s="447"/>
      <c r="ED120" s="410"/>
      <c r="EE120" s="447"/>
      <c r="EF120" s="410"/>
      <c r="EG120" s="198"/>
      <c r="EH120" s="410"/>
      <c r="EI120" s="198"/>
      <c r="EJ120" s="410"/>
      <c r="EK120" s="198"/>
      <c r="EL120" s="410"/>
      <c r="EM120" s="198"/>
      <c r="EN120" s="410"/>
      <c r="EO120" s="198"/>
      <c r="EP120" s="410"/>
      <c r="EQ120" s="447"/>
      <c r="ER120" s="410"/>
      <c r="ES120" s="447"/>
      <c r="ET120" s="410"/>
      <c r="EU120" s="447"/>
      <c r="EV120" s="410"/>
      <c r="EW120" s="447"/>
      <c r="EX120" s="410"/>
      <c r="EY120" s="447"/>
      <c r="EZ120" s="410"/>
      <c r="FA120" s="447"/>
      <c r="FB120" s="410"/>
      <c r="FC120" s="447"/>
      <c r="FD120" s="410"/>
      <c r="FE120" s="447"/>
      <c r="FF120" s="410"/>
      <c r="FG120" s="447"/>
      <c r="FH120" s="410"/>
      <c r="FI120" s="447"/>
      <c r="FJ120" s="410"/>
      <c r="FK120" s="447"/>
      <c r="FL120" s="410"/>
      <c r="FM120" s="447"/>
      <c r="FN120" s="410"/>
      <c r="FO120" s="447"/>
      <c r="FP120" s="410"/>
      <c r="FQ120" s="447"/>
      <c r="FR120" s="410"/>
      <c r="FS120" s="447"/>
      <c r="FT120" s="410"/>
      <c r="FU120" s="447"/>
      <c r="FV120" s="410"/>
      <c r="FW120" s="447"/>
      <c r="FX120" s="410"/>
      <c r="FY120" s="447"/>
      <c r="FZ120" s="410"/>
      <c r="GA120" s="447"/>
      <c r="GB120" s="410"/>
      <c r="GC120" s="447"/>
      <c r="GD120" s="410"/>
      <c r="GE120" s="447"/>
      <c r="GF120" s="410"/>
      <c r="GG120" s="447"/>
      <c r="GH120" s="448"/>
      <c r="GI120" s="447"/>
      <c r="GJ120" s="447"/>
      <c r="GK120" s="449"/>
      <c r="GL120" s="410"/>
      <c r="GM120" s="449"/>
      <c r="GN120" s="448"/>
      <c r="GO120" s="449"/>
      <c r="GP120" s="447"/>
      <c r="GQ120" s="449"/>
    </row>
    <row r="121" spans="1:199" ht="14.1" customHeight="1">
      <c r="A121" s="1027"/>
      <c r="B121" s="582" t="s">
        <v>756</v>
      </c>
      <c r="C121" s="198">
        <v>112477230.38</v>
      </c>
      <c r="D121" s="410"/>
      <c r="E121" s="198">
        <v>111229725.95</v>
      </c>
      <c r="F121" s="410"/>
      <c r="G121" s="547">
        <v>130164008.79000001</v>
      </c>
      <c r="H121" s="410"/>
      <c r="I121" s="547">
        <v>128640142.98999999</v>
      </c>
      <c r="J121" s="410"/>
      <c r="K121" s="547">
        <v>127162207.23999999</v>
      </c>
      <c r="L121" s="410"/>
      <c r="M121" s="547">
        <v>146393252.81</v>
      </c>
      <c r="N121" s="410"/>
      <c r="O121" s="547">
        <v>144691408.05000001</v>
      </c>
      <c r="P121" s="410"/>
      <c r="Q121" s="547">
        <v>143041234.59999999</v>
      </c>
      <c r="R121" s="410"/>
      <c r="S121" s="547">
        <v>162457747.62</v>
      </c>
      <c r="T121" s="410"/>
      <c r="U121" s="547">
        <v>160635336.47</v>
      </c>
      <c r="V121" s="410"/>
      <c r="W121" s="547">
        <v>158755512.75999999</v>
      </c>
      <c r="X121" s="410"/>
      <c r="Y121" s="547">
        <v>178673512.11000001</v>
      </c>
      <c r="Z121" s="410"/>
      <c r="AA121" s="547">
        <v>176615709.44</v>
      </c>
      <c r="AB121" s="410"/>
      <c r="AC121" s="547">
        <v>174557906.77000001</v>
      </c>
      <c r="AD121" s="410"/>
      <c r="AE121" s="198">
        <v>178864507.38999999</v>
      </c>
      <c r="AF121" s="410"/>
      <c r="AG121" s="198">
        <v>176744214.93000001</v>
      </c>
      <c r="AH121" s="410"/>
      <c r="AI121" s="198">
        <v>174689248.90000001</v>
      </c>
      <c r="AJ121" s="410"/>
      <c r="AK121" s="198">
        <v>-20994.14</v>
      </c>
      <c r="AL121" s="410"/>
      <c r="AM121" s="198">
        <v>-20994.14</v>
      </c>
      <c r="AN121" s="410"/>
      <c r="AO121" s="198">
        <v>-20994.14</v>
      </c>
      <c r="AP121" s="410"/>
      <c r="AQ121" s="198">
        <v>-0.38</v>
      </c>
      <c r="AR121" s="198"/>
      <c r="AS121" s="198">
        <v>-0.38</v>
      </c>
      <c r="AT121" s="198"/>
      <c r="AU121" s="547">
        <v>-0.38</v>
      </c>
      <c r="AV121" s="198"/>
      <c r="AW121" s="198">
        <v>-0.38</v>
      </c>
      <c r="AX121" s="198"/>
      <c r="AY121" s="198">
        <v>-0.38</v>
      </c>
      <c r="AZ121" s="198"/>
      <c r="BA121" s="198">
        <v>-0.38</v>
      </c>
      <c r="BB121" s="410"/>
      <c r="BC121" s="198"/>
      <c r="BD121" s="410"/>
      <c r="BE121" s="198"/>
      <c r="BF121" s="410"/>
      <c r="BG121" s="198"/>
      <c r="BH121" s="410"/>
      <c r="BI121" s="198"/>
      <c r="BJ121" s="410"/>
      <c r="BK121" s="198"/>
      <c r="BL121" s="410"/>
      <c r="BM121" s="198"/>
      <c r="BN121" s="410"/>
      <c r="BO121" s="198"/>
      <c r="BP121" s="410"/>
      <c r="BQ121" s="198"/>
      <c r="BR121" s="410"/>
      <c r="BS121" s="547"/>
      <c r="BT121" s="410"/>
      <c r="BU121" s="198"/>
      <c r="BV121" s="410"/>
      <c r="BW121" s="198"/>
      <c r="BX121" s="410"/>
      <c r="BY121" s="198"/>
      <c r="BZ121" s="410"/>
      <c r="CA121" s="198"/>
      <c r="CB121" s="410"/>
      <c r="CC121" s="198"/>
      <c r="CD121" s="410"/>
      <c r="CE121" s="198"/>
      <c r="CF121" s="410"/>
      <c r="CG121" s="547"/>
      <c r="CH121" s="410"/>
      <c r="CI121" s="198"/>
      <c r="CJ121" s="410"/>
      <c r="CK121" s="198"/>
      <c r="CL121" s="410"/>
      <c r="CM121" s="198"/>
      <c r="CN121" s="410"/>
      <c r="CO121" s="198"/>
      <c r="CP121" s="410"/>
      <c r="CQ121" s="198"/>
      <c r="CR121" s="410"/>
      <c r="CS121" s="198"/>
      <c r="CT121" s="410"/>
      <c r="CU121" s="198"/>
      <c r="CV121" s="410"/>
      <c r="CW121" s="198"/>
      <c r="CX121" s="410"/>
      <c r="CY121" s="447"/>
      <c r="CZ121" s="410"/>
      <c r="DA121" s="447"/>
      <c r="DB121" s="410"/>
      <c r="DC121" s="447"/>
      <c r="DD121" s="410"/>
      <c r="DE121" s="447"/>
      <c r="DF121" s="410"/>
      <c r="DG121" s="447"/>
      <c r="DH121" s="410"/>
      <c r="DI121" s="447"/>
      <c r="DJ121" s="410"/>
      <c r="DK121" s="447"/>
      <c r="DL121" s="410"/>
      <c r="DM121" s="447"/>
      <c r="DN121" s="410"/>
      <c r="DO121" s="447"/>
      <c r="DP121" s="410"/>
      <c r="DQ121" s="198"/>
      <c r="DR121" s="410"/>
      <c r="DS121" s="198"/>
      <c r="DT121" s="410"/>
      <c r="DU121" s="198"/>
      <c r="DV121" s="410"/>
      <c r="DW121" s="198"/>
      <c r="DX121" s="410"/>
      <c r="DY121" s="447"/>
      <c r="DZ121" s="410"/>
      <c r="EA121" s="447"/>
      <c r="EB121" s="410"/>
      <c r="EC121" s="447"/>
      <c r="ED121" s="410"/>
      <c r="EE121" s="447"/>
      <c r="EF121" s="410"/>
      <c r="EG121" s="198"/>
      <c r="EH121" s="410"/>
      <c r="EI121" s="198"/>
      <c r="EJ121" s="410"/>
      <c r="EK121" s="198"/>
      <c r="EL121" s="410"/>
      <c r="EM121" s="198"/>
      <c r="EN121" s="410"/>
      <c r="EO121" s="198"/>
      <c r="EP121" s="410"/>
      <c r="EQ121" s="447"/>
      <c r="ER121" s="410"/>
      <c r="ES121" s="447"/>
      <c r="ET121" s="410"/>
      <c r="EU121" s="447"/>
      <c r="EV121" s="410"/>
      <c r="EW121" s="447"/>
      <c r="EX121" s="410"/>
      <c r="EY121" s="447"/>
      <c r="EZ121" s="410"/>
      <c r="FA121" s="447"/>
      <c r="FB121" s="410"/>
      <c r="FC121" s="447"/>
      <c r="FD121" s="410"/>
      <c r="FE121" s="447"/>
      <c r="FF121" s="410"/>
      <c r="FG121" s="447"/>
      <c r="FH121" s="410"/>
      <c r="FI121" s="447"/>
      <c r="FJ121" s="410"/>
      <c r="FK121" s="447"/>
      <c r="FL121" s="410"/>
      <c r="FM121" s="447"/>
      <c r="FN121" s="410"/>
      <c r="FO121" s="447"/>
      <c r="FP121" s="410"/>
      <c r="FQ121" s="447"/>
      <c r="FR121" s="410"/>
      <c r="FS121" s="447"/>
      <c r="FT121" s="410"/>
      <c r="FU121" s="447"/>
      <c r="FV121" s="410"/>
      <c r="FW121" s="447"/>
      <c r="FX121" s="410"/>
      <c r="FY121" s="447"/>
      <c r="FZ121" s="410"/>
      <c r="GA121" s="447"/>
      <c r="GB121" s="410"/>
      <c r="GC121" s="447"/>
      <c r="GD121" s="410"/>
      <c r="GE121" s="447"/>
      <c r="GF121" s="410"/>
      <c r="GG121" s="447"/>
      <c r="GH121" s="448"/>
      <c r="GI121" s="447"/>
      <c r="GJ121" s="447"/>
      <c r="GK121" s="449"/>
      <c r="GL121" s="410"/>
      <c r="GM121" s="449"/>
      <c r="GN121" s="448"/>
      <c r="GO121" s="449"/>
      <c r="GP121" s="447"/>
      <c r="GQ121" s="449"/>
    </row>
    <row r="122" spans="1:199" ht="13.8" customHeight="1">
      <c r="A122" s="446"/>
      <c r="B122" s="582" t="s">
        <v>757</v>
      </c>
      <c r="C122" s="198">
        <v>37818602.289999999</v>
      </c>
      <c r="D122" s="410"/>
      <c r="E122" s="198">
        <v>37360922.030000001</v>
      </c>
      <c r="F122" s="410"/>
      <c r="G122" s="547">
        <v>78880539.420000002</v>
      </c>
      <c r="H122" s="410"/>
      <c r="I122" s="547">
        <v>78011796.409999996</v>
      </c>
      <c r="J122" s="410"/>
      <c r="K122" s="547">
        <v>77169573.579999998</v>
      </c>
      <c r="L122" s="410"/>
      <c r="M122" s="547">
        <v>76300830.569999993</v>
      </c>
      <c r="N122" s="410"/>
      <c r="O122" s="547">
        <v>75432087.560000002</v>
      </c>
      <c r="P122" s="410"/>
      <c r="Q122" s="547">
        <v>74589864.730000004</v>
      </c>
      <c r="R122" s="410"/>
      <c r="S122" s="547">
        <v>118005674.83</v>
      </c>
      <c r="T122" s="410"/>
      <c r="U122" s="547">
        <v>116765649.33</v>
      </c>
      <c r="V122" s="410"/>
      <c r="W122" s="547">
        <v>115485843.56</v>
      </c>
      <c r="X122" s="410"/>
      <c r="Y122" s="547">
        <v>114325378.59</v>
      </c>
      <c r="Z122" s="410"/>
      <c r="AA122" s="547">
        <v>113045572.81999999</v>
      </c>
      <c r="AB122" s="410"/>
      <c r="AC122" s="547">
        <v>111765767.05</v>
      </c>
      <c r="AD122" s="410"/>
      <c r="AE122" s="198">
        <v>117885090.88</v>
      </c>
      <c r="AF122" s="410"/>
      <c r="AG122" s="198">
        <v>116605285.11</v>
      </c>
      <c r="AH122" s="410"/>
      <c r="AI122" s="198">
        <v>115365259.61</v>
      </c>
      <c r="AJ122" s="410"/>
      <c r="AK122" s="198">
        <v>114085453.84</v>
      </c>
      <c r="AL122" s="410"/>
      <c r="AM122" s="198">
        <v>112805648.06999999</v>
      </c>
      <c r="AN122" s="410"/>
      <c r="AO122" s="198">
        <v>111565622.56999999</v>
      </c>
      <c r="AP122" s="410"/>
      <c r="AQ122" s="198">
        <v>-0.38</v>
      </c>
      <c r="AR122" s="198"/>
      <c r="AS122" s="198">
        <v>-0.38</v>
      </c>
      <c r="AT122" s="198"/>
      <c r="AU122" s="547">
        <v>-0.38</v>
      </c>
      <c r="AV122" s="198"/>
      <c r="AW122" s="198">
        <v>-0.38</v>
      </c>
      <c r="AX122" s="198"/>
      <c r="AY122" s="198">
        <v>-0.38</v>
      </c>
      <c r="AZ122" s="198"/>
      <c r="BA122" s="198">
        <v>-0.38</v>
      </c>
      <c r="BB122" s="410"/>
      <c r="BC122" s="198"/>
      <c r="BD122" s="410"/>
      <c r="BE122" s="198"/>
      <c r="BF122" s="410"/>
      <c r="BG122" s="198"/>
      <c r="BH122" s="410"/>
      <c r="BI122" s="198"/>
      <c r="BJ122" s="410"/>
      <c r="BK122" s="198"/>
      <c r="BL122" s="410"/>
      <c r="BM122" s="198"/>
      <c r="BN122" s="410"/>
      <c r="BO122" s="198"/>
      <c r="BP122" s="410"/>
      <c r="BQ122" s="198"/>
      <c r="BR122" s="410"/>
      <c r="BS122" s="547"/>
      <c r="BT122" s="410"/>
      <c r="BU122" s="198"/>
      <c r="BV122" s="410"/>
      <c r="BW122" s="198"/>
      <c r="BX122" s="410"/>
      <c r="BY122" s="198"/>
      <c r="BZ122" s="410"/>
      <c r="CA122" s="198"/>
      <c r="CB122" s="410"/>
      <c r="CC122" s="198"/>
      <c r="CD122" s="410"/>
      <c r="CE122" s="198"/>
      <c r="CF122" s="410"/>
      <c r="CG122" s="547"/>
      <c r="CH122" s="410"/>
      <c r="CI122" s="198"/>
      <c r="CJ122" s="410"/>
      <c r="CK122" s="198"/>
      <c r="CL122" s="410"/>
      <c r="CM122" s="198"/>
      <c r="CN122" s="410"/>
      <c r="CO122" s="198"/>
      <c r="CP122" s="410"/>
      <c r="CQ122" s="198"/>
      <c r="CR122" s="410"/>
      <c r="CS122" s="198"/>
      <c r="CT122" s="410"/>
      <c r="CU122" s="198"/>
      <c r="CV122" s="410"/>
      <c r="CW122" s="198"/>
      <c r="CX122" s="410"/>
      <c r="CY122" s="447"/>
      <c r="CZ122" s="410"/>
      <c r="DA122" s="447"/>
      <c r="DB122" s="410"/>
      <c r="DC122" s="447"/>
      <c r="DD122" s="410"/>
      <c r="DE122" s="447"/>
      <c r="DF122" s="410"/>
      <c r="DG122" s="447"/>
      <c r="DH122" s="410"/>
      <c r="DI122" s="447"/>
      <c r="DJ122" s="410"/>
      <c r="DK122" s="447"/>
      <c r="DL122" s="410"/>
      <c r="DM122" s="447"/>
      <c r="DN122" s="410"/>
      <c r="DO122" s="447"/>
      <c r="DP122" s="410"/>
      <c r="DQ122" s="198"/>
      <c r="DR122" s="410"/>
      <c r="DS122" s="198"/>
      <c r="DT122" s="410"/>
      <c r="DU122" s="198"/>
      <c r="DV122" s="410"/>
      <c r="DW122" s="198"/>
      <c r="DX122" s="410"/>
      <c r="DY122" s="447"/>
      <c r="DZ122" s="410"/>
      <c r="EA122" s="447"/>
      <c r="EB122" s="410"/>
      <c r="EC122" s="447"/>
      <c r="ED122" s="410"/>
      <c r="EE122" s="447"/>
      <c r="EF122" s="410"/>
      <c r="EG122" s="198"/>
      <c r="EH122" s="410"/>
      <c r="EI122" s="198"/>
      <c r="EJ122" s="410"/>
      <c r="EK122" s="198"/>
      <c r="EL122" s="410"/>
      <c r="EM122" s="198"/>
      <c r="EN122" s="410"/>
      <c r="EO122" s="198"/>
      <c r="EP122" s="410"/>
      <c r="EQ122" s="447"/>
      <c r="ER122" s="410"/>
      <c r="ES122" s="447"/>
      <c r="ET122" s="410"/>
      <c r="EU122" s="447"/>
      <c r="EV122" s="410"/>
      <c r="EW122" s="447"/>
      <c r="EX122" s="410"/>
      <c r="EY122" s="447"/>
      <c r="EZ122" s="410"/>
      <c r="FA122" s="447"/>
      <c r="FB122" s="410"/>
      <c r="FC122" s="447"/>
      <c r="FD122" s="410"/>
      <c r="FE122" s="447"/>
      <c r="FF122" s="410"/>
      <c r="FG122" s="447"/>
      <c r="FH122" s="410"/>
      <c r="FI122" s="447"/>
      <c r="FJ122" s="410"/>
      <c r="FK122" s="447"/>
      <c r="FL122" s="410"/>
      <c r="FM122" s="447"/>
      <c r="FN122" s="410"/>
      <c r="FO122" s="447"/>
      <c r="FP122" s="410"/>
      <c r="FQ122" s="447"/>
      <c r="FR122" s="410"/>
      <c r="FS122" s="447"/>
      <c r="FT122" s="410"/>
      <c r="FU122" s="447"/>
      <c r="FV122" s="410"/>
      <c r="FW122" s="447"/>
      <c r="FX122" s="410"/>
      <c r="FY122" s="447"/>
      <c r="FZ122" s="410"/>
      <c r="GA122" s="447"/>
      <c r="GB122" s="410"/>
      <c r="GC122" s="447"/>
      <c r="GD122" s="410"/>
      <c r="GE122" s="447"/>
      <c r="GF122" s="410"/>
      <c r="GG122" s="447"/>
      <c r="GH122" s="448"/>
      <c r="GI122" s="447"/>
      <c r="GJ122" s="447"/>
      <c r="GK122" s="449"/>
      <c r="GL122" s="410"/>
      <c r="GM122" s="449"/>
      <c r="GN122" s="448"/>
      <c r="GO122" s="449"/>
      <c r="GP122" s="447"/>
      <c r="GQ122" s="449"/>
    </row>
    <row r="123" spans="1:199" ht="13.8" customHeight="1">
      <c r="A123" s="446"/>
      <c r="B123" s="582" t="s">
        <v>852</v>
      </c>
      <c r="C123" s="198">
        <v>91539538.269999996</v>
      </c>
      <c r="D123" s="410"/>
      <c r="E123" s="198">
        <v>93295518.700000003</v>
      </c>
      <c r="F123" s="410"/>
      <c r="G123" s="547">
        <v>92359553.930000007</v>
      </c>
      <c r="H123" s="410"/>
      <c r="I123" s="547">
        <v>91393342.579999998</v>
      </c>
      <c r="J123" s="410"/>
      <c r="K123" s="547">
        <v>-22180.41</v>
      </c>
      <c r="L123" s="410"/>
      <c r="M123" s="547"/>
      <c r="N123" s="410"/>
      <c r="O123" s="547"/>
      <c r="P123" s="410"/>
      <c r="Q123" s="547"/>
      <c r="R123" s="410"/>
      <c r="S123" s="547"/>
      <c r="T123" s="410"/>
      <c r="U123" s="547"/>
      <c r="V123" s="410"/>
      <c r="W123" s="547"/>
      <c r="X123" s="410"/>
      <c r="Y123" s="547"/>
      <c r="Z123" s="410"/>
      <c r="AA123" s="547"/>
      <c r="AB123" s="410"/>
      <c r="AC123" s="547"/>
      <c r="AD123" s="410"/>
      <c r="AE123" s="198"/>
      <c r="AF123" s="410"/>
      <c r="AG123" s="198"/>
      <c r="AH123" s="410"/>
      <c r="AI123" s="198"/>
      <c r="AJ123" s="410"/>
      <c r="AK123" s="198"/>
      <c r="AL123" s="410"/>
      <c r="AM123" s="198"/>
      <c r="AN123" s="410"/>
      <c r="AO123" s="198"/>
      <c r="AP123" s="410"/>
      <c r="AQ123" s="198"/>
      <c r="AR123" s="198"/>
      <c r="AS123" s="198"/>
      <c r="AT123" s="198"/>
      <c r="AU123" s="547"/>
      <c r="AV123" s="198"/>
      <c r="AW123" s="198"/>
      <c r="AX123" s="198"/>
      <c r="AY123" s="198"/>
      <c r="AZ123" s="198"/>
      <c r="BA123" s="198"/>
      <c r="BB123" s="410"/>
      <c r="BC123" s="198"/>
      <c r="BD123" s="410"/>
      <c r="BE123" s="198"/>
      <c r="BF123" s="410"/>
      <c r="BG123" s="198"/>
      <c r="BH123" s="410"/>
      <c r="BI123" s="198"/>
      <c r="BJ123" s="410"/>
      <c r="BK123" s="198"/>
      <c r="BL123" s="410"/>
      <c r="BM123" s="198"/>
      <c r="BN123" s="410"/>
      <c r="BO123" s="198"/>
      <c r="BP123" s="410"/>
      <c r="BQ123" s="198"/>
      <c r="BR123" s="410"/>
      <c r="BS123" s="547"/>
      <c r="BT123" s="410"/>
      <c r="BU123" s="198"/>
      <c r="BV123" s="410"/>
      <c r="BW123" s="198"/>
      <c r="BX123" s="410"/>
      <c r="BY123" s="198"/>
      <c r="BZ123" s="410"/>
      <c r="CA123" s="198"/>
      <c r="CB123" s="410"/>
      <c r="CC123" s="198"/>
      <c r="CD123" s="410"/>
      <c r="CE123" s="198"/>
      <c r="CF123" s="410"/>
      <c r="CG123" s="547"/>
      <c r="CH123" s="410"/>
      <c r="CI123" s="198"/>
      <c r="CJ123" s="410"/>
      <c r="CK123" s="198"/>
      <c r="CL123" s="410"/>
      <c r="CM123" s="198"/>
      <c r="CN123" s="410"/>
      <c r="CO123" s="198"/>
      <c r="CP123" s="410"/>
      <c r="CQ123" s="198"/>
      <c r="CR123" s="410"/>
      <c r="CS123" s="198"/>
      <c r="CT123" s="410"/>
      <c r="CU123" s="198"/>
      <c r="CV123" s="410"/>
      <c r="CW123" s="198"/>
      <c r="CX123" s="410"/>
      <c r="CY123" s="447"/>
      <c r="CZ123" s="410"/>
      <c r="DA123" s="447"/>
      <c r="DB123" s="410"/>
      <c r="DC123" s="447"/>
      <c r="DD123" s="410"/>
      <c r="DE123" s="447"/>
      <c r="DF123" s="410"/>
      <c r="DG123" s="447"/>
      <c r="DH123" s="410"/>
      <c r="DI123" s="447"/>
      <c r="DJ123" s="410"/>
      <c r="DK123" s="447"/>
      <c r="DL123" s="410"/>
      <c r="DM123" s="447"/>
      <c r="DN123" s="410"/>
      <c r="DO123" s="447"/>
      <c r="DP123" s="410"/>
      <c r="DQ123" s="198"/>
      <c r="DR123" s="410"/>
      <c r="DS123" s="198"/>
      <c r="DT123" s="410"/>
      <c r="DU123" s="198"/>
      <c r="DV123" s="410"/>
      <c r="DW123" s="198"/>
      <c r="DX123" s="410"/>
      <c r="DY123" s="447"/>
      <c r="DZ123" s="410"/>
      <c r="EA123" s="447"/>
      <c r="EB123" s="410"/>
      <c r="EC123" s="447"/>
      <c r="ED123" s="410"/>
      <c r="EE123" s="447"/>
      <c r="EF123" s="410"/>
      <c r="EG123" s="198"/>
      <c r="EH123" s="410"/>
      <c r="EI123" s="198"/>
      <c r="EJ123" s="410"/>
      <c r="EK123" s="198"/>
      <c r="EL123" s="410"/>
      <c r="EM123" s="198"/>
      <c r="EN123" s="410"/>
      <c r="EO123" s="198"/>
      <c r="EP123" s="410"/>
      <c r="EQ123" s="447"/>
      <c r="ER123" s="410"/>
      <c r="ES123" s="447"/>
      <c r="ET123" s="410"/>
      <c r="EU123" s="447"/>
      <c r="EV123" s="410"/>
      <c r="EW123" s="447"/>
      <c r="EX123" s="410"/>
      <c r="EY123" s="447"/>
      <c r="EZ123" s="410"/>
      <c r="FA123" s="447"/>
      <c r="FB123" s="410"/>
      <c r="FC123" s="447"/>
      <c r="FD123" s="410"/>
      <c r="FE123" s="447"/>
      <c r="FF123" s="410"/>
      <c r="FG123" s="447"/>
      <c r="FH123" s="410"/>
      <c r="FI123" s="447"/>
      <c r="FJ123" s="410"/>
      <c r="FK123" s="447"/>
      <c r="FL123" s="410"/>
      <c r="FM123" s="447"/>
      <c r="FN123" s="410"/>
      <c r="FO123" s="447"/>
      <c r="FP123" s="410"/>
      <c r="FQ123" s="447"/>
      <c r="FR123" s="410"/>
      <c r="FS123" s="447"/>
      <c r="FT123" s="410"/>
      <c r="FU123" s="447"/>
      <c r="FV123" s="410"/>
      <c r="FW123" s="447"/>
      <c r="FX123" s="410"/>
      <c r="FY123" s="447"/>
      <c r="FZ123" s="410"/>
      <c r="GA123" s="447"/>
      <c r="GB123" s="410"/>
      <c r="GC123" s="447"/>
      <c r="GD123" s="410"/>
      <c r="GE123" s="447"/>
      <c r="GF123" s="410"/>
      <c r="GG123" s="447"/>
      <c r="GH123" s="448"/>
      <c r="GI123" s="447"/>
      <c r="GJ123" s="447"/>
      <c r="GK123" s="449"/>
      <c r="GL123" s="410"/>
      <c r="GM123" s="449"/>
      <c r="GN123" s="448"/>
      <c r="GO123" s="449"/>
      <c r="GP123" s="447"/>
      <c r="GQ123" s="449"/>
    </row>
    <row r="124" spans="1:199" ht="14.25" customHeight="1">
      <c r="A124" s="446"/>
      <c r="B124" s="582" t="s">
        <v>697</v>
      </c>
      <c r="C124" s="198">
        <v>37561580.140000001</v>
      </c>
      <c r="D124" s="410"/>
      <c r="E124" s="198">
        <v>78417111.75</v>
      </c>
      <c r="F124" s="410"/>
      <c r="G124" s="547">
        <v>77592496.700000003</v>
      </c>
      <c r="H124" s="410"/>
      <c r="I124" s="547">
        <v>76741396.099999994</v>
      </c>
      <c r="J124" s="410"/>
      <c r="K124" s="547">
        <v>75916781.049999997</v>
      </c>
      <c r="L124" s="410"/>
      <c r="M124" s="547">
        <v>75065680.450000003</v>
      </c>
      <c r="N124" s="410"/>
      <c r="O124" s="547">
        <v>74214579.849999994</v>
      </c>
      <c r="P124" s="410"/>
      <c r="Q124" s="547">
        <v>78210334.290000007</v>
      </c>
      <c r="R124" s="410"/>
      <c r="S124" s="547">
        <v>77359233.689999998</v>
      </c>
      <c r="T124" s="410"/>
      <c r="U124" s="547">
        <v>76534618.640000001</v>
      </c>
      <c r="V124" s="410"/>
      <c r="W124" s="547">
        <v>75683518.040000007</v>
      </c>
      <c r="X124" s="410"/>
      <c r="Y124" s="547">
        <v>74911874.079999998</v>
      </c>
      <c r="Z124" s="410"/>
      <c r="AA124" s="547">
        <v>74060773.480000004</v>
      </c>
      <c r="AB124" s="410"/>
      <c r="AC124" s="547">
        <v>116872282.48</v>
      </c>
      <c r="AD124" s="410"/>
      <c r="AE124" s="198">
        <v>115656313.83</v>
      </c>
      <c r="AF124" s="410"/>
      <c r="AG124" s="198">
        <v>114400814.51000001</v>
      </c>
      <c r="AH124" s="410"/>
      <c r="AI124" s="198">
        <v>113184845.86</v>
      </c>
      <c r="AJ124" s="410"/>
      <c r="AK124" s="198">
        <v>111929346.54000001</v>
      </c>
      <c r="AL124" s="410"/>
      <c r="AM124" s="198">
        <v>110673847.22</v>
      </c>
      <c r="AN124" s="410"/>
      <c r="AO124" s="198">
        <v>116731521.23999999</v>
      </c>
      <c r="AP124" s="410"/>
      <c r="AQ124" s="198">
        <v>115476021.92</v>
      </c>
      <c r="AR124" s="410"/>
      <c r="AS124" s="198">
        <v>114260053.27</v>
      </c>
      <c r="AT124" s="410"/>
      <c r="AU124" s="547">
        <v>113004553.95</v>
      </c>
      <c r="AV124" s="410"/>
      <c r="AW124" s="198">
        <v>111828115.97</v>
      </c>
      <c r="AX124" s="410"/>
      <c r="AY124" s="198">
        <v>110572616.65000001</v>
      </c>
      <c r="AZ124" s="410"/>
      <c r="BA124" s="725">
        <v>0</v>
      </c>
      <c r="BB124" s="410"/>
      <c r="BC124" s="725">
        <v>0</v>
      </c>
      <c r="BD124" s="410"/>
      <c r="BE124" s="725">
        <v>0</v>
      </c>
      <c r="BF124" s="410"/>
      <c r="BG124" s="725">
        <v>0</v>
      </c>
      <c r="BH124" s="410"/>
      <c r="BI124" s="725">
        <v>0</v>
      </c>
      <c r="BJ124" s="410"/>
      <c r="BK124" s="725">
        <v>0</v>
      </c>
      <c r="BL124" s="410"/>
      <c r="BM124" s="725">
        <v>0</v>
      </c>
      <c r="BN124" s="410"/>
      <c r="BO124" s="725">
        <v>0</v>
      </c>
      <c r="BP124" s="410"/>
      <c r="BQ124" s="725">
        <v>0</v>
      </c>
      <c r="BR124" s="410"/>
      <c r="BS124" s="547"/>
      <c r="BT124" s="410"/>
      <c r="BU124" s="198"/>
      <c r="BV124" s="410"/>
      <c r="BW124" s="198"/>
      <c r="BX124" s="410"/>
      <c r="BY124" s="198"/>
      <c r="BZ124" s="410"/>
      <c r="CA124" s="198"/>
      <c r="CB124" s="410"/>
      <c r="CC124" s="198"/>
      <c r="CD124" s="410"/>
      <c r="CE124" s="198"/>
      <c r="CF124" s="410"/>
      <c r="CG124" s="547"/>
      <c r="CH124" s="410"/>
      <c r="CI124" s="198"/>
      <c r="CJ124" s="410"/>
      <c r="CK124" s="198"/>
      <c r="CL124" s="410"/>
      <c r="CM124" s="198"/>
      <c r="CN124" s="410"/>
      <c r="CO124" s="198"/>
      <c r="CP124" s="410"/>
      <c r="CQ124" s="198"/>
      <c r="CR124" s="410"/>
      <c r="CS124" s="198"/>
      <c r="CT124" s="410"/>
      <c r="CU124" s="198"/>
      <c r="CV124" s="410"/>
      <c r="CW124" s="198"/>
      <c r="CX124" s="410"/>
      <c r="CY124" s="447"/>
      <c r="CZ124" s="410"/>
      <c r="DA124" s="447"/>
      <c r="DB124" s="410"/>
      <c r="DC124" s="447"/>
      <c r="DD124" s="410"/>
      <c r="DE124" s="447"/>
      <c r="DF124" s="410"/>
      <c r="DG124" s="447"/>
      <c r="DH124" s="410"/>
      <c r="DI124" s="447"/>
      <c r="DJ124" s="410"/>
      <c r="DK124" s="447"/>
      <c r="DL124" s="410"/>
      <c r="DM124" s="447"/>
      <c r="DN124" s="410"/>
      <c r="DO124" s="447"/>
      <c r="DP124" s="410"/>
      <c r="DQ124" s="198"/>
      <c r="DR124" s="410"/>
      <c r="DS124" s="198"/>
      <c r="DT124" s="410"/>
      <c r="DU124" s="198"/>
      <c r="DV124" s="410"/>
      <c r="DW124" s="198"/>
      <c r="DX124" s="410"/>
      <c r="DY124" s="447"/>
      <c r="DZ124" s="410"/>
      <c r="EA124" s="447"/>
      <c r="EB124" s="410"/>
      <c r="EC124" s="447"/>
      <c r="ED124" s="410"/>
      <c r="EE124" s="447"/>
      <c r="EF124" s="410"/>
      <c r="EG124" s="198"/>
      <c r="EH124" s="410"/>
      <c r="EI124" s="198"/>
      <c r="EJ124" s="410"/>
      <c r="EK124" s="198"/>
      <c r="EL124" s="410"/>
      <c r="EM124" s="198"/>
      <c r="EN124" s="410"/>
      <c r="EO124" s="198"/>
      <c r="EP124" s="410"/>
      <c r="EQ124" s="447"/>
      <c r="ER124" s="410"/>
      <c r="ES124" s="447"/>
      <c r="ET124" s="410"/>
      <c r="EU124" s="447"/>
      <c r="EV124" s="410"/>
      <c r="EW124" s="447"/>
      <c r="EX124" s="410"/>
      <c r="EY124" s="447"/>
      <c r="EZ124" s="410"/>
      <c r="FA124" s="447"/>
      <c r="FB124" s="410"/>
      <c r="FC124" s="447"/>
      <c r="FD124" s="410"/>
      <c r="FE124" s="447"/>
      <c r="FF124" s="410"/>
      <c r="FG124" s="447"/>
      <c r="FH124" s="410"/>
      <c r="FI124" s="447"/>
      <c r="FJ124" s="410"/>
      <c r="FK124" s="447"/>
      <c r="FL124" s="410"/>
      <c r="FM124" s="447"/>
      <c r="FN124" s="410"/>
      <c r="FO124" s="447"/>
      <c r="FP124" s="410"/>
      <c r="FQ124" s="447"/>
      <c r="FR124" s="410"/>
      <c r="FS124" s="447"/>
      <c r="FT124" s="410"/>
      <c r="FU124" s="447"/>
      <c r="FV124" s="410"/>
      <c r="FW124" s="447"/>
      <c r="FX124" s="410"/>
      <c r="FY124" s="447"/>
      <c r="FZ124" s="410"/>
      <c r="GA124" s="447"/>
      <c r="GB124" s="410"/>
      <c r="GC124" s="447"/>
      <c r="GD124" s="410"/>
      <c r="GE124" s="447"/>
      <c r="GF124" s="410"/>
      <c r="GG124" s="447"/>
      <c r="GH124" s="448"/>
      <c r="GI124" s="447"/>
      <c r="GJ124" s="447"/>
      <c r="GK124" s="449"/>
      <c r="GL124" s="410"/>
      <c r="GM124" s="449"/>
      <c r="GN124" s="448"/>
      <c r="GO124" s="449"/>
      <c r="GP124" s="447"/>
      <c r="GQ124" s="449"/>
    </row>
    <row r="125" spans="1:199" ht="14.25" customHeight="1">
      <c r="A125" s="446"/>
      <c r="B125" s="410" t="s">
        <v>698</v>
      </c>
      <c r="C125" s="198">
        <v>39440634.899999999</v>
      </c>
      <c r="D125" s="410"/>
      <c r="E125" s="198">
        <v>38965559.5</v>
      </c>
      <c r="F125" s="410"/>
      <c r="G125" s="547">
        <v>38504540.880000003</v>
      </c>
      <c r="H125" s="410"/>
      <c r="I125" s="547">
        <v>38029465.479999997</v>
      </c>
      <c r="J125" s="410"/>
      <c r="K125" s="547">
        <v>40126780.420000002</v>
      </c>
      <c r="L125" s="410"/>
      <c r="M125" s="547">
        <v>39651705.020000003</v>
      </c>
      <c r="N125" s="410"/>
      <c r="O125" s="547">
        <v>39176629.619999997</v>
      </c>
      <c r="P125" s="410"/>
      <c r="Q125" s="547">
        <v>38715611</v>
      </c>
      <c r="R125" s="447"/>
      <c r="S125" s="547">
        <v>38240535.600000001</v>
      </c>
      <c r="T125" s="410"/>
      <c r="U125" s="547">
        <v>37779516.979999997</v>
      </c>
      <c r="V125" s="410"/>
      <c r="W125" s="547">
        <v>80472540.909999996</v>
      </c>
      <c r="X125" s="410"/>
      <c r="Y125" s="547">
        <v>79646046.060000002</v>
      </c>
      <c r="Z125" s="410"/>
      <c r="AA125" s="547">
        <v>78735210.549999997</v>
      </c>
      <c r="AB125" s="410"/>
      <c r="AC125" s="547">
        <v>77824375.040000007</v>
      </c>
      <c r="AD125" s="410"/>
      <c r="AE125" s="198">
        <v>76941653.079999998</v>
      </c>
      <c r="AF125" s="410"/>
      <c r="AG125" s="198">
        <v>76030817.569999993</v>
      </c>
      <c r="AH125" s="410"/>
      <c r="AI125" s="198">
        <v>80349103.390000001</v>
      </c>
      <c r="AJ125" s="410"/>
      <c r="AK125" s="198">
        <v>79438267.879999995</v>
      </c>
      <c r="AL125" s="410"/>
      <c r="AM125" s="198">
        <v>78527432.370000005</v>
      </c>
      <c r="AN125" s="410"/>
      <c r="AO125" s="198">
        <v>77644710.409999996</v>
      </c>
      <c r="AP125" s="410"/>
      <c r="AQ125" s="198">
        <v>76733874.900000006</v>
      </c>
      <c r="AR125" s="410"/>
      <c r="AS125" s="198">
        <v>75851152.939999998</v>
      </c>
      <c r="AT125" s="410"/>
      <c r="AU125" s="547">
        <v>77386196.760000005</v>
      </c>
      <c r="AV125" s="410"/>
      <c r="AW125" s="198">
        <v>76531588.359999999</v>
      </c>
      <c r="AX125" s="410"/>
      <c r="AY125" s="198">
        <v>75620752.849999994</v>
      </c>
      <c r="AZ125" s="410"/>
      <c r="BA125" s="725">
        <v>0</v>
      </c>
      <c r="BB125" s="410"/>
      <c r="BC125" s="725">
        <v>0</v>
      </c>
      <c r="BD125" s="410"/>
      <c r="BE125" s="725">
        <v>0</v>
      </c>
      <c r="BF125" s="410"/>
      <c r="BG125" s="725">
        <v>0</v>
      </c>
      <c r="BH125" s="410"/>
      <c r="BI125" s="725">
        <v>0</v>
      </c>
      <c r="BJ125" s="410"/>
      <c r="BK125" s="725">
        <v>0</v>
      </c>
      <c r="BL125" s="410"/>
      <c r="BM125" s="725">
        <v>0</v>
      </c>
      <c r="BN125" s="410"/>
      <c r="BO125" s="725">
        <v>0</v>
      </c>
      <c r="BP125" s="410"/>
      <c r="BQ125" s="725">
        <v>0</v>
      </c>
      <c r="BR125" s="410"/>
      <c r="BS125" s="547"/>
      <c r="BT125" s="410"/>
      <c r="BU125" s="198"/>
      <c r="BV125" s="410"/>
      <c r="BW125" s="198"/>
      <c r="BX125" s="410"/>
      <c r="BY125" s="198"/>
      <c r="BZ125" s="410"/>
      <c r="CA125" s="198"/>
      <c r="CB125" s="410"/>
      <c r="CC125" s="198"/>
      <c r="CD125" s="410"/>
      <c r="CE125" s="198"/>
      <c r="CF125" s="410"/>
      <c r="CG125" s="547"/>
      <c r="CH125" s="410"/>
      <c r="CI125" s="198"/>
      <c r="CJ125" s="410"/>
      <c r="CK125" s="198"/>
      <c r="CL125" s="410"/>
      <c r="CM125" s="198"/>
      <c r="CN125" s="410"/>
      <c r="CO125" s="198"/>
      <c r="CP125" s="410"/>
      <c r="CQ125" s="198"/>
      <c r="CR125" s="410"/>
      <c r="CS125" s="198"/>
      <c r="CT125" s="410"/>
      <c r="CU125" s="198"/>
      <c r="CV125" s="410"/>
      <c r="CW125" s="198"/>
      <c r="CX125" s="410"/>
      <c r="CY125" s="447"/>
      <c r="CZ125" s="410"/>
      <c r="DA125" s="447"/>
      <c r="DB125" s="410"/>
      <c r="DC125" s="447"/>
      <c r="DD125" s="410"/>
      <c r="DE125" s="447"/>
      <c r="DF125" s="410"/>
      <c r="DG125" s="447"/>
      <c r="DH125" s="410"/>
      <c r="DI125" s="447"/>
      <c r="DJ125" s="410"/>
      <c r="DK125" s="447"/>
      <c r="DL125" s="410"/>
      <c r="DM125" s="447"/>
      <c r="DN125" s="410"/>
      <c r="DO125" s="447"/>
      <c r="DP125" s="410"/>
      <c r="DQ125" s="198"/>
      <c r="DR125" s="410"/>
      <c r="DS125" s="198"/>
      <c r="DT125" s="410"/>
      <c r="DU125" s="198"/>
      <c r="DV125" s="410"/>
      <c r="DW125" s="198"/>
      <c r="DX125" s="410"/>
      <c r="DY125" s="447"/>
      <c r="DZ125" s="410"/>
      <c r="EA125" s="447"/>
      <c r="EB125" s="410"/>
      <c r="EC125" s="447"/>
      <c r="ED125" s="410"/>
      <c r="EE125" s="447"/>
      <c r="EF125" s="410"/>
      <c r="EG125" s="198"/>
      <c r="EH125" s="410"/>
      <c r="EI125" s="198"/>
      <c r="EJ125" s="410"/>
      <c r="EK125" s="198"/>
      <c r="EL125" s="410"/>
      <c r="EM125" s="198"/>
      <c r="EN125" s="410"/>
      <c r="EO125" s="198"/>
      <c r="EP125" s="410"/>
      <c r="EQ125" s="447"/>
      <c r="ER125" s="410"/>
      <c r="ES125" s="447"/>
      <c r="ET125" s="410"/>
      <c r="EU125" s="447"/>
      <c r="EV125" s="410"/>
      <c r="EW125" s="447"/>
      <c r="EX125" s="410"/>
      <c r="EY125" s="447"/>
      <c r="EZ125" s="410"/>
      <c r="FA125" s="447"/>
      <c r="FB125" s="410"/>
      <c r="FC125" s="447"/>
      <c r="FD125" s="410"/>
      <c r="FE125" s="447"/>
      <c r="FF125" s="410"/>
      <c r="FG125" s="447"/>
      <c r="FH125" s="410"/>
      <c r="FI125" s="447"/>
      <c r="FJ125" s="410"/>
      <c r="FK125" s="447"/>
      <c r="FL125" s="410"/>
      <c r="FM125" s="447"/>
      <c r="FN125" s="410"/>
      <c r="FO125" s="447"/>
      <c r="FP125" s="410"/>
      <c r="FQ125" s="447"/>
      <c r="FR125" s="410"/>
      <c r="FS125" s="447"/>
      <c r="FT125" s="410"/>
      <c r="FU125" s="447"/>
      <c r="FV125" s="410"/>
      <c r="FW125" s="447"/>
      <c r="FX125" s="410"/>
      <c r="FY125" s="447"/>
      <c r="FZ125" s="410"/>
      <c r="GA125" s="447"/>
      <c r="GB125" s="410"/>
      <c r="GC125" s="447"/>
      <c r="GD125" s="410"/>
      <c r="GE125" s="447"/>
      <c r="GF125" s="410"/>
      <c r="GG125" s="447"/>
      <c r="GH125" s="448"/>
      <c r="GI125" s="447"/>
      <c r="GJ125" s="447"/>
      <c r="GK125" s="449"/>
      <c r="GL125" s="410"/>
      <c r="GM125" s="449"/>
      <c r="GN125" s="448"/>
      <c r="GO125" s="449"/>
      <c r="GP125" s="447"/>
      <c r="GQ125" s="449"/>
    </row>
    <row r="126" spans="1:199" ht="14.25" customHeight="1" thickBot="1">
      <c r="A126" s="446"/>
      <c r="B126" s="410" t="s">
        <v>840</v>
      </c>
      <c r="C126" s="198">
        <v>257907175.87</v>
      </c>
      <c r="D126" s="410"/>
      <c r="E126" s="198">
        <v>265589439.19999999</v>
      </c>
      <c r="F126" s="410"/>
      <c r="G126" s="547">
        <v>266716662.63999999</v>
      </c>
      <c r="H126" s="410"/>
      <c r="I126" s="547">
        <v>265201987.62</v>
      </c>
      <c r="J126" s="410"/>
      <c r="K126" s="547">
        <v>271277876.19</v>
      </c>
      <c r="L126" s="410"/>
      <c r="M126" s="547">
        <v>274578526.00999999</v>
      </c>
      <c r="N126" s="410"/>
      <c r="O126" s="547">
        <v>269372187.11000001</v>
      </c>
      <c r="P126" s="410"/>
      <c r="Q126" s="547">
        <v>269833629.35000002</v>
      </c>
      <c r="R126" s="410"/>
      <c r="S126" s="547">
        <v>280534002</v>
      </c>
      <c r="T126" s="410"/>
      <c r="U126" s="547"/>
      <c r="V126" s="410"/>
      <c r="W126" s="547"/>
      <c r="X126" s="410"/>
      <c r="Y126" s="547"/>
      <c r="Z126" s="410"/>
      <c r="AA126" s="547"/>
      <c r="AB126" s="410"/>
      <c r="AC126" s="547"/>
      <c r="AD126" s="410"/>
      <c r="AE126" s="198"/>
      <c r="AF126" s="410"/>
      <c r="AG126" s="198"/>
      <c r="AH126" s="410"/>
      <c r="AI126" s="198"/>
      <c r="AJ126" s="410"/>
      <c r="AK126" s="198"/>
      <c r="AL126" s="410"/>
      <c r="AM126" s="198"/>
      <c r="AN126" s="410"/>
      <c r="AO126" s="198"/>
      <c r="AP126" s="410"/>
      <c r="AQ126" s="198"/>
      <c r="AR126" s="410"/>
      <c r="AS126" s="198"/>
      <c r="AT126" s="410"/>
      <c r="AU126" s="547"/>
      <c r="AV126" s="410"/>
      <c r="AW126" s="198"/>
      <c r="AX126" s="410"/>
      <c r="AY126" s="198"/>
      <c r="AZ126" s="410"/>
      <c r="BA126" s="725"/>
      <c r="BB126" s="410"/>
      <c r="BC126" s="725"/>
      <c r="BD126" s="410"/>
      <c r="BE126" s="725"/>
      <c r="BF126" s="410"/>
      <c r="BG126" s="725"/>
      <c r="BH126" s="410"/>
      <c r="BI126" s="725"/>
      <c r="BJ126" s="410"/>
      <c r="BK126" s="725"/>
      <c r="BL126" s="410"/>
      <c r="BM126" s="725"/>
      <c r="BN126" s="410"/>
      <c r="BO126" s="725"/>
      <c r="BP126" s="410"/>
      <c r="BQ126" s="725"/>
      <c r="BR126" s="410"/>
      <c r="BS126" s="547"/>
      <c r="BT126" s="410"/>
      <c r="BU126" s="198"/>
      <c r="BV126" s="410"/>
      <c r="BW126" s="198"/>
      <c r="BX126" s="410"/>
      <c r="BY126" s="198"/>
      <c r="BZ126" s="410"/>
      <c r="CA126" s="198"/>
      <c r="CB126" s="410"/>
      <c r="CC126" s="198"/>
      <c r="CD126" s="410"/>
      <c r="CE126" s="198"/>
      <c r="CF126" s="410"/>
      <c r="CG126" s="547"/>
      <c r="CH126" s="410"/>
      <c r="CI126" s="198"/>
      <c r="CJ126" s="410"/>
      <c r="CK126" s="198"/>
      <c r="CL126" s="410"/>
      <c r="CM126" s="198"/>
      <c r="CN126" s="410"/>
      <c r="CO126" s="198"/>
      <c r="CP126" s="410"/>
      <c r="CQ126" s="198"/>
      <c r="CR126" s="410"/>
      <c r="CS126" s="198"/>
      <c r="CT126" s="410"/>
      <c r="CU126" s="198"/>
      <c r="CV126" s="410"/>
      <c r="CW126" s="198"/>
      <c r="CX126" s="410"/>
      <c r="CY126" s="447"/>
      <c r="CZ126" s="410"/>
      <c r="DA126" s="447"/>
      <c r="DB126" s="410"/>
      <c r="DC126" s="447"/>
      <c r="DD126" s="410"/>
      <c r="DE126" s="447"/>
      <c r="DF126" s="410"/>
      <c r="DG126" s="447"/>
      <c r="DH126" s="410"/>
      <c r="DI126" s="447"/>
      <c r="DJ126" s="410"/>
      <c r="DK126" s="447"/>
      <c r="DL126" s="410"/>
      <c r="DM126" s="447"/>
      <c r="DN126" s="410"/>
      <c r="DO126" s="447"/>
      <c r="DP126" s="410"/>
      <c r="DQ126" s="198"/>
      <c r="DR126" s="410"/>
      <c r="DS126" s="198"/>
      <c r="DT126" s="410"/>
      <c r="DU126" s="198"/>
      <c r="DV126" s="410"/>
      <c r="DW126" s="198"/>
      <c r="DX126" s="410"/>
      <c r="DY126" s="447"/>
      <c r="DZ126" s="410"/>
      <c r="EA126" s="447"/>
      <c r="EB126" s="410"/>
      <c r="EC126" s="447"/>
      <c r="ED126" s="410"/>
      <c r="EE126" s="447"/>
      <c r="EF126" s="410"/>
      <c r="EG126" s="198"/>
      <c r="EH126" s="410"/>
      <c r="EI126" s="198"/>
      <c r="EJ126" s="410"/>
      <c r="EK126" s="198"/>
      <c r="EL126" s="410"/>
      <c r="EM126" s="198"/>
      <c r="EN126" s="410"/>
      <c r="EO126" s="198"/>
      <c r="EP126" s="410"/>
      <c r="EQ126" s="447"/>
      <c r="ER126" s="410"/>
      <c r="ES126" s="447"/>
      <c r="ET126" s="410"/>
      <c r="EU126" s="447"/>
      <c r="EV126" s="410"/>
      <c r="EW126" s="447"/>
      <c r="EX126" s="410"/>
      <c r="EY126" s="447"/>
      <c r="EZ126" s="410"/>
      <c r="FA126" s="447"/>
      <c r="FB126" s="410"/>
      <c r="FC126" s="447"/>
      <c r="FD126" s="410"/>
      <c r="FE126" s="447"/>
      <c r="FF126" s="410"/>
      <c r="FG126" s="447"/>
      <c r="FH126" s="410"/>
      <c r="FI126" s="447"/>
      <c r="FJ126" s="410"/>
      <c r="FK126" s="447"/>
      <c r="FL126" s="410"/>
      <c r="FM126" s="447"/>
      <c r="FN126" s="410"/>
      <c r="FO126" s="447"/>
      <c r="FP126" s="410"/>
      <c r="FQ126" s="447"/>
      <c r="FR126" s="410"/>
      <c r="FS126" s="447"/>
      <c r="FT126" s="410"/>
      <c r="FU126" s="447"/>
      <c r="FV126" s="410"/>
      <c r="FW126" s="447"/>
      <c r="FX126" s="410"/>
      <c r="FY126" s="447"/>
      <c r="FZ126" s="410"/>
      <c r="GA126" s="447"/>
      <c r="GB126" s="410"/>
      <c r="GC126" s="447"/>
      <c r="GD126" s="410"/>
      <c r="GE126" s="447"/>
      <c r="GF126" s="410"/>
      <c r="GG126" s="447"/>
      <c r="GH126" s="448"/>
      <c r="GI126" s="447"/>
      <c r="GJ126" s="447"/>
      <c r="GK126" s="449"/>
      <c r="GL126" s="410"/>
      <c r="GM126" s="449"/>
      <c r="GN126" s="448"/>
      <c r="GO126" s="449"/>
      <c r="GP126" s="447"/>
      <c r="GQ126" s="449"/>
    </row>
    <row r="127" spans="1:199" ht="14.25" customHeight="1" thickBot="1">
      <c r="A127" s="158"/>
      <c r="B127" s="157"/>
      <c r="C127" s="190">
        <f>SUM(C77:C126)</f>
        <v>1453516507.6200004</v>
      </c>
      <c r="D127" s="448"/>
      <c r="E127" s="190">
        <f>SUM(E77:E126)</f>
        <v>1385975560.7300003</v>
      </c>
      <c r="F127" s="448"/>
      <c r="G127" s="190">
        <f>SUM(G77:G126)</f>
        <v>1312258042.95</v>
      </c>
      <c r="H127" s="448"/>
      <c r="I127" s="190">
        <f>SUM(I77:I126)</f>
        <v>1315556003.1300001</v>
      </c>
      <c r="J127" s="448"/>
      <c r="K127" s="190">
        <f>SUM(K77:K126)</f>
        <v>1451037997.9600003</v>
      </c>
      <c r="L127" s="448"/>
      <c r="M127" s="190">
        <f>SUM(M77:M126)</f>
        <v>1488790267.6999998</v>
      </c>
      <c r="N127" s="448"/>
      <c r="O127" s="190">
        <v>1525445482.7199998</v>
      </c>
      <c r="P127" s="448"/>
      <c r="Q127" s="190">
        <v>1527243159.8899999</v>
      </c>
      <c r="R127" s="448"/>
      <c r="S127" s="190">
        <v>1588885000.3099999</v>
      </c>
      <c r="T127" s="410"/>
      <c r="U127" s="190">
        <f>SUM(U77:U126)</f>
        <v>1309023702.1800001</v>
      </c>
      <c r="V127" s="410"/>
      <c r="W127" s="987">
        <v>1520757320.6200001</v>
      </c>
      <c r="X127" s="410"/>
      <c r="Y127" s="190">
        <v>1529958415.1599996</v>
      </c>
      <c r="Z127" s="410"/>
      <c r="AA127" s="190">
        <v>1541028086.4299998</v>
      </c>
      <c r="AB127" s="410"/>
      <c r="AC127" s="190">
        <f>SUM(AC77:AC125)</f>
        <v>1586636770.05</v>
      </c>
      <c r="AD127" s="410"/>
      <c r="AE127" s="190">
        <f>SUM(AE77:AE125)</f>
        <v>1605792686.0799999</v>
      </c>
      <c r="AF127" s="410"/>
      <c r="AG127" s="190">
        <f>SUM(AG77:AG125)</f>
        <v>1492166276.8899999</v>
      </c>
      <c r="AH127" s="410"/>
      <c r="AI127" s="190">
        <v>1541001062.0699999</v>
      </c>
      <c r="AJ127" s="410"/>
      <c r="AK127" s="190">
        <v>1379554952.7199998</v>
      </c>
      <c r="AL127" s="410"/>
      <c r="AM127" s="190">
        <v>1387972321.8099999</v>
      </c>
      <c r="AN127" s="410"/>
      <c r="AO127" s="190">
        <v>1332765800.0699999</v>
      </c>
      <c r="AP127" s="410"/>
      <c r="AQ127" s="190">
        <v>1207674675.28</v>
      </c>
      <c r="AR127" s="410"/>
      <c r="AS127" s="190">
        <v>1128054978.1799998</v>
      </c>
      <c r="AT127" s="410"/>
      <c r="AU127" s="987">
        <v>1020565156.8200001</v>
      </c>
      <c r="AV127" s="410"/>
      <c r="AW127" s="190">
        <v>1014674679.61</v>
      </c>
      <c r="AX127" s="410"/>
      <c r="AY127" s="190">
        <v>1034568780.48</v>
      </c>
      <c r="AZ127" s="410"/>
      <c r="BA127" s="190">
        <v>863625628.53999996</v>
      </c>
      <c r="BB127" s="410"/>
      <c r="BC127" s="190">
        <v>854111277.80999994</v>
      </c>
      <c r="BD127" s="410"/>
      <c r="BE127" s="190">
        <v>756178492.36000001</v>
      </c>
      <c r="BF127" s="410"/>
      <c r="BG127" s="190">
        <v>605116187.63</v>
      </c>
      <c r="BH127" s="410"/>
      <c r="BI127" s="190">
        <v>582429427.04999995</v>
      </c>
      <c r="BJ127" s="410"/>
      <c r="BK127" s="190">
        <v>560835759.79999995</v>
      </c>
      <c r="BL127" s="410"/>
      <c r="BM127" s="190">
        <v>570799986.45999992</v>
      </c>
      <c r="BN127" s="410"/>
      <c r="BO127" s="190">
        <v>550462897.40999997</v>
      </c>
      <c r="BP127" s="410"/>
      <c r="BQ127" s="190">
        <f>SUM(BQ77:BQ120)</f>
        <v>585956170.07999992</v>
      </c>
      <c r="BR127" s="410"/>
      <c r="BS127" s="987">
        <v>487797589.54999995</v>
      </c>
      <c r="BT127" s="410"/>
      <c r="BU127" s="190">
        <f>SUM(BU77:BU120)</f>
        <v>535930260.44</v>
      </c>
      <c r="BV127" s="410"/>
      <c r="BW127" s="190">
        <v>607387836.22000003</v>
      </c>
      <c r="BX127" s="410"/>
      <c r="BY127" s="190">
        <v>605008908.97000003</v>
      </c>
      <c r="BZ127" s="410"/>
      <c r="CA127" s="190">
        <v>514989778.13000011</v>
      </c>
      <c r="CB127" s="410"/>
      <c r="CC127" s="190">
        <v>518295496.21999997</v>
      </c>
      <c r="CD127" s="410"/>
      <c r="CE127" s="190">
        <v>543471662.38999999</v>
      </c>
      <c r="CF127" s="410"/>
      <c r="CG127" s="190">
        <v>547796167.00999999</v>
      </c>
      <c r="CH127" s="410"/>
      <c r="CI127" s="190">
        <v>445078985.58999997</v>
      </c>
      <c r="CJ127" s="410"/>
      <c r="CK127" s="190">
        <v>441174273.06000006</v>
      </c>
      <c r="CL127" s="410"/>
      <c r="CM127" s="190">
        <f>SUM(CM77:CM112)</f>
        <v>436333368.67000002</v>
      </c>
      <c r="CN127" s="410"/>
      <c r="CO127" s="190">
        <f>SUM(CO77:CO112)</f>
        <v>437044560.55999994</v>
      </c>
      <c r="CP127" s="410"/>
      <c r="CQ127" s="190">
        <f>SUM(CQ77:CQ112)</f>
        <v>487952608.87</v>
      </c>
      <c r="CR127" s="410"/>
      <c r="CS127" s="190">
        <f>SUM(CS77:CS112)</f>
        <v>407409845.99000001</v>
      </c>
      <c r="CT127" s="157"/>
      <c r="CU127" s="171">
        <f>SUM(CU77:CU112)</f>
        <v>382884963.20999992</v>
      </c>
      <c r="CV127" s="157"/>
      <c r="CW127" s="171">
        <f>SUM(CW77:CW112)</f>
        <v>392620846.75999999</v>
      </c>
      <c r="CX127" s="157"/>
      <c r="CY127" s="171">
        <f>SUM(CY77:CY112)</f>
        <v>391093708.37</v>
      </c>
      <c r="CZ127" s="157"/>
      <c r="DA127" s="171">
        <f>SUM(DA77:DA112)</f>
        <v>307222059.13999999</v>
      </c>
      <c r="DB127" s="157"/>
      <c r="DC127" s="199">
        <f>SUM(DC77:DC112)</f>
        <v>307974985.10000002</v>
      </c>
      <c r="DD127" s="157"/>
      <c r="DE127" s="199">
        <f>SUM(DE77:DE112)</f>
        <v>272356246.74000001</v>
      </c>
      <c r="DF127" s="157"/>
      <c r="DG127" s="199">
        <f>SUM(DG77:DG112)</f>
        <v>236466894.59</v>
      </c>
      <c r="DH127" s="157"/>
      <c r="DI127" s="199">
        <f>SUM(DI77:DI112)</f>
        <v>201725499.50999999</v>
      </c>
      <c r="DJ127" s="157"/>
      <c r="DK127" s="199">
        <f>SUM(DK77:DK112)</f>
        <v>208733042.84999999</v>
      </c>
      <c r="DL127" s="157"/>
      <c r="DM127" s="199">
        <f>SUM(DM77:DM112)</f>
        <v>190822246.52000001</v>
      </c>
      <c r="DN127" s="157"/>
      <c r="DO127" s="199">
        <v>192407242.38999999</v>
      </c>
      <c r="DP127" s="157"/>
      <c r="DQ127" s="199">
        <v>161567101.30000001</v>
      </c>
      <c r="DR127" s="157"/>
      <c r="DS127" s="199">
        <v>159838579.11226669</v>
      </c>
      <c r="DT127" s="157"/>
      <c r="DU127" s="199">
        <v>173082628.31941897</v>
      </c>
      <c r="DV127" s="157"/>
      <c r="DW127" s="199">
        <v>195125178.13386258</v>
      </c>
      <c r="DX127" s="157"/>
      <c r="DY127" s="199">
        <v>210056108.91999999</v>
      </c>
      <c r="DZ127" s="157"/>
      <c r="EA127" s="199">
        <v>161739372.03402436</v>
      </c>
      <c r="EB127" s="157"/>
      <c r="EC127" s="199">
        <v>161942936.97000003</v>
      </c>
      <c r="ED127" s="157"/>
      <c r="EE127" s="199">
        <v>158632564.74000001</v>
      </c>
      <c r="EF127" s="157"/>
      <c r="EG127" s="199">
        <v>169702676.99714741</v>
      </c>
      <c r="EH127" s="157"/>
      <c r="EI127" s="199">
        <v>172130773.88999999</v>
      </c>
      <c r="EJ127" s="157"/>
      <c r="EK127" s="199">
        <v>172379996.78</v>
      </c>
      <c r="EL127" s="157"/>
      <c r="EM127" s="199">
        <v>168138962.69</v>
      </c>
      <c r="EN127" s="157"/>
      <c r="EO127" s="199">
        <v>164773432.38</v>
      </c>
      <c r="EP127" s="157"/>
      <c r="EQ127" s="199">
        <v>161933364.89700001</v>
      </c>
      <c r="ER127" s="157"/>
      <c r="ES127" s="199">
        <v>130380376.41</v>
      </c>
      <c r="ET127" s="157"/>
      <c r="EU127" s="199">
        <v>86971820.430000007</v>
      </c>
      <c r="EV127" s="157"/>
      <c r="EW127" s="199">
        <v>63505433.799999997</v>
      </c>
      <c r="EX127" s="157"/>
      <c r="EY127" s="199">
        <v>60822428.839999996</v>
      </c>
      <c r="EZ127" s="157"/>
      <c r="FA127" s="199">
        <v>65128175.040000007</v>
      </c>
      <c r="FB127" s="157"/>
      <c r="FC127" s="199">
        <v>70589619.030000001</v>
      </c>
      <c r="FD127" s="157"/>
      <c r="FE127" s="199">
        <v>67757874.300000012</v>
      </c>
      <c r="FF127" s="157"/>
      <c r="FG127" s="199">
        <v>66968018.049999997</v>
      </c>
      <c r="FH127" s="157"/>
      <c r="FI127" s="199">
        <v>66270813.219999999</v>
      </c>
      <c r="FJ127" s="157"/>
      <c r="FK127" s="199">
        <v>55927162.319999993</v>
      </c>
      <c r="FL127" s="157"/>
      <c r="FM127" s="199">
        <v>55979164.469999999</v>
      </c>
      <c r="FN127" s="157"/>
      <c r="FO127" s="199">
        <v>61166421.959999993</v>
      </c>
      <c r="FP127" s="157"/>
      <c r="FQ127" s="199">
        <v>45535808.630000003</v>
      </c>
      <c r="FR127" s="157"/>
      <c r="FS127" s="199">
        <v>47731184.810000002</v>
      </c>
      <c r="FT127" s="157"/>
      <c r="FU127" s="199">
        <v>26983977.719999999</v>
      </c>
      <c r="FV127" s="157"/>
      <c r="FW127" s="199">
        <v>22842703.059999999</v>
      </c>
      <c r="FX127" s="157"/>
      <c r="FY127" s="199">
        <v>19044603.600000001</v>
      </c>
      <c r="FZ127" s="157"/>
      <c r="GA127" s="199">
        <v>14399224.029999999</v>
      </c>
      <c r="GB127" s="157"/>
      <c r="GC127" s="199">
        <v>13844099.200000001</v>
      </c>
      <c r="GD127" s="157"/>
      <c r="GE127" s="199">
        <v>12636842.02</v>
      </c>
      <c r="GF127" s="157"/>
      <c r="GG127" s="199">
        <v>12325313.710000001</v>
      </c>
      <c r="GH127" s="166"/>
      <c r="GI127" s="199">
        <v>12223431.799999999</v>
      </c>
      <c r="GJ127" s="200"/>
      <c r="GK127" s="199">
        <v>8485545.1699999981</v>
      </c>
      <c r="GL127" s="200"/>
      <c r="GM127" s="199">
        <v>8902423.5</v>
      </c>
      <c r="GN127" s="200"/>
      <c r="GO127" s="199">
        <v>10787365.970000001</v>
      </c>
      <c r="GP127" s="200"/>
      <c r="GQ127" s="199">
        <v>10367781.390000001</v>
      </c>
    </row>
    <row r="128" spans="1:199" ht="14.25" customHeight="1">
      <c r="A128" s="158"/>
      <c r="B128" s="166"/>
      <c r="C128" s="535"/>
      <c r="D128" s="410"/>
      <c r="E128" s="535"/>
      <c r="F128" s="410"/>
      <c r="G128" s="535"/>
      <c r="H128" s="410"/>
      <c r="I128" s="535"/>
      <c r="J128" s="410"/>
      <c r="K128" s="535"/>
      <c r="L128" s="410"/>
      <c r="M128" s="535"/>
      <c r="N128" s="410"/>
      <c r="O128" s="535"/>
      <c r="P128" s="410"/>
      <c r="Q128" s="535"/>
      <c r="R128" s="410"/>
      <c r="S128" s="535"/>
      <c r="T128" s="410"/>
      <c r="U128" s="535"/>
      <c r="V128" s="410"/>
      <c r="W128" s="984"/>
      <c r="X128" s="410"/>
      <c r="Y128" s="535"/>
      <c r="Z128" s="410"/>
      <c r="AA128" s="535"/>
      <c r="AB128" s="410"/>
      <c r="AC128" s="535"/>
      <c r="AD128" s="410"/>
      <c r="AE128" s="535"/>
      <c r="AF128" s="410"/>
      <c r="AG128" s="535"/>
      <c r="AH128" s="410"/>
      <c r="AI128" s="535"/>
      <c r="AJ128" s="410"/>
      <c r="AK128" s="535"/>
      <c r="AL128" s="410"/>
      <c r="AM128" s="535"/>
      <c r="AN128" s="410"/>
      <c r="AO128" s="535"/>
      <c r="AP128" s="410"/>
      <c r="AQ128" s="535"/>
      <c r="AR128" s="410"/>
      <c r="AS128" s="535"/>
      <c r="AT128" s="410"/>
      <c r="AU128" s="984"/>
      <c r="AV128" s="410"/>
      <c r="AW128" s="535"/>
      <c r="AX128" s="410"/>
      <c r="AY128" s="535"/>
      <c r="AZ128" s="410"/>
      <c r="BA128" s="535"/>
      <c r="BB128" s="410"/>
      <c r="BC128" s="535"/>
      <c r="BD128" s="410"/>
      <c r="BE128" s="535"/>
      <c r="BF128" s="410"/>
      <c r="BG128" s="759"/>
      <c r="BH128" s="410"/>
      <c r="BI128" s="535"/>
      <c r="BJ128" s="410"/>
      <c r="BK128" s="535"/>
      <c r="BL128" s="410"/>
      <c r="BM128" s="535"/>
      <c r="BN128" s="410"/>
      <c r="BO128" s="535"/>
      <c r="BP128" s="410"/>
      <c r="BQ128" s="535"/>
      <c r="BR128" s="410"/>
      <c r="BS128" s="984"/>
      <c r="BT128" s="410"/>
      <c r="BU128" s="535"/>
      <c r="BV128" s="410"/>
      <c r="BW128" s="535"/>
      <c r="BX128" s="410"/>
      <c r="BY128" s="535"/>
      <c r="BZ128" s="410"/>
      <c r="CA128" s="535"/>
      <c r="CB128" s="410"/>
      <c r="CC128" s="535"/>
      <c r="CD128" s="410"/>
      <c r="CE128" s="535"/>
      <c r="CF128" s="410"/>
      <c r="CG128" s="535"/>
      <c r="CH128" s="410"/>
      <c r="CI128" s="166"/>
      <c r="CJ128" s="410"/>
      <c r="CK128" s="166"/>
      <c r="CL128" s="410"/>
      <c r="CM128" s="166"/>
      <c r="CN128" s="410"/>
      <c r="CO128" s="166"/>
      <c r="CP128" s="410"/>
      <c r="CQ128" s="166"/>
      <c r="CR128" s="410"/>
      <c r="CS128" s="166"/>
      <c r="CT128" s="157"/>
      <c r="CU128" s="166"/>
      <c r="CV128" s="157"/>
      <c r="CW128" s="166"/>
      <c r="CX128" s="157"/>
      <c r="CY128" s="166"/>
      <c r="CZ128" s="157"/>
      <c r="DA128" s="166"/>
      <c r="DB128" s="157"/>
      <c r="DC128" s="166"/>
      <c r="DD128" s="157"/>
      <c r="DE128" s="166"/>
      <c r="DF128" s="157"/>
      <c r="DG128" s="166"/>
      <c r="DH128" s="157"/>
      <c r="DI128" s="166"/>
      <c r="DJ128" s="157"/>
      <c r="DK128" s="166"/>
      <c r="DL128" s="157"/>
      <c r="DM128" s="166"/>
      <c r="DN128" s="157"/>
      <c r="DO128" s="166"/>
      <c r="DP128" s="157"/>
      <c r="DQ128" s="166"/>
      <c r="DR128" s="157"/>
      <c r="DS128" s="166"/>
      <c r="DT128" s="157"/>
      <c r="DU128" s="166"/>
      <c r="DV128" s="157"/>
      <c r="DW128" s="166"/>
      <c r="DX128" s="157"/>
      <c r="DY128" s="166"/>
      <c r="DZ128" s="157"/>
      <c r="EA128" s="166"/>
      <c r="EB128" s="157"/>
      <c r="EC128" s="166"/>
      <c r="ED128" s="157"/>
      <c r="EE128" s="166"/>
      <c r="EF128" s="157"/>
      <c r="EG128" s="166"/>
      <c r="EH128" s="157"/>
      <c r="EI128" s="166"/>
      <c r="EJ128" s="157"/>
      <c r="EK128" s="166"/>
      <c r="EL128" s="157"/>
      <c r="EM128" s="166"/>
      <c r="EN128" s="157"/>
      <c r="EO128" s="166"/>
      <c r="EP128" s="157"/>
      <c r="EQ128" s="166"/>
      <c r="ER128" s="157"/>
      <c r="ES128" s="166"/>
      <c r="ET128" s="157"/>
      <c r="EU128" s="166"/>
      <c r="EV128" s="157"/>
      <c r="EW128" s="166"/>
      <c r="EX128" s="157"/>
      <c r="EY128" s="166"/>
      <c r="EZ128" s="157"/>
      <c r="FA128" s="166"/>
      <c r="FB128" s="157"/>
      <c r="FC128" s="166"/>
      <c r="FD128" s="157"/>
      <c r="FE128" s="166"/>
      <c r="FF128" s="157"/>
      <c r="FG128" s="166"/>
      <c r="FH128" s="157"/>
      <c r="FI128" s="166"/>
      <c r="FJ128" s="157"/>
      <c r="FK128" s="166"/>
      <c r="FL128" s="157"/>
      <c r="FM128" s="166"/>
      <c r="FN128" s="157"/>
      <c r="FO128" s="166"/>
      <c r="FP128" s="157"/>
      <c r="FQ128" s="166"/>
      <c r="FR128" s="157"/>
      <c r="FS128" s="166"/>
      <c r="FT128" s="157"/>
      <c r="FU128" s="166"/>
      <c r="FV128" s="157"/>
      <c r="FW128" s="166"/>
      <c r="FX128" s="157"/>
      <c r="FY128" s="166"/>
      <c r="FZ128" s="157"/>
      <c r="GA128" s="166"/>
      <c r="GB128" s="157"/>
      <c r="GC128" s="166"/>
      <c r="GD128" s="157"/>
      <c r="GE128" s="166"/>
      <c r="GF128" s="157"/>
      <c r="GG128" s="166"/>
      <c r="GH128" s="166"/>
      <c r="GI128" s="157"/>
      <c r="GJ128" s="157"/>
      <c r="GK128" s="157"/>
      <c r="GL128" s="157"/>
      <c r="GM128" s="157"/>
      <c r="GN128" s="157"/>
      <c r="GO128" s="157"/>
      <c r="GP128" s="157"/>
      <c r="GQ128" s="157"/>
    </row>
    <row r="129" spans="1:199" ht="14.25" customHeight="1">
      <c r="A129" s="201"/>
      <c r="B129" s="202" t="s">
        <v>366</v>
      </c>
      <c r="C129" s="1194">
        <f>'Debt funding - Dec25'!K31</f>
        <v>689164511.60749829</v>
      </c>
      <c r="D129" s="414"/>
      <c r="E129" s="428">
        <v>692754864.62830615</v>
      </c>
      <c r="F129" s="414"/>
      <c r="G129" s="428">
        <f>'Debt funding - Dec25'!K31</f>
        <v>689164511.60749829</v>
      </c>
      <c r="H129" s="414"/>
      <c r="I129" s="428">
        <f>'Debt funding - Dec25'!K52</f>
        <v>689164511.60749829</v>
      </c>
      <c r="J129" s="414"/>
      <c r="K129" s="428">
        <f>'Debt funding - Dec25'!K31</f>
        <v>689164511.60749829</v>
      </c>
      <c r="L129" s="414"/>
      <c r="M129" s="428">
        <v>715457530.37635612</v>
      </c>
      <c r="N129" s="414"/>
      <c r="O129" s="428">
        <v>649163008.7299999</v>
      </c>
      <c r="P129" s="414"/>
      <c r="Q129" s="428">
        <v>651620870.93000007</v>
      </c>
      <c r="R129" s="414"/>
      <c r="S129" s="428">
        <v>651065992.59931517</v>
      </c>
      <c r="T129" s="414"/>
      <c r="U129" s="428">
        <v>598683839.29999995</v>
      </c>
      <c r="V129" s="414"/>
      <c r="W129" s="1170">
        <v>680140490.30555558</v>
      </c>
      <c r="X129" s="414"/>
      <c r="Y129" s="428">
        <v>673872331.29000008</v>
      </c>
      <c r="Z129" s="414"/>
      <c r="AA129" s="428">
        <v>685216553.29029226</v>
      </c>
      <c r="AB129" s="414"/>
      <c r="AC129" s="428">
        <v>693994352.52499998</v>
      </c>
      <c r="AD129" s="414"/>
      <c r="AE129" s="428">
        <v>657744272.34699726</v>
      </c>
      <c r="AF129" s="414"/>
      <c r="AG129" s="428">
        <v>686890409.38000011</v>
      </c>
      <c r="AH129" s="414"/>
      <c r="AI129" s="428">
        <v>560810738.87000012</v>
      </c>
      <c r="AJ129" s="414"/>
      <c r="AK129" s="428">
        <v>501293865.74058175</v>
      </c>
      <c r="AL129" s="414"/>
      <c r="AM129" s="428">
        <v>468811934.98029298</v>
      </c>
      <c r="AN129" s="414"/>
      <c r="AO129" s="428">
        <v>501906552.54666698</v>
      </c>
      <c r="AP129" s="414"/>
      <c r="AQ129" s="428">
        <v>450901590.97991776</v>
      </c>
      <c r="AR129" s="414"/>
      <c r="AS129" s="428">
        <v>384315208.08144593</v>
      </c>
      <c r="AT129" s="414"/>
      <c r="AU129" s="1170">
        <v>280382813.96011341</v>
      </c>
      <c r="AV129" s="414"/>
      <c r="AW129" s="428">
        <v>278329630.29471415</v>
      </c>
      <c r="AX129" s="414"/>
      <c r="AY129" s="428">
        <v>277328816.04743338</v>
      </c>
      <c r="AZ129" s="414"/>
      <c r="BA129" s="428">
        <v>258037037.49879679</v>
      </c>
      <c r="BB129" s="414"/>
      <c r="BC129" s="428">
        <v>248923321.12684062</v>
      </c>
      <c r="BD129" s="414"/>
      <c r="BE129" s="428">
        <v>230775978.87968954</v>
      </c>
      <c r="BF129" s="414"/>
      <c r="BG129" s="428">
        <v>267846828.52000004</v>
      </c>
      <c r="BH129" s="414"/>
      <c r="BI129" s="428">
        <v>283375942.25196755</v>
      </c>
      <c r="BJ129" s="414"/>
      <c r="BK129" s="428">
        <v>325569681.27999997</v>
      </c>
      <c r="BL129" s="414"/>
      <c r="BM129" s="428">
        <v>267000680.34238905</v>
      </c>
      <c r="BN129" s="414"/>
      <c r="BO129" s="428">
        <v>261681096.62583333</v>
      </c>
      <c r="BP129" s="414"/>
      <c r="BQ129" s="428">
        <f>'Debt funding - Dec25'!K31</f>
        <v>689164511.60749829</v>
      </c>
      <c r="BR129" s="414"/>
      <c r="BS129" s="1170">
        <v>256155217.39166668</v>
      </c>
      <c r="BT129" s="414"/>
      <c r="BU129" s="428">
        <f>'Debt funding - Dec25'!K31</f>
        <v>689164511.60749829</v>
      </c>
      <c r="BV129" s="414"/>
      <c r="BW129" s="428">
        <v>320703138.83126301</v>
      </c>
      <c r="BX129" s="414"/>
      <c r="BY129" s="428">
        <v>318840280.13421416</v>
      </c>
      <c r="BZ129" s="414"/>
      <c r="CA129" s="428">
        <v>296406268.86766142</v>
      </c>
      <c r="CB129" s="414"/>
      <c r="CC129" s="428">
        <v>285599600.17768097</v>
      </c>
      <c r="CD129" s="414"/>
      <c r="CE129" s="428">
        <v>279675344.69916767</v>
      </c>
      <c r="CF129" s="414"/>
      <c r="CG129" s="428">
        <v>242780352.34409007</v>
      </c>
      <c r="CH129" s="414"/>
      <c r="CI129" s="428">
        <v>181923058.98401755</v>
      </c>
      <c r="CJ129" s="556"/>
      <c r="CK129" s="428">
        <v>178784926.58619407</v>
      </c>
      <c r="CL129" s="414"/>
      <c r="CM129" s="428">
        <v>174528020.85027295</v>
      </c>
      <c r="CN129" s="459"/>
      <c r="CO129" s="428">
        <v>142669576.58050287</v>
      </c>
      <c r="CP129" s="459"/>
      <c r="CQ129" s="428">
        <v>161556499.62625268</v>
      </c>
      <c r="CR129" s="414"/>
      <c r="CS129" s="203">
        <v>93022802.636570185</v>
      </c>
      <c r="CT129" s="202"/>
      <c r="CU129" s="204">
        <v>106410148.39708039</v>
      </c>
      <c r="CV129" s="202"/>
      <c r="CW129" s="204">
        <v>115835159.13362798</v>
      </c>
      <c r="CX129" s="202"/>
      <c r="CY129" s="203">
        <v>111332330.23153785</v>
      </c>
      <c r="CZ129" s="205"/>
      <c r="DA129" s="203">
        <v>119718148.83562391</v>
      </c>
      <c r="DB129" s="205"/>
      <c r="DC129" s="203">
        <v>96021925.377611622</v>
      </c>
      <c r="DD129" s="205"/>
      <c r="DE129" s="203">
        <v>75788694.555571899</v>
      </c>
      <c r="DF129" s="205"/>
      <c r="DG129" s="203">
        <v>71887246.586606324</v>
      </c>
      <c r="DH129" s="205"/>
      <c r="DI129" s="203">
        <v>77907202.649603665</v>
      </c>
      <c r="DJ129" s="205"/>
      <c r="DK129" s="203">
        <v>76664845.433243692</v>
      </c>
      <c r="DL129" s="205"/>
      <c r="DM129" s="203">
        <v>90845839.723376125</v>
      </c>
      <c r="DN129" s="205"/>
      <c r="DO129" s="203">
        <v>58536635.81891416</v>
      </c>
      <c r="DP129" s="205"/>
      <c r="DQ129" s="203">
        <v>49684406.187807404</v>
      </c>
      <c r="DR129" s="205"/>
      <c r="DS129" s="203">
        <v>48888843.548886225</v>
      </c>
      <c r="DT129" s="205"/>
      <c r="DU129" s="203">
        <v>45896025.370035857</v>
      </c>
      <c r="DV129" s="205"/>
      <c r="DW129" s="203">
        <v>61135767.326304972</v>
      </c>
      <c r="DX129" s="205"/>
      <c r="DY129" s="203">
        <v>62850679.545759998</v>
      </c>
      <c r="DZ129" s="205"/>
      <c r="EA129" s="203">
        <v>63904397.683715083</v>
      </c>
      <c r="EB129" s="205"/>
      <c r="EC129" s="203">
        <v>50260566.680594802</v>
      </c>
      <c r="ED129" s="205"/>
      <c r="EE129" s="203">
        <v>49864544.665934287</v>
      </c>
      <c r="EF129" s="205"/>
      <c r="EG129" s="203">
        <v>43258213.677147403</v>
      </c>
      <c r="EH129" s="205"/>
      <c r="EI129" s="203">
        <v>42067392.40824759</v>
      </c>
      <c r="EJ129" s="205"/>
      <c r="EK129" s="203">
        <v>62772489.100000001</v>
      </c>
      <c r="EL129" s="205"/>
      <c r="EM129" s="203">
        <v>57468317.480000012</v>
      </c>
      <c r="EN129" s="205"/>
      <c r="EO129" s="203">
        <v>54762233.82</v>
      </c>
      <c r="EP129" s="205"/>
      <c r="EQ129" s="203">
        <v>53159473.284733348</v>
      </c>
      <c r="ER129" s="205"/>
      <c r="ES129" s="203">
        <v>7871220.2905810354</v>
      </c>
      <c r="ET129" s="205"/>
      <c r="EU129" s="203">
        <v>16423635.23</v>
      </c>
      <c r="EV129" s="205"/>
      <c r="EW129" s="203">
        <v>3920858.42</v>
      </c>
      <c r="EX129" s="205"/>
      <c r="EY129" s="203">
        <v>2154590.4429100016</v>
      </c>
      <c r="EZ129" s="205"/>
      <c r="FA129" s="203">
        <v>2201718.290000001</v>
      </c>
      <c r="FB129" s="205"/>
      <c r="FC129" s="203">
        <v>8353861.2000000002</v>
      </c>
      <c r="FD129" s="205"/>
      <c r="FE129" s="203">
        <v>8220204.9092013091</v>
      </c>
      <c r="FF129" s="205"/>
      <c r="FG129" s="203">
        <v>7987135.3600000013</v>
      </c>
      <c r="FH129" s="205"/>
      <c r="FI129" s="203">
        <v>7732722.1399999987</v>
      </c>
      <c r="FJ129" s="205"/>
      <c r="FK129" s="203">
        <v>8451012.7300000004</v>
      </c>
      <c r="FL129" s="205"/>
      <c r="FM129" s="203">
        <v>8678191.8399999999</v>
      </c>
      <c r="FN129" s="205"/>
      <c r="FO129" s="203">
        <v>8660622.8400000017</v>
      </c>
      <c r="FP129" s="205"/>
      <c r="FQ129" s="203">
        <v>6557058.1500000004</v>
      </c>
      <c r="FR129" s="205"/>
      <c r="FS129" s="203">
        <v>6820475.0500000017</v>
      </c>
      <c r="FT129" s="205"/>
      <c r="FU129" s="203">
        <v>15341574.639999997</v>
      </c>
      <c r="FV129" s="205"/>
      <c r="FW129" s="203">
        <v>11269802.289999999</v>
      </c>
      <c r="FX129" s="205"/>
      <c r="FY129" s="203">
        <v>4663598.620000001</v>
      </c>
      <c r="FZ129" s="205"/>
      <c r="GA129" s="203">
        <v>2985352.5199999996</v>
      </c>
      <c r="GB129" s="205"/>
      <c r="GC129" s="203">
        <v>2394736.92</v>
      </c>
      <c r="GD129" s="205"/>
      <c r="GE129" s="203">
        <v>1273659.9399999995</v>
      </c>
      <c r="GF129" s="205"/>
      <c r="GG129" s="203">
        <v>1156552.4900000002</v>
      </c>
      <c r="GH129" s="206"/>
      <c r="GI129" s="203">
        <v>1825811.7300000004</v>
      </c>
      <c r="GJ129" s="205"/>
      <c r="GK129" s="203">
        <v>3853045.49</v>
      </c>
      <c r="GL129" s="205"/>
      <c r="GM129" s="203">
        <v>4168018.92</v>
      </c>
      <c r="GN129" s="205"/>
      <c r="GO129" s="203">
        <v>5605783.8700000001</v>
      </c>
      <c r="GP129" s="205"/>
      <c r="GQ129" s="203">
        <v>5137174.29</v>
      </c>
    </row>
    <row r="130" spans="1:199" ht="14.25" customHeight="1">
      <c r="A130" s="201"/>
      <c r="B130" s="202" t="s">
        <v>367</v>
      </c>
      <c r="C130" s="1195">
        <f>'Debt funding - Dec25'!K32</f>
        <v>764351996.01250207</v>
      </c>
      <c r="D130" s="414"/>
      <c r="E130" s="429">
        <v>619503178.3216939</v>
      </c>
      <c r="F130" s="414"/>
      <c r="G130" s="429">
        <f>'Debt funding - Dec25'!K32</f>
        <v>764351996.01250207</v>
      </c>
      <c r="H130" s="414"/>
      <c r="I130" s="429">
        <f>'Debt funding - Dec25'!K32</f>
        <v>764351996.01250207</v>
      </c>
      <c r="J130" s="414"/>
      <c r="K130" s="429">
        <f>'Debt funding - Dec25'!K32</f>
        <v>764351996.01250207</v>
      </c>
      <c r="L130" s="414"/>
      <c r="M130" s="429">
        <v>773332737.32364368</v>
      </c>
      <c r="N130" s="414"/>
      <c r="O130" s="429">
        <v>876282473.98999989</v>
      </c>
      <c r="P130" s="414"/>
      <c r="Q130" s="429">
        <v>875622288.9599998</v>
      </c>
      <c r="R130" s="414"/>
      <c r="S130" s="429">
        <v>937819007.71068478</v>
      </c>
      <c r="T130" s="414"/>
      <c r="U130" s="429">
        <v>710339862.88000011</v>
      </c>
      <c r="V130" s="414"/>
      <c r="W130" s="1171">
        <v>840616830.31444454</v>
      </c>
      <c r="X130" s="414"/>
      <c r="Y130" s="429">
        <v>856086083.86999953</v>
      </c>
      <c r="Z130" s="414"/>
      <c r="AA130" s="429">
        <v>855811533.13970757</v>
      </c>
      <c r="AB130" s="414"/>
      <c r="AC130" s="429">
        <v>892642417.52499998</v>
      </c>
      <c r="AD130" s="414"/>
      <c r="AE130" s="429">
        <v>948048413.73300266</v>
      </c>
      <c r="AF130" s="414"/>
      <c r="AG130" s="429">
        <v>805275867.50999975</v>
      </c>
      <c r="AH130" s="414"/>
      <c r="AI130" s="429">
        <v>980190323.19999981</v>
      </c>
      <c r="AJ130" s="414"/>
      <c r="AK130" s="429">
        <v>878261086.97941804</v>
      </c>
      <c r="AL130" s="414"/>
      <c r="AM130" s="429">
        <v>919160386.82970691</v>
      </c>
      <c r="AN130" s="414"/>
      <c r="AO130" s="429">
        <v>830859247.52333331</v>
      </c>
      <c r="AP130" s="414"/>
      <c r="AQ130" s="429">
        <v>756773084.30008245</v>
      </c>
      <c r="AR130" s="414"/>
      <c r="AS130" s="429">
        <v>743739770.0985539</v>
      </c>
      <c r="AT130" s="414"/>
      <c r="AU130" s="1171">
        <v>740182342.85988653</v>
      </c>
      <c r="AV130" s="414"/>
      <c r="AW130" s="429">
        <v>736345049.31528592</v>
      </c>
      <c r="AX130" s="414"/>
      <c r="AY130" s="429">
        <v>757239964.43256664</v>
      </c>
      <c r="AZ130" s="414"/>
      <c r="BA130" s="429">
        <v>605588591.04120314</v>
      </c>
      <c r="BB130" s="414"/>
      <c r="BC130" s="429">
        <v>605187956.68315935</v>
      </c>
      <c r="BD130" s="414"/>
      <c r="BE130" s="429">
        <v>525402513.48031044</v>
      </c>
      <c r="BF130" s="414"/>
      <c r="BG130" s="208">
        <v>337269359.10999995</v>
      </c>
      <c r="BH130" s="414"/>
      <c r="BI130" s="429">
        <v>299053484.7980324</v>
      </c>
      <c r="BJ130" s="414"/>
      <c r="BK130" s="429">
        <v>235266078.51999998</v>
      </c>
      <c r="BL130" s="414"/>
      <c r="BM130" s="429">
        <v>303799306.11761087</v>
      </c>
      <c r="BN130" s="414"/>
      <c r="BO130" s="429">
        <v>288781800.78416663</v>
      </c>
      <c r="BP130" s="414"/>
      <c r="BQ130" s="429">
        <f>'Debt funding - Dec25'!K32</f>
        <v>764351996.01250207</v>
      </c>
      <c r="BR130" s="414"/>
      <c r="BS130" s="1171">
        <v>231642372.15833327</v>
      </c>
      <c r="BT130" s="414"/>
      <c r="BU130" s="429">
        <f>'Debt funding - Dec25'!K32</f>
        <v>764351996.01250207</v>
      </c>
      <c r="BV130" s="414"/>
      <c r="BW130" s="429">
        <v>286684697.38873702</v>
      </c>
      <c r="BX130" s="414"/>
      <c r="BY130" s="429">
        <v>286168628.83578587</v>
      </c>
      <c r="BZ130" s="414"/>
      <c r="CA130" s="429">
        <v>218583509.2623387</v>
      </c>
      <c r="CB130" s="414"/>
      <c r="CC130" s="429">
        <v>232695896.042319</v>
      </c>
      <c r="CD130" s="414"/>
      <c r="CE130" s="429">
        <v>263796317.69083232</v>
      </c>
      <c r="CF130" s="414"/>
      <c r="CG130" s="429">
        <v>305015814.66590989</v>
      </c>
      <c r="CH130" s="414"/>
      <c r="CI130" s="429">
        <v>263322559.85598242</v>
      </c>
      <c r="CJ130" s="556"/>
      <c r="CK130" s="429">
        <v>262554829.72380599</v>
      </c>
      <c r="CL130" s="414"/>
      <c r="CM130" s="429">
        <v>261970831.06972694</v>
      </c>
      <c r="CN130" s="459"/>
      <c r="CO130" s="429">
        <v>294478983.97949708</v>
      </c>
      <c r="CP130" s="459"/>
      <c r="CQ130" s="429">
        <v>236937579.7478992</v>
      </c>
      <c r="CR130" s="414"/>
      <c r="CS130" s="207">
        <v>314387043.35342979</v>
      </c>
      <c r="CT130" s="202"/>
      <c r="CU130" s="208">
        <v>276558736.28806722</v>
      </c>
      <c r="CV130" s="202"/>
      <c r="CW130" s="208">
        <v>276808686.86637199</v>
      </c>
      <c r="CX130" s="202"/>
      <c r="CY130" s="207">
        <v>279761378.13846219</v>
      </c>
      <c r="CZ130" s="205"/>
      <c r="DA130" s="207">
        <v>187503910.30437607</v>
      </c>
      <c r="DB130" s="205"/>
      <c r="DC130" s="207">
        <v>211953059.72238839</v>
      </c>
      <c r="DD130" s="205"/>
      <c r="DE130" s="207">
        <v>196567552.1844281</v>
      </c>
      <c r="DF130" s="205"/>
      <c r="DG130" s="207">
        <v>164579648.00339368</v>
      </c>
      <c r="DH130" s="205"/>
      <c r="DI130" s="207">
        <v>123818296.86039633</v>
      </c>
      <c r="DJ130" s="205"/>
      <c r="DK130" s="207">
        <v>132068197.4167563</v>
      </c>
      <c r="DL130" s="205"/>
      <c r="DM130" s="207">
        <v>99976406.796623886</v>
      </c>
      <c r="DN130" s="205"/>
      <c r="DO130" s="207">
        <v>133870606.57108583</v>
      </c>
      <c r="DP130" s="205"/>
      <c r="DQ130" s="207">
        <v>111882695.1121926</v>
      </c>
      <c r="DR130" s="205"/>
      <c r="DS130" s="207">
        <v>110949735.56338046</v>
      </c>
      <c r="DT130" s="205"/>
      <c r="DU130" s="207">
        <v>127186602.94938311</v>
      </c>
      <c r="DV130" s="205"/>
      <c r="DW130" s="207">
        <v>133989410.80755761</v>
      </c>
      <c r="DX130" s="205"/>
      <c r="DY130" s="207">
        <v>147205429.37423998</v>
      </c>
      <c r="DZ130" s="205"/>
      <c r="EA130" s="207">
        <v>97834974.350309283</v>
      </c>
      <c r="EB130" s="205"/>
      <c r="EC130" s="207">
        <v>111682370.28940523</v>
      </c>
      <c r="ED130" s="205"/>
      <c r="EE130" s="207">
        <v>108768020.07406572</v>
      </c>
      <c r="EF130" s="205"/>
      <c r="EG130" s="207">
        <v>126444463.32000001</v>
      </c>
      <c r="EH130" s="205"/>
      <c r="EI130" s="207">
        <v>130063381.4817524</v>
      </c>
      <c r="EJ130" s="205"/>
      <c r="EK130" s="207">
        <v>109607507.68000001</v>
      </c>
      <c r="EL130" s="205"/>
      <c r="EM130" s="207">
        <v>110670645.20999998</v>
      </c>
      <c r="EN130" s="205"/>
      <c r="EO130" s="207">
        <v>110011198.56</v>
      </c>
      <c r="EP130" s="205"/>
      <c r="EQ130" s="207">
        <v>108773891.61226666</v>
      </c>
      <c r="ER130" s="205"/>
      <c r="ES130" s="207">
        <v>122509156.11941896</v>
      </c>
      <c r="ET130" s="205"/>
      <c r="EU130" s="207">
        <v>70548185.200000003</v>
      </c>
      <c r="EV130" s="205"/>
      <c r="EW130" s="207">
        <v>59584575.379999995</v>
      </c>
      <c r="EX130" s="205"/>
      <c r="EY130" s="207">
        <v>58667838.397089995</v>
      </c>
      <c r="EZ130" s="205"/>
      <c r="FA130" s="207">
        <v>62926456.750000007</v>
      </c>
      <c r="FB130" s="205"/>
      <c r="FC130" s="207">
        <v>62235757.829999998</v>
      </c>
      <c r="FD130" s="205"/>
      <c r="FE130" s="207">
        <v>59537669.390798703</v>
      </c>
      <c r="FF130" s="205"/>
      <c r="FG130" s="207">
        <v>58980882.689999998</v>
      </c>
      <c r="FH130" s="205"/>
      <c r="FI130" s="207">
        <v>58538091.079999998</v>
      </c>
      <c r="FJ130" s="205"/>
      <c r="FK130" s="207">
        <v>47476149.589999989</v>
      </c>
      <c r="FL130" s="205"/>
      <c r="FM130" s="207">
        <v>47300972.629999995</v>
      </c>
      <c r="FN130" s="205"/>
      <c r="FO130" s="207">
        <v>52505799.11999999</v>
      </c>
      <c r="FP130" s="205"/>
      <c r="FQ130" s="207">
        <v>38978750.480000004</v>
      </c>
      <c r="FR130" s="205"/>
      <c r="FS130" s="207">
        <v>40910709.759999998</v>
      </c>
      <c r="FT130" s="205"/>
      <c r="FU130" s="207">
        <v>11642403.080000002</v>
      </c>
      <c r="FV130" s="205"/>
      <c r="FW130" s="207">
        <v>11572900.77</v>
      </c>
      <c r="FX130" s="205"/>
      <c r="FY130" s="207">
        <v>14381004.98</v>
      </c>
      <c r="FZ130" s="205"/>
      <c r="GA130" s="207">
        <v>11413871.51</v>
      </c>
      <c r="GB130" s="205"/>
      <c r="GC130" s="207">
        <v>11449362.280000001</v>
      </c>
      <c r="GD130" s="205"/>
      <c r="GE130" s="207">
        <v>11363182.08</v>
      </c>
      <c r="GF130" s="205"/>
      <c r="GG130" s="207">
        <v>11168761.220000001</v>
      </c>
      <c r="GH130" s="206"/>
      <c r="GI130" s="207">
        <v>10397620.069999998</v>
      </c>
      <c r="GJ130" s="205"/>
      <c r="GK130" s="207">
        <v>4632499.6799999978</v>
      </c>
      <c r="GL130" s="205"/>
      <c r="GM130" s="207">
        <v>4734404.58</v>
      </c>
      <c r="GN130" s="205"/>
      <c r="GO130" s="207">
        <v>5181582.1000000006</v>
      </c>
      <c r="GP130" s="205"/>
      <c r="GQ130" s="207">
        <v>5230607.1000000006</v>
      </c>
    </row>
    <row r="131" spans="1:199" ht="14.25" customHeight="1">
      <c r="A131" s="158"/>
      <c r="B131" s="157"/>
      <c r="C131" s="643"/>
      <c r="D131" s="410"/>
      <c r="E131" s="643"/>
      <c r="F131" s="410"/>
      <c r="G131" s="643"/>
      <c r="H131" s="410"/>
      <c r="I131" s="643"/>
      <c r="J131" s="410"/>
      <c r="K131" s="643"/>
      <c r="L131" s="410"/>
      <c r="M131" s="643"/>
      <c r="N131" s="410"/>
      <c r="O131" s="643"/>
      <c r="P131" s="410"/>
      <c r="Q131" s="643"/>
      <c r="R131" s="410"/>
      <c r="S131" s="643"/>
      <c r="T131" s="410"/>
      <c r="U131" s="643"/>
      <c r="V131" s="410"/>
      <c r="W131" s="1172"/>
      <c r="X131" s="410"/>
      <c r="Y131" s="643"/>
      <c r="Z131" s="410"/>
      <c r="AA131" s="643"/>
      <c r="AB131" s="410"/>
      <c r="AC131" s="643"/>
      <c r="AD131" s="410"/>
      <c r="AE131" s="643"/>
      <c r="AF131" s="410"/>
      <c r="AG131" s="643"/>
      <c r="AH131" s="410"/>
      <c r="AI131" s="643"/>
      <c r="AJ131" s="410"/>
      <c r="AK131" s="643"/>
      <c r="AL131" s="410"/>
      <c r="AM131" s="643"/>
      <c r="AN131" s="410"/>
      <c r="AO131" s="643"/>
      <c r="AP131" s="410"/>
      <c r="AQ131" s="643"/>
      <c r="AR131" s="410"/>
      <c r="AS131" s="643"/>
      <c r="AT131" s="410"/>
      <c r="AU131" s="1172"/>
      <c r="AV131" s="410"/>
      <c r="AW131" s="643"/>
      <c r="AX131" s="410"/>
      <c r="AY131" s="643"/>
      <c r="AZ131" s="410"/>
      <c r="BA131" s="643"/>
      <c r="BB131" s="410"/>
      <c r="BC131" s="643"/>
      <c r="BD131" s="410"/>
      <c r="BE131" s="643"/>
      <c r="BF131" s="410"/>
      <c r="BG131" s="834"/>
      <c r="BH131" s="410"/>
      <c r="BI131" s="643"/>
      <c r="BJ131" s="410"/>
      <c r="BK131" s="643"/>
      <c r="BL131" s="410"/>
      <c r="BM131" s="643"/>
      <c r="BN131" s="410"/>
      <c r="BO131" s="643"/>
      <c r="BP131" s="410"/>
      <c r="BQ131" s="643"/>
      <c r="BR131" s="410"/>
      <c r="BS131" s="1172"/>
      <c r="BT131" s="410"/>
      <c r="BU131" s="643"/>
      <c r="BV131" s="410"/>
      <c r="BW131" s="209"/>
      <c r="BX131" s="410"/>
      <c r="BY131" s="209"/>
      <c r="BZ131" s="410"/>
      <c r="CA131" s="209"/>
      <c r="CB131" s="410"/>
      <c r="CC131" s="209"/>
      <c r="CD131" s="410"/>
      <c r="CE131" s="209"/>
      <c r="CF131" s="410"/>
      <c r="CG131" s="209"/>
      <c r="CH131" s="410"/>
      <c r="CI131" s="209"/>
      <c r="CJ131" s="410"/>
      <c r="CK131" s="209"/>
      <c r="CL131" s="410"/>
      <c r="CM131" s="209"/>
      <c r="CN131" s="410"/>
      <c r="CO131" s="209"/>
      <c r="CP131" s="410"/>
      <c r="CQ131" s="209"/>
      <c r="CR131" s="410"/>
      <c r="CS131" s="209"/>
      <c r="CT131" s="157"/>
      <c r="CU131" s="209"/>
      <c r="CV131" s="157"/>
      <c r="CW131" s="209"/>
      <c r="CX131" s="157"/>
      <c r="CY131" s="209">
        <f>CY127-SUM(CY129:CY130)</f>
        <v>0</v>
      </c>
      <c r="CZ131" s="157"/>
      <c r="DA131" s="209">
        <f>DA127-SUM(DA129:DA130)</f>
        <v>0</v>
      </c>
      <c r="DB131" s="157"/>
      <c r="DC131" s="209">
        <f>DC127-SUM(DC129:DC130)</f>
        <v>0</v>
      </c>
      <c r="DD131" s="157"/>
      <c r="DE131" s="209">
        <f>DE127-SUM(DE129:DE130)</f>
        <v>0</v>
      </c>
      <c r="DF131" s="157"/>
      <c r="DG131" s="210">
        <f>DG127-SUM(DG129:DG130)</f>
        <v>0</v>
      </c>
      <c r="DH131" s="157"/>
      <c r="DI131" s="210">
        <f>DI127-SUM(DI129:DI130)</f>
        <v>0</v>
      </c>
      <c r="DJ131" s="157"/>
      <c r="DK131" s="210">
        <f>DK127-SUM(DK129:DK130)</f>
        <v>0</v>
      </c>
      <c r="DL131" s="157"/>
      <c r="DM131" s="210">
        <f>DM127-SUM(DM129:DM130)</f>
        <v>0</v>
      </c>
      <c r="DN131" s="157"/>
      <c r="DO131" s="210">
        <v>0</v>
      </c>
      <c r="DP131" s="157"/>
      <c r="DQ131" s="210">
        <v>0</v>
      </c>
      <c r="DR131" s="157"/>
      <c r="DS131" s="210">
        <v>0</v>
      </c>
      <c r="DT131" s="157"/>
      <c r="DU131" s="210">
        <v>0</v>
      </c>
      <c r="DV131" s="157"/>
      <c r="DW131" s="210">
        <v>0</v>
      </c>
      <c r="DX131" s="157"/>
      <c r="DY131" s="210">
        <v>0</v>
      </c>
      <c r="DZ131" s="157"/>
      <c r="EA131" s="210">
        <v>0</v>
      </c>
      <c r="EB131" s="157"/>
      <c r="EC131" s="210">
        <v>0</v>
      </c>
      <c r="ED131" s="157"/>
      <c r="EE131" s="210">
        <v>0</v>
      </c>
      <c r="EF131" s="157"/>
      <c r="EG131" s="210">
        <v>0</v>
      </c>
      <c r="EH131" s="157"/>
      <c r="EI131" s="210">
        <v>0</v>
      </c>
      <c r="EJ131" s="157"/>
      <c r="EK131" s="210">
        <v>0</v>
      </c>
      <c r="EL131" s="157"/>
      <c r="EM131" s="210">
        <v>0</v>
      </c>
      <c r="EN131" s="157"/>
      <c r="EO131" s="210">
        <v>0</v>
      </c>
      <c r="EP131" s="157"/>
      <c r="EQ131" s="210">
        <v>0</v>
      </c>
      <c r="ER131" s="157"/>
      <c r="ES131" s="210">
        <v>0</v>
      </c>
      <c r="ET131" s="157"/>
      <c r="EU131" s="210">
        <v>0</v>
      </c>
      <c r="EV131" s="157"/>
      <c r="EW131" s="210">
        <v>0</v>
      </c>
      <c r="EX131" s="157"/>
      <c r="EY131" s="210">
        <v>0</v>
      </c>
      <c r="EZ131" s="157"/>
      <c r="FA131" s="210">
        <v>0</v>
      </c>
      <c r="FB131" s="157"/>
      <c r="FC131" s="210">
        <v>0</v>
      </c>
      <c r="FD131" s="157"/>
      <c r="FE131" s="210">
        <v>0</v>
      </c>
      <c r="FF131" s="157"/>
      <c r="FG131" s="210">
        <v>0</v>
      </c>
      <c r="FH131" s="157"/>
      <c r="FI131" s="210">
        <v>0</v>
      </c>
      <c r="FJ131" s="157"/>
      <c r="FK131" s="210">
        <v>0</v>
      </c>
      <c r="FL131" s="157"/>
      <c r="FM131" s="210">
        <v>0</v>
      </c>
      <c r="FN131" s="157"/>
      <c r="FO131" s="210">
        <v>0</v>
      </c>
      <c r="FP131" s="157"/>
      <c r="FQ131" s="210">
        <v>0</v>
      </c>
      <c r="FR131" s="157"/>
      <c r="FS131" s="210">
        <v>0</v>
      </c>
      <c r="FT131" s="157"/>
      <c r="FU131" s="210">
        <v>0</v>
      </c>
      <c r="FV131" s="157"/>
      <c r="FW131" s="210">
        <v>0</v>
      </c>
      <c r="FX131" s="157"/>
      <c r="FY131" s="210">
        <v>0</v>
      </c>
      <c r="FZ131" s="157"/>
      <c r="GA131" s="210">
        <v>0</v>
      </c>
      <c r="GB131" s="157"/>
      <c r="GC131" s="210">
        <v>0</v>
      </c>
      <c r="GD131" s="157"/>
      <c r="GE131" s="210">
        <v>0</v>
      </c>
      <c r="GF131" s="157"/>
      <c r="GG131" s="210">
        <v>0</v>
      </c>
      <c r="GH131" s="166"/>
      <c r="GI131" s="210">
        <v>0</v>
      </c>
      <c r="GJ131" s="157"/>
      <c r="GK131" s="210">
        <v>0</v>
      </c>
      <c r="GL131" s="157"/>
      <c r="GM131" s="210">
        <v>0</v>
      </c>
      <c r="GN131" s="157"/>
      <c r="GO131" s="210">
        <v>0</v>
      </c>
      <c r="GP131" s="157"/>
      <c r="GQ131" s="210">
        <v>0</v>
      </c>
    </row>
    <row r="132" spans="1:199" ht="14.25" customHeight="1">
      <c r="A132" s="158"/>
      <c r="B132" s="157"/>
      <c r="C132" s="535"/>
      <c r="D132" s="410"/>
      <c r="E132" s="535"/>
      <c r="F132" s="410"/>
      <c r="G132" s="535"/>
      <c r="H132" s="410"/>
      <c r="I132" s="535"/>
      <c r="J132" s="410"/>
      <c r="K132" s="535"/>
      <c r="L132" s="410"/>
      <c r="M132" s="535"/>
      <c r="N132" s="410"/>
      <c r="O132" s="535"/>
      <c r="P132" s="410"/>
      <c r="Q132" s="535"/>
      <c r="R132" s="410"/>
      <c r="S132" s="535"/>
      <c r="T132" s="410"/>
      <c r="U132" s="535"/>
      <c r="V132" s="410"/>
      <c r="W132" s="984"/>
      <c r="X132" s="410"/>
      <c r="Y132" s="535"/>
      <c r="Z132" s="410"/>
      <c r="AA132" s="535"/>
      <c r="AB132" s="410"/>
      <c r="AC132" s="535"/>
      <c r="AD132" s="410"/>
      <c r="AE132" s="535"/>
      <c r="AF132" s="410"/>
      <c r="AG132" s="535"/>
      <c r="AH132" s="410"/>
      <c r="AI132" s="535"/>
      <c r="AJ132" s="410"/>
      <c r="AK132" s="535"/>
      <c r="AL132" s="410"/>
      <c r="AM132" s="535"/>
      <c r="AN132" s="410"/>
      <c r="AO132" s="535"/>
      <c r="AP132" s="410"/>
      <c r="AQ132" s="535"/>
      <c r="AR132" s="410"/>
      <c r="AS132" s="535"/>
      <c r="AT132" s="410"/>
      <c r="AU132" s="984"/>
      <c r="AV132" s="410"/>
      <c r="AW132" s="535"/>
      <c r="AX132" s="410"/>
      <c r="AY132" s="535"/>
      <c r="AZ132" s="410"/>
      <c r="BA132" s="535"/>
      <c r="BB132" s="410"/>
      <c r="BC132" s="535"/>
      <c r="BD132" s="410"/>
      <c r="BE132" s="535"/>
      <c r="BF132" s="410"/>
      <c r="BG132" s="759"/>
      <c r="BH132" s="410"/>
      <c r="BI132" s="535"/>
      <c r="BJ132" s="410"/>
      <c r="BK132" s="535"/>
      <c r="BL132" s="410"/>
      <c r="BM132" s="535"/>
      <c r="BN132" s="410"/>
      <c r="BO132" s="535"/>
      <c r="BP132" s="410"/>
      <c r="BQ132" s="535"/>
      <c r="BR132" s="410"/>
      <c r="BS132" s="984"/>
      <c r="BT132" s="410"/>
      <c r="BU132" s="535"/>
      <c r="BV132" s="410"/>
      <c r="BW132" s="166"/>
      <c r="BX132" s="410"/>
      <c r="BY132" s="166"/>
      <c r="BZ132" s="410"/>
      <c r="CA132" s="166"/>
      <c r="CB132" s="410"/>
      <c r="CC132" s="166"/>
      <c r="CD132" s="410"/>
      <c r="CE132" s="166"/>
      <c r="CF132" s="410"/>
      <c r="CG132" s="166"/>
      <c r="CH132" s="410"/>
      <c r="CI132" s="166"/>
      <c r="CJ132" s="410"/>
      <c r="CK132" s="166"/>
      <c r="CL132" s="410"/>
      <c r="CM132" s="166"/>
      <c r="CN132" s="410"/>
      <c r="CO132" s="166"/>
      <c r="CP132" s="410"/>
      <c r="CQ132" s="166"/>
      <c r="CR132" s="410"/>
      <c r="CS132" s="166"/>
      <c r="CT132" s="157"/>
      <c r="CU132" s="166"/>
      <c r="CV132" s="157"/>
      <c r="CW132" s="166"/>
      <c r="CX132" s="157"/>
      <c r="CY132" s="166"/>
      <c r="CZ132" s="157"/>
      <c r="DA132" s="166"/>
      <c r="DB132" s="157"/>
      <c r="DC132" s="166"/>
      <c r="DD132" s="157"/>
      <c r="DE132" s="166"/>
      <c r="DF132" s="157"/>
      <c r="DG132" s="166"/>
      <c r="DH132" s="157"/>
      <c r="DI132" s="166"/>
      <c r="DJ132" s="157"/>
      <c r="DK132" s="166"/>
      <c r="DL132" s="157"/>
      <c r="DM132" s="166"/>
      <c r="DN132" s="157"/>
      <c r="DO132" s="166"/>
      <c r="DP132" s="157"/>
      <c r="DQ132" s="166"/>
      <c r="DR132" s="157"/>
      <c r="DS132" s="166"/>
      <c r="DT132" s="157"/>
      <c r="DU132" s="166"/>
      <c r="DV132" s="157"/>
      <c r="DW132" s="166"/>
      <c r="DX132" s="157"/>
      <c r="DY132" s="166"/>
      <c r="DZ132" s="157"/>
      <c r="EA132" s="166"/>
      <c r="EB132" s="157"/>
      <c r="EC132" s="166"/>
      <c r="ED132" s="157"/>
      <c r="EE132" s="166"/>
      <c r="EF132" s="157"/>
      <c r="EG132" s="166"/>
      <c r="EH132" s="157"/>
      <c r="EI132" s="166"/>
      <c r="EJ132" s="157"/>
      <c r="EK132" s="166"/>
      <c r="EL132" s="157"/>
      <c r="EM132" s="166"/>
      <c r="EN132" s="157"/>
      <c r="EO132" s="166"/>
      <c r="EP132" s="157"/>
      <c r="EQ132" s="166"/>
      <c r="ER132" s="157"/>
      <c r="ES132" s="166"/>
      <c r="ET132" s="157"/>
      <c r="EU132" s="166"/>
      <c r="EV132" s="157"/>
      <c r="EW132" s="166"/>
      <c r="EX132" s="157"/>
      <c r="EY132" s="166"/>
      <c r="EZ132" s="157"/>
      <c r="FA132" s="166"/>
      <c r="FB132" s="157"/>
      <c r="FC132" s="166"/>
      <c r="FD132" s="157"/>
      <c r="FE132" s="166"/>
      <c r="FF132" s="157"/>
      <c r="FG132" s="166"/>
      <c r="FH132" s="157"/>
      <c r="FI132" s="166"/>
      <c r="FJ132" s="157"/>
      <c r="FK132" s="166"/>
      <c r="FL132" s="157"/>
      <c r="FM132" s="166"/>
      <c r="FN132" s="157"/>
      <c r="FO132" s="166"/>
      <c r="FP132" s="157"/>
      <c r="FQ132" s="166"/>
      <c r="FR132" s="157"/>
      <c r="FS132" s="166"/>
      <c r="FT132" s="157"/>
      <c r="FU132" s="166"/>
      <c r="FV132" s="157"/>
      <c r="FW132" s="166"/>
      <c r="FX132" s="157"/>
      <c r="FY132" s="166"/>
      <c r="FZ132" s="157"/>
      <c r="GA132" s="166"/>
      <c r="GB132" s="157"/>
      <c r="GC132" s="166"/>
      <c r="GD132" s="157"/>
      <c r="GE132" s="166"/>
      <c r="GF132" s="157"/>
      <c r="GG132" s="166"/>
      <c r="GH132" s="166"/>
      <c r="GI132" s="157"/>
      <c r="GJ132" s="157"/>
      <c r="GK132" s="157"/>
      <c r="GL132" s="157"/>
      <c r="GM132" s="157"/>
      <c r="GN132" s="157"/>
      <c r="GO132" s="157"/>
      <c r="GP132" s="157"/>
      <c r="GQ132" s="157"/>
    </row>
    <row r="133" spans="1:199" ht="14.25" customHeight="1">
      <c r="A133" s="158"/>
      <c r="B133" s="157" t="s">
        <v>368</v>
      </c>
      <c r="C133" s="167">
        <f>SUM(C104)+C101+C105</f>
        <v>0</v>
      </c>
      <c r="D133" s="410"/>
      <c r="E133" s="167">
        <f>SUM(E104)+E101+E105</f>
        <v>0</v>
      </c>
      <c r="F133" s="410"/>
      <c r="G133" s="167">
        <f>SUM(G104)+G101+G105</f>
        <v>0</v>
      </c>
      <c r="H133" s="410"/>
      <c r="I133" s="167">
        <f>SUM(I104)+I101+I105</f>
        <v>0</v>
      </c>
      <c r="J133" s="410"/>
      <c r="K133" s="167">
        <f>SUM(K104)+K101+K105</f>
        <v>0</v>
      </c>
      <c r="L133" s="410"/>
      <c r="M133" s="167">
        <f>SUM(M104)+M101+M105</f>
        <v>0</v>
      </c>
      <c r="N133" s="410"/>
      <c r="O133" s="167">
        <v>0</v>
      </c>
      <c r="P133" s="410"/>
      <c r="Q133" s="167">
        <v>0</v>
      </c>
      <c r="R133" s="410"/>
      <c r="S133" s="167">
        <v>0</v>
      </c>
      <c r="T133" s="410"/>
      <c r="U133" s="167">
        <v>0</v>
      </c>
      <c r="V133" s="410"/>
      <c r="W133" s="418">
        <v>0</v>
      </c>
      <c r="X133" s="410"/>
      <c r="Y133" s="167">
        <v>0</v>
      </c>
      <c r="Z133" s="410"/>
      <c r="AA133" s="167">
        <v>0</v>
      </c>
      <c r="AB133" s="410"/>
      <c r="AC133" s="167">
        <f>SUM(AC104)+AC101+AC105</f>
        <v>0</v>
      </c>
      <c r="AD133" s="410"/>
      <c r="AE133" s="167">
        <f>SUM(AE104)+AE101+AE105</f>
        <v>0</v>
      </c>
      <c r="AF133" s="410"/>
      <c r="AG133" s="167">
        <f>SUM(AG104)+AG101+AG105</f>
        <v>0</v>
      </c>
      <c r="AH133" s="410"/>
      <c r="AI133" s="167">
        <v>0</v>
      </c>
      <c r="AJ133" s="410"/>
      <c r="AK133" s="167">
        <v>0</v>
      </c>
      <c r="AL133" s="410"/>
      <c r="AM133" s="167">
        <v>0</v>
      </c>
      <c r="AN133" s="410"/>
      <c r="AO133" s="167">
        <v>0</v>
      </c>
      <c r="AP133" s="410"/>
      <c r="AQ133" s="167">
        <v>0</v>
      </c>
      <c r="AR133" s="410"/>
      <c r="AS133" s="167">
        <v>0</v>
      </c>
      <c r="AT133" s="410"/>
      <c r="AU133" s="418">
        <v>0</v>
      </c>
      <c r="AV133" s="410"/>
      <c r="AW133" s="167">
        <v>0</v>
      </c>
      <c r="AX133" s="410"/>
      <c r="AY133" s="167">
        <v>0</v>
      </c>
      <c r="AZ133" s="410"/>
      <c r="BA133" s="167">
        <v>0</v>
      </c>
      <c r="BB133" s="410"/>
      <c r="BC133" s="167">
        <v>0</v>
      </c>
      <c r="BD133" s="410"/>
      <c r="BE133" s="167">
        <v>0</v>
      </c>
      <c r="BF133" s="410"/>
      <c r="BG133" s="167">
        <v>0</v>
      </c>
      <c r="BH133" s="410"/>
      <c r="BI133" s="167">
        <v>0</v>
      </c>
      <c r="BJ133" s="410"/>
      <c r="BK133" s="167">
        <v>0</v>
      </c>
      <c r="BL133" s="410"/>
      <c r="BM133" s="167">
        <v>0</v>
      </c>
      <c r="BN133" s="410"/>
      <c r="BO133" s="167">
        <v>0</v>
      </c>
      <c r="BP133" s="410"/>
      <c r="BQ133" s="167">
        <f>SUM(BQ104)+BQ101+BQ105</f>
        <v>0</v>
      </c>
      <c r="BR133" s="410"/>
      <c r="BS133" s="418">
        <v>0</v>
      </c>
      <c r="BT133" s="410"/>
      <c r="BU133" s="167">
        <f>SUM(BU104)+BU101+BU105</f>
        <v>0</v>
      </c>
      <c r="BV133" s="410"/>
      <c r="BW133" s="167">
        <v>7113192.6299999999</v>
      </c>
      <c r="BX133" s="410"/>
      <c r="BY133" s="167">
        <v>10927654.43</v>
      </c>
      <c r="BZ133" s="410"/>
      <c r="CA133" s="167">
        <v>11124600.93</v>
      </c>
      <c r="CB133" s="410"/>
      <c r="CC133" s="167">
        <v>10455931.109999999</v>
      </c>
      <c r="CD133" s="410"/>
      <c r="CE133" s="167">
        <v>9588283.1799999997</v>
      </c>
      <c r="CF133" s="410"/>
      <c r="CG133" s="167">
        <v>8796000.5700000003</v>
      </c>
      <c r="CH133" s="410"/>
      <c r="CI133" s="167">
        <v>15340363.449999999</v>
      </c>
      <c r="CJ133" s="410"/>
      <c r="CK133" s="167">
        <v>14514310.130000001</v>
      </c>
      <c r="CL133" s="410"/>
      <c r="CM133" s="167">
        <f>SUM(CM104)+CM101+CM105</f>
        <v>14099615.940000001</v>
      </c>
      <c r="CN133" s="410"/>
      <c r="CO133" s="167">
        <f>SUM(CO104)+CO101+CO105</f>
        <v>12928857.9</v>
      </c>
      <c r="CP133" s="410"/>
      <c r="CQ133" s="167">
        <f>SUM(CQ104)+CQ101+CQ105</f>
        <v>102618518.78999999</v>
      </c>
      <c r="CR133" s="410"/>
      <c r="CS133" s="167">
        <f>SUM(CS104)+CS101+CS105</f>
        <v>14529997.08</v>
      </c>
      <c r="CT133" s="157"/>
      <c r="CU133" s="166">
        <f>SUM(CU77:CU84)+CU101+CU105</f>
        <v>14366358.68</v>
      </c>
      <c r="CV133" s="157"/>
      <c r="CW133" s="166">
        <f>SUM(CW77:CW84)+CW101+CW105</f>
        <v>18606762.75</v>
      </c>
      <c r="CX133" s="157"/>
      <c r="CY133" s="166">
        <f>SUM(CY77:CY84)+CY101+CY105</f>
        <v>20542310.060000002</v>
      </c>
      <c r="CZ133" s="157"/>
      <c r="DA133" s="166">
        <f>SUM(DA77:DA84)+DA101+DA105</f>
        <v>25183198.729999997</v>
      </c>
      <c r="DB133" s="157"/>
      <c r="DC133" s="166">
        <f>SUM(DC77:DC84)+DC101+DC105</f>
        <v>26225263.219999999</v>
      </c>
      <c r="DD133" s="157"/>
      <c r="DE133" s="166">
        <f>SUM(DE77:DE84)+DE101+DE105</f>
        <v>26281479.170000002</v>
      </c>
      <c r="DF133" s="157"/>
      <c r="DG133" s="166">
        <f>SUM(DG77:DG84)+DG101+DG105</f>
        <v>25375431.630000003</v>
      </c>
      <c r="DH133" s="157"/>
      <c r="DI133" s="166">
        <f>SUM(DI77:DI84)+DI101+DI105</f>
        <v>28962932.390000001</v>
      </c>
      <c r="DJ133" s="157"/>
      <c r="DK133" s="166">
        <f>SUM(DK77:DK84)+DK101+DK105</f>
        <v>37919316.07</v>
      </c>
      <c r="DL133" s="157"/>
      <c r="DM133" s="166">
        <f>SUM(DM77:DM84)+DM101+DM105</f>
        <v>39959469.869999997</v>
      </c>
      <c r="DN133" s="157"/>
      <c r="DO133" s="166">
        <v>41826726.310000002</v>
      </c>
      <c r="DP133" s="157"/>
      <c r="DQ133" s="166">
        <v>41896501.019999996</v>
      </c>
      <c r="DR133" s="157"/>
      <c r="DS133" s="166">
        <v>40517065.978933334</v>
      </c>
      <c r="DT133" s="157"/>
      <c r="DU133" s="166">
        <v>46139959.389418967</v>
      </c>
      <c r="DV133" s="157"/>
      <c r="DW133" s="166">
        <v>69518953.914973691</v>
      </c>
      <c r="DX133" s="157"/>
      <c r="DY133" s="166">
        <v>71631473.469999999</v>
      </c>
      <c r="DZ133" s="157"/>
      <c r="EA133" s="166">
        <v>73912861.764024377</v>
      </c>
      <c r="EB133" s="157"/>
      <c r="EC133" s="166">
        <v>75140394.349999994</v>
      </c>
      <c r="ED133" s="157"/>
      <c r="EE133" s="166">
        <v>71878533.420000002</v>
      </c>
      <c r="EF133" s="157"/>
      <c r="EG133" s="167">
        <v>74311805.587147415</v>
      </c>
      <c r="EH133" s="157"/>
      <c r="EI133" s="167">
        <v>77879149.199999988</v>
      </c>
      <c r="EJ133" s="157"/>
      <c r="EK133" s="167">
        <v>76642781.629999995</v>
      </c>
      <c r="EL133" s="157"/>
      <c r="EM133" s="167">
        <v>72985577.75999999</v>
      </c>
      <c r="EN133" s="157"/>
      <c r="EO133" s="167">
        <v>67489125</v>
      </c>
      <c r="EP133" s="157"/>
      <c r="EQ133" s="166">
        <v>64993472.020000011</v>
      </c>
      <c r="ER133" s="166"/>
      <c r="ES133" s="166">
        <v>63229455.780000001</v>
      </c>
      <c r="ET133" s="166"/>
      <c r="EU133" s="166">
        <v>49875952.950000003</v>
      </c>
      <c r="EV133" s="166"/>
      <c r="EW133" s="166">
        <v>47881279.319999993</v>
      </c>
      <c r="EX133" s="166"/>
      <c r="EY133" s="166">
        <v>45432800.469999999</v>
      </c>
      <c r="EZ133" s="166"/>
      <c r="FA133" s="166">
        <v>46801173.469999999</v>
      </c>
      <c r="FB133" s="166"/>
      <c r="FC133" s="166">
        <v>47859067.260000005</v>
      </c>
      <c r="FD133" s="166"/>
      <c r="FE133" s="166">
        <v>45351811.719999999</v>
      </c>
      <c r="FF133" s="166"/>
      <c r="FG133" s="166">
        <v>44862603.659999996</v>
      </c>
      <c r="FH133" s="166"/>
      <c r="FI133" s="166">
        <v>43920546.870000005</v>
      </c>
      <c r="FJ133" s="166"/>
      <c r="FK133" s="166">
        <v>33321703.639999997</v>
      </c>
      <c r="FL133" s="166"/>
      <c r="FM133" s="166">
        <v>33112922.839999996</v>
      </c>
      <c r="FN133" s="166"/>
      <c r="FO133" s="166">
        <v>38579798.619999997</v>
      </c>
      <c r="FP133" s="166"/>
      <c r="FQ133" s="166">
        <v>23210195.460000001</v>
      </c>
      <c r="FR133" s="166"/>
      <c r="FS133" s="166">
        <v>23105491.73</v>
      </c>
      <c r="FT133" s="166"/>
      <c r="FU133" s="166">
        <v>10613362.610000001</v>
      </c>
      <c r="FV133" s="166"/>
      <c r="FW133" s="166">
        <v>11475974.739999998</v>
      </c>
      <c r="FX133" s="157"/>
      <c r="FY133" s="166">
        <v>10823876.309999999</v>
      </c>
      <c r="FZ133" s="166"/>
      <c r="GA133" s="166">
        <v>6631608.8899999987</v>
      </c>
      <c r="GB133" s="166"/>
      <c r="GC133" s="166">
        <v>5784685.1400000006</v>
      </c>
      <c r="GD133" s="157"/>
      <c r="GE133" s="166">
        <v>5672527.5200000005</v>
      </c>
      <c r="GF133" s="166"/>
      <c r="GG133" s="166">
        <v>5452142.5600000005</v>
      </c>
      <c r="GH133" s="166"/>
      <c r="GI133" s="191">
        <v>5435830.1199999992</v>
      </c>
      <c r="GJ133" s="157"/>
      <c r="GK133" s="191">
        <v>5448319.5799999991</v>
      </c>
      <c r="GL133" s="157"/>
      <c r="GM133" s="191">
        <v>5626853.7300000004</v>
      </c>
      <c r="GN133" s="157"/>
      <c r="GO133" s="191">
        <v>6206487.1400000006</v>
      </c>
      <c r="GP133" s="157"/>
      <c r="GQ133" s="191">
        <v>6332549.8200000003</v>
      </c>
    </row>
    <row r="134" spans="1:199" ht="14.25" customHeight="1">
      <c r="A134" s="158"/>
      <c r="B134" s="157" t="s">
        <v>369</v>
      </c>
      <c r="C134" s="167">
        <f>C127-C133</f>
        <v>1453516507.6200004</v>
      </c>
      <c r="D134" s="410"/>
      <c r="E134" s="167">
        <f>E127-E133</f>
        <v>1385975560.7300003</v>
      </c>
      <c r="F134" s="410"/>
      <c r="G134" s="167">
        <f>G127-G133</f>
        <v>1312258042.95</v>
      </c>
      <c r="H134" s="410"/>
      <c r="I134" s="167">
        <f>I127-I133</f>
        <v>1315556003.1300001</v>
      </c>
      <c r="J134" s="410"/>
      <c r="K134" s="167">
        <f>K127-K133</f>
        <v>1451037997.9600003</v>
      </c>
      <c r="L134" s="410"/>
      <c r="M134" s="167">
        <f>M127-M133</f>
        <v>1488790267.6999998</v>
      </c>
      <c r="N134" s="410"/>
      <c r="O134" s="167">
        <v>1525445482.7199998</v>
      </c>
      <c r="P134" s="410"/>
      <c r="Q134" s="167">
        <v>1527243159.8899999</v>
      </c>
      <c r="R134" s="410"/>
      <c r="S134" s="167">
        <v>1588885000.3099999</v>
      </c>
      <c r="T134" s="410"/>
      <c r="U134" s="167">
        <v>1309023702.1800001</v>
      </c>
      <c r="V134" s="410"/>
      <c r="W134" s="418">
        <v>1520757320.6200001</v>
      </c>
      <c r="X134" s="410"/>
      <c r="Y134" s="167">
        <v>1529958415.1599996</v>
      </c>
      <c r="Z134" s="410"/>
      <c r="AA134" s="167">
        <v>1541028086.4299998</v>
      </c>
      <c r="AB134" s="410"/>
      <c r="AC134" s="167">
        <f>AC127-AC133</f>
        <v>1586636770.05</v>
      </c>
      <c r="AD134" s="410"/>
      <c r="AE134" s="167">
        <f>AE127-AE133</f>
        <v>1605792686.0799999</v>
      </c>
      <c r="AF134" s="410"/>
      <c r="AG134" s="167">
        <f>AG127-AG133</f>
        <v>1492166276.8899999</v>
      </c>
      <c r="AH134" s="410"/>
      <c r="AI134" s="167">
        <v>1541001062.0699999</v>
      </c>
      <c r="AJ134" s="410"/>
      <c r="AK134" s="167">
        <v>1379554952.7199998</v>
      </c>
      <c r="AL134" s="410"/>
      <c r="AM134" s="167">
        <v>1387972321.8099999</v>
      </c>
      <c r="AN134" s="410"/>
      <c r="AO134" s="167">
        <v>1332765800.0699999</v>
      </c>
      <c r="AP134" s="410"/>
      <c r="AQ134" s="167">
        <v>1207674675.2800002</v>
      </c>
      <c r="AR134" s="410"/>
      <c r="AS134" s="167">
        <v>1128054978.1799998</v>
      </c>
      <c r="AT134" s="410"/>
      <c r="AU134" s="418">
        <v>1020565156.8199999</v>
      </c>
      <c r="AV134" s="410"/>
      <c r="AW134" s="167">
        <v>1014674679.61</v>
      </c>
      <c r="AX134" s="410"/>
      <c r="AY134" s="167">
        <v>1034568780.48</v>
      </c>
      <c r="AZ134" s="410"/>
      <c r="BA134" s="167">
        <v>863625628.53999996</v>
      </c>
      <c r="BB134" s="410"/>
      <c r="BC134" s="167">
        <v>854111277.80999994</v>
      </c>
      <c r="BD134" s="410"/>
      <c r="BE134" s="167">
        <v>756178492.36000001</v>
      </c>
      <c r="BF134" s="410"/>
      <c r="BG134" s="167">
        <v>605116187.63</v>
      </c>
      <c r="BH134" s="410"/>
      <c r="BI134" s="167">
        <v>582429427.04999995</v>
      </c>
      <c r="BJ134" s="410"/>
      <c r="BK134" s="167">
        <v>560835759.79999995</v>
      </c>
      <c r="BL134" s="410"/>
      <c r="BM134" s="167">
        <v>570799986.45999992</v>
      </c>
      <c r="BN134" s="410"/>
      <c r="BO134" s="167">
        <v>550462897.40999997</v>
      </c>
      <c r="BP134" s="410"/>
      <c r="BQ134" s="167">
        <f>BQ127-BQ133</f>
        <v>585956170.07999992</v>
      </c>
      <c r="BR134" s="410"/>
      <c r="BS134" s="418">
        <v>487797589.54999995</v>
      </c>
      <c r="BT134" s="410"/>
      <c r="BU134" s="167">
        <f>BU127-BU133</f>
        <v>535930260.44</v>
      </c>
      <c r="BV134" s="410"/>
      <c r="BW134" s="167">
        <v>600274643.59000003</v>
      </c>
      <c r="BX134" s="410"/>
      <c r="BY134" s="167">
        <v>594081254.54000008</v>
      </c>
      <c r="BZ134" s="410"/>
      <c r="CA134" s="167">
        <v>503865177.20000011</v>
      </c>
      <c r="CB134" s="410"/>
      <c r="CC134" s="167">
        <v>507839565.10999995</v>
      </c>
      <c r="CD134" s="410"/>
      <c r="CE134" s="167">
        <v>533883379.20999998</v>
      </c>
      <c r="CF134" s="410"/>
      <c r="CG134" s="167">
        <v>539000166.43999994</v>
      </c>
      <c r="CH134" s="410"/>
      <c r="CI134" s="167">
        <v>429738622.13999999</v>
      </c>
      <c r="CJ134" s="410"/>
      <c r="CK134" s="167">
        <v>426659962.93000007</v>
      </c>
      <c r="CL134" s="410"/>
      <c r="CM134" s="167">
        <f>CM127-CM133</f>
        <v>422233752.73000002</v>
      </c>
      <c r="CN134" s="410"/>
      <c r="CO134" s="167">
        <f>CO127-CO133</f>
        <v>424115702.65999997</v>
      </c>
      <c r="CP134" s="410"/>
      <c r="CQ134" s="167">
        <f>CQ127-CQ133</f>
        <v>385334090.08000004</v>
      </c>
      <c r="CR134" s="410"/>
      <c r="CS134" s="167">
        <f>CS127-CS133</f>
        <v>392879848.91000003</v>
      </c>
      <c r="CT134" s="157"/>
      <c r="CU134" s="166">
        <f>CU127-CU133</f>
        <v>368518604.52999991</v>
      </c>
      <c r="CV134" s="157"/>
      <c r="CW134" s="166">
        <f>CW127-CW133</f>
        <v>374014084.00999999</v>
      </c>
      <c r="CX134" s="157"/>
      <c r="CY134" s="166">
        <f>CY127-CY133</f>
        <v>370551398.31</v>
      </c>
      <c r="CZ134" s="157"/>
      <c r="DA134" s="166">
        <f>DA127-DA133</f>
        <v>282038860.40999997</v>
      </c>
      <c r="DB134" s="157"/>
      <c r="DC134" s="166">
        <f>DC127-DC133</f>
        <v>281749721.88</v>
      </c>
      <c r="DD134" s="157"/>
      <c r="DE134" s="166">
        <f>DE127-DE133</f>
        <v>246074767.56999999</v>
      </c>
      <c r="DF134" s="157"/>
      <c r="DG134" s="166">
        <f>DG127-DG133</f>
        <v>211091462.96000001</v>
      </c>
      <c r="DH134" s="157"/>
      <c r="DI134" s="166">
        <f>DI127-DI133</f>
        <v>172762567.12</v>
      </c>
      <c r="DJ134" s="157"/>
      <c r="DK134" s="166">
        <f>DK127-DK133</f>
        <v>170813726.78</v>
      </c>
      <c r="DL134" s="157"/>
      <c r="DM134" s="166">
        <f>DM127-DM133</f>
        <v>150862776.65000001</v>
      </c>
      <c r="DN134" s="157"/>
      <c r="DO134" s="166">
        <v>150580516.07999998</v>
      </c>
      <c r="DP134" s="157"/>
      <c r="DQ134" s="166">
        <v>119670600.28000002</v>
      </c>
      <c r="DR134" s="157"/>
      <c r="DS134" s="166">
        <v>119321513.13333336</v>
      </c>
      <c r="DT134" s="157"/>
      <c r="DU134" s="166">
        <v>126942668.93000001</v>
      </c>
      <c r="DV134" s="157"/>
      <c r="DW134" s="166">
        <v>125606224.21888889</v>
      </c>
      <c r="DX134" s="157"/>
      <c r="DY134" s="166">
        <v>138424635.44999999</v>
      </c>
      <c r="DZ134" s="157"/>
      <c r="EA134" s="166">
        <v>87826510.269999981</v>
      </c>
      <c r="EB134" s="157"/>
      <c r="EC134" s="166">
        <v>86802542.620000035</v>
      </c>
      <c r="ED134" s="157"/>
      <c r="EE134" s="166">
        <v>86754031.320000008</v>
      </c>
      <c r="EF134" s="157"/>
      <c r="EG134" s="167">
        <v>95390871.409999996</v>
      </c>
      <c r="EH134" s="157"/>
      <c r="EI134" s="167">
        <v>94251624.689999998</v>
      </c>
      <c r="EJ134" s="157"/>
      <c r="EK134" s="167">
        <v>95737215.150000006</v>
      </c>
      <c r="EL134" s="157"/>
      <c r="EM134" s="167">
        <v>95153384.930000007</v>
      </c>
      <c r="EN134" s="157"/>
      <c r="EO134" s="167">
        <v>97284307.38000001</v>
      </c>
      <c r="EP134" s="157"/>
      <c r="EQ134" s="166">
        <v>96939892.877000004</v>
      </c>
      <c r="ER134" s="166"/>
      <c r="ES134" s="166">
        <v>67150920.629999995</v>
      </c>
      <c r="ET134" s="166"/>
      <c r="EU134" s="166">
        <v>37095867.480000004</v>
      </c>
      <c r="EV134" s="166"/>
      <c r="EW134" s="166">
        <v>15624154.48</v>
      </c>
      <c r="EX134" s="166"/>
      <c r="EY134" s="166">
        <v>15389628.370000001</v>
      </c>
      <c r="EZ134" s="166"/>
      <c r="FA134" s="166">
        <v>18327001.57</v>
      </c>
      <c r="FB134" s="166"/>
      <c r="FC134" s="166">
        <v>22730551.770000003</v>
      </c>
      <c r="FD134" s="166"/>
      <c r="FE134" s="166">
        <v>22406062.579999998</v>
      </c>
      <c r="FF134" s="166"/>
      <c r="FG134" s="166">
        <v>22105414.390000001</v>
      </c>
      <c r="FH134" s="166"/>
      <c r="FI134" s="166">
        <v>22350266.349999998</v>
      </c>
      <c r="FJ134" s="166"/>
      <c r="FK134" s="166">
        <v>22605458.68</v>
      </c>
      <c r="FL134" s="166"/>
      <c r="FM134" s="166">
        <v>22866241.630000003</v>
      </c>
      <c r="FN134" s="166"/>
      <c r="FO134" s="166">
        <v>22586623.340000004</v>
      </c>
      <c r="FP134" s="166"/>
      <c r="FQ134" s="166">
        <v>22325613.170000002</v>
      </c>
      <c r="FR134" s="166"/>
      <c r="FS134" s="166">
        <v>24625693.080000002</v>
      </c>
      <c r="FT134" s="166"/>
      <c r="FU134" s="166">
        <v>16370615.109999999</v>
      </c>
      <c r="FV134" s="166"/>
      <c r="FW134" s="166">
        <v>11366728.32</v>
      </c>
      <c r="FX134" s="157"/>
      <c r="FY134" s="166">
        <v>8220727.29</v>
      </c>
      <c r="FZ134" s="166"/>
      <c r="GA134" s="166">
        <v>7767615.1400000006</v>
      </c>
      <c r="GB134" s="166"/>
      <c r="GC134" s="166">
        <v>8059414.0600000005</v>
      </c>
      <c r="GD134" s="157"/>
      <c r="GE134" s="166">
        <v>6964314.5</v>
      </c>
      <c r="GF134" s="166"/>
      <c r="GG134" s="166">
        <v>6873171.1500000004</v>
      </c>
      <c r="GH134" s="166"/>
      <c r="GI134" s="191">
        <v>6787601.6799999997</v>
      </c>
      <c r="GJ134" s="157"/>
      <c r="GK134" s="191">
        <v>3037225.59</v>
      </c>
      <c r="GL134" s="157"/>
      <c r="GM134" s="191">
        <v>3275569.77</v>
      </c>
      <c r="GN134" s="157"/>
      <c r="GO134" s="191">
        <v>4580878.83</v>
      </c>
      <c r="GP134" s="157"/>
      <c r="GQ134" s="191">
        <v>4035231.57</v>
      </c>
    </row>
    <row r="135" spans="1:199" ht="14.25" customHeight="1">
      <c r="A135" s="158"/>
      <c r="B135" s="157"/>
      <c r="C135" s="535"/>
      <c r="D135" s="410"/>
      <c r="E135" s="535"/>
      <c r="F135" s="410"/>
      <c r="G135" s="535"/>
      <c r="H135" s="410"/>
      <c r="I135" s="535"/>
      <c r="J135" s="410"/>
      <c r="K135" s="535"/>
      <c r="L135" s="410"/>
      <c r="M135" s="535"/>
      <c r="N135" s="410"/>
      <c r="O135" s="535"/>
      <c r="P135" s="410"/>
      <c r="Q135" s="535"/>
      <c r="R135" s="410"/>
      <c r="S135" s="535"/>
      <c r="T135" s="410"/>
      <c r="U135" s="535"/>
      <c r="V135" s="410"/>
      <c r="W135" s="984"/>
      <c r="X135" s="410"/>
      <c r="Y135" s="535"/>
      <c r="Z135" s="410"/>
      <c r="AA135" s="535"/>
      <c r="AB135" s="410"/>
      <c r="AC135" s="535"/>
      <c r="AD135" s="410"/>
      <c r="AE135" s="535"/>
      <c r="AF135" s="410"/>
      <c r="AG135" s="535"/>
      <c r="AH135" s="410"/>
      <c r="AI135" s="535"/>
      <c r="AJ135" s="410"/>
      <c r="AK135" s="535"/>
      <c r="AL135" s="410"/>
      <c r="AM135" s="535"/>
      <c r="AN135" s="410"/>
      <c r="AO135" s="535"/>
      <c r="AP135" s="410"/>
      <c r="AQ135" s="535"/>
      <c r="AR135" s="410"/>
      <c r="AS135" s="535"/>
      <c r="AT135" s="410"/>
      <c r="AU135" s="984"/>
      <c r="AV135" s="410"/>
      <c r="AW135" s="535"/>
      <c r="AX135" s="410"/>
      <c r="AY135" s="535"/>
      <c r="AZ135" s="410"/>
      <c r="BA135" s="535"/>
      <c r="BB135" s="410"/>
      <c r="BC135" s="535"/>
      <c r="BD135" s="410"/>
      <c r="BE135" s="535"/>
      <c r="BF135" s="410"/>
      <c r="BG135" s="759"/>
      <c r="BH135" s="410"/>
      <c r="BI135" s="535"/>
      <c r="BJ135" s="410"/>
      <c r="BK135" s="535"/>
      <c r="BL135" s="410"/>
      <c r="BM135" s="535"/>
      <c r="BN135" s="410"/>
      <c r="BO135" s="535"/>
      <c r="BP135" s="410"/>
      <c r="BQ135" s="535"/>
      <c r="BR135" s="410"/>
      <c r="BS135" s="984"/>
      <c r="BT135" s="410"/>
      <c r="BU135" s="535"/>
      <c r="BV135" s="410"/>
      <c r="BW135" s="166"/>
      <c r="BX135" s="410"/>
      <c r="BY135" s="166"/>
      <c r="BZ135" s="410"/>
      <c r="CA135" s="166"/>
      <c r="CB135" s="410"/>
      <c r="CC135" s="166"/>
      <c r="CD135" s="410"/>
      <c r="CE135" s="166"/>
      <c r="CF135" s="410"/>
      <c r="CG135" s="166"/>
      <c r="CH135" s="410"/>
      <c r="CI135" s="166"/>
      <c r="CJ135" s="410"/>
      <c r="CK135" s="166"/>
      <c r="CL135" s="410"/>
      <c r="CM135" s="166"/>
      <c r="CN135" s="410"/>
      <c r="CO135" s="166"/>
      <c r="CP135" s="410"/>
      <c r="CQ135" s="166"/>
      <c r="CR135" s="410"/>
      <c r="CS135" s="166"/>
      <c r="CT135" s="157"/>
      <c r="CU135" s="166"/>
      <c r="CV135" s="157"/>
      <c r="CW135" s="166"/>
      <c r="CX135" s="157"/>
      <c r="CY135" s="166"/>
      <c r="CZ135" s="157"/>
      <c r="DA135" s="166"/>
      <c r="DB135" s="157"/>
      <c r="DC135" s="166"/>
      <c r="DD135" s="157"/>
      <c r="DE135" s="166"/>
      <c r="DF135" s="157"/>
      <c r="DG135" s="166"/>
      <c r="DH135" s="157"/>
      <c r="DI135" s="166"/>
      <c r="DJ135" s="157"/>
      <c r="DK135" s="166"/>
      <c r="DL135" s="157"/>
      <c r="DM135" s="166"/>
      <c r="DN135" s="157"/>
      <c r="DO135" s="166"/>
      <c r="DP135" s="157"/>
      <c r="DQ135" s="166"/>
      <c r="DR135" s="157"/>
      <c r="DS135" s="166"/>
      <c r="DT135" s="157"/>
      <c r="DU135" s="166"/>
      <c r="DV135" s="157"/>
      <c r="DW135" s="166"/>
      <c r="DX135" s="157"/>
      <c r="DY135" s="166"/>
      <c r="DZ135" s="157"/>
      <c r="EA135" s="166"/>
      <c r="EB135" s="157"/>
      <c r="EC135" s="166"/>
      <c r="ED135" s="157"/>
      <c r="EE135" s="166"/>
      <c r="EF135" s="157"/>
      <c r="EG135" s="166"/>
      <c r="EH135" s="157"/>
      <c r="EI135" s="166"/>
      <c r="EJ135" s="157"/>
      <c r="EK135" s="166"/>
      <c r="EL135" s="157"/>
      <c r="EM135" s="166"/>
      <c r="EN135" s="157"/>
      <c r="EO135" s="166"/>
      <c r="EP135" s="157"/>
      <c r="EQ135" s="166"/>
      <c r="ER135" s="166"/>
      <c r="ES135" s="166"/>
      <c r="ET135" s="166"/>
      <c r="EU135" s="166"/>
      <c r="EV135" s="166"/>
      <c r="EW135" s="166"/>
      <c r="EX135" s="166"/>
      <c r="EY135" s="166"/>
      <c r="EZ135" s="166"/>
      <c r="FA135" s="166"/>
      <c r="FB135" s="157"/>
      <c r="FC135" s="166"/>
      <c r="FD135" s="157"/>
      <c r="FE135" s="166"/>
      <c r="FF135" s="157"/>
      <c r="FG135" s="166"/>
      <c r="FH135" s="157"/>
      <c r="FI135" s="166"/>
      <c r="FJ135" s="157"/>
      <c r="FK135" s="166"/>
      <c r="FL135" s="157"/>
      <c r="FM135" s="166"/>
      <c r="FN135" s="157"/>
      <c r="FO135" s="166"/>
      <c r="FP135" s="157"/>
      <c r="FQ135" s="166"/>
      <c r="FR135" s="157"/>
      <c r="FS135" s="166"/>
      <c r="FT135" s="157"/>
      <c r="FU135" s="166"/>
      <c r="FV135" s="157"/>
      <c r="FW135" s="166"/>
      <c r="FX135" s="157"/>
      <c r="FY135" s="166"/>
      <c r="FZ135" s="157"/>
      <c r="GA135" s="166"/>
      <c r="GB135" s="157"/>
      <c r="GC135" s="166"/>
      <c r="GD135" s="157"/>
      <c r="GE135" s="166"/>
      <c r="GF135" s="157"/>
      <c r="GG135" s="166"/>
      <c r="GH135" s="166"/>
      <c r="GI135" s="157"/>
      <c r="GJ135" s="157"/>
      <c r="GK135" s="157"/>
      <c r="GL135" s="157"/>
      <c r="GM135" s="157"/>
      <c r="GN135" s="157"/>
      <c r="GO135" s="157"/>
      <c r="GP135" s="157"/>
      <c r="GQ135" s="157"/>
    </row>
    <row r="136" spans="1:199" ht="14.25" customHeight="1">
      <c r="A136" s="158"/>
      <c r="B136" s="157" t="s">
        <v>370</v>
      </c>
      <c r="C136" s="447">
        <v>137751938.29166666</v>
      </c>
      <c r="D136" s="410"/>
      <c r="E136" s="447">
        <v>137751938.29166666</v>
      </c>
      <c r="F136" s="410"/>
      <c r="G136" s="447">
        <v>137751938.29166666</v>
      </c>
      <c r="H136" s="410"/>
      <c r="I136" s="447">
        <v>137751938.29166666</v>
      </c>
      <c r="J136" s="410"/>
      <c r="K136" s="447">
        <v>-40159909</v>
      </c>
      <c r="L136" s="410"/>
      <c r="M136" s="447">
        <v>0</v>
      </c>
      <c r="N136" s="410"/>
      <c r="O136" s="447">
        <v>0</v>
      </c>
      <c r="P136" s="410"/>
      <c r="Q136" s="447">
        <v>0</v>
      </c>
      <c r="R136" s="410"/>
      <c r="S136" s="447">
        <v>187497750</v>
      </c>
      <c r="T136" s="410"/>
      <c r="U136" s="447">
        <v>91083572.24000001</v>
      </c>
      <c r="V136" s="410"/>
      <c r="W136" s="1025">
        <v>-16159909.09</v>
      </c>
      <c r="X136" s="410"/>
      <c r="Y136" s="447">
        <v>-17679318.468819398</v>
      </c>
      <c r="Z136" s="410"/>
      <c r="AA136" s="447">
        <v>0</v>
      </c>
      <c r="AB136" s="410"/>
      <c r="AC136" s="447">
        <v>0</v>
      </c>
      <c r="AD136" s="410"/>
      <c r="AE136" s="962">
        <v>174788250</v>
      </c>
      <c r="AF136" s="410"/>
      <c r="AG136" s="962">
        <v>0</v>
      </c>
      <c r="AH136" s="410"/>
      <c r="AI136" s="962">
        <v>150332770.25999999</v>
      </c>
      <c r="AJ136" s="410"/>
      <c r="AK136" s="904">
        <v>-17887104.16</v>
      </c>
      <c r="AL136" s="410"/>
      <c r="AM136" s="904">
        <v>69568500</v>
      </c>
      <c r="AN136" s="410"/>
      <c r="AO136" s="904">
        <v>111882000</v>
      </c>
      <c r="AP136" s="410"/>
      <c r="AQ136" s="904">
        <v>80865812.5</v>
      </c>
      <c r="AR136" s="410"/>
      <c r="AS136" s="904">
        <v>112400000</v>
      </c>
      <c r="AT136" s="410"/>
      <c r="AU136" s="1179">
        <v>0</v>
      </c>
      <c r="AV136" s="410"/>
      <c r="AW136" s="880">
        <v>-22300854.16</v>
      </c>
      <c r="AX136" s="410"/>
      <c r="AY136" s="880">
        <v>174301369.49832201</v>
      </c>
      <c r="AZ136" s="410"/>
      <c r="BA136" s="875">
        <v>0</v>
      </c>
      <c r="BB136" s="410"/>
      <c r="BC136" s="743">
        <v>99323156.237047225</v>
      </c>
      <c r="BD136" s="410"/>
      <c r="BE136" s="743">
        <v>148853008.55833301</v>
      </c>
      <c r="BF136" s="410"/>
      <c r="BG136" s="743">
        <v>28565000</v>
      </c>
      <c r="BH136" s="410"/>
      <c r="BI136" s="743">
        <v>16581747.743072927</v>
      </c>
      <c r="BJ136" s="410"/>
      <c r="BK136" s="743">
        <v>-11892000</v>
      </c>
      <c r="BL136" s="410"/>
      <c r="BM136" s="743">
        <v>14441768.24</v>
      </c>
      <c r="BN136" s="410"/>
      <c r="BO136" s="743">
        <v>-34043409.556250006</v>
      </c>
      <c r="BP136" s="410"/>
      <c r="BQ136" s="743">
        <f>99750000-1246875</f>
        <v>98503125</v>
      </c>
      <c r="BR136" s="410"/>
      <c r="BS136" s="1173">
        <v>-24132499.71833333</v>
      </c>
      <c r="BT136" s="410"/>
      <c r="BU136" s="198">
        <v>429241311.88333333</v>
      </c>
      <c r="BV136" s="410"/>
      <c r="BW136" s="198">
        <v>-3889032</v>
      </c>
      <c r="BX136" s="410"/>
      <c r="BY136" s="198">
        <v>86682278</v>
      </c>
      <c r="BZ136" s="410"/>
      <c r="CA136" s="547">
        <v>-4413750</v>
      </c>
      <c r="CB136" s="410"/>
      <c r="CC136" s="547">
        <v>-25000000</v>
      </c>
      <c r="CD136" s="410"/>
      <c r="CE136" s="547">
        <v>-7500000</v>
      </c>
      <c r="CF136" s="410"/>
      <c r="CG136" s="198">
        <v>110374251.08423489</v>
      </c>
      <c r="CH136" s="410"/>
      <c r="CI136" s="198">
        <v>0</v>
      </c>
      <c r="CJ136" s="410"/>
      <c r="CK136" s="198">
        <v>0</v>
      </c>
      <c r="CL136" s="410"/>
      <c r="CM136" s="198">
        <v>0</v>
      </c>
      <c r="CN136" s="410"/>
      <c r="CO136" s="198">
        <f>-28564875+63500000</f>
        <v>34935125</v>
      </c>
      <c r="CP136" s="410"/>
      <c r="CQ136" s="198">
        <f>-14061463.81+45854421.46</f>
        <v>31792957.649999999</v>
      </c>
      <c r="CR136" s="410"/>
      <c r="CS136" s="198">
        <f>-(1725000*3+3725000)+37763500+45345000</f>
        <v>74208500</v>
      </c>
      <c r="CT136" s="157"/>
      <c r="CU136" s="198">
        <f>-3993750-7933333.33</f>
        <v>-11927083.33</v>
      </c>
      <c r="CV136" s="157"/>
      <c r="CW136" s="198">
        <f>-1750010.9-836797.9</f>
        <v>-2586808.7999999998</v>
      </c>
      <c r="CX136" s="157"/>
      <c r="CY136" s="191">
        <f>CY88-1150000</f>
        <v>100105671.64</v>
      </c>
      <c r="CZ136" s="157"/>
      <c r="DA136" s="191">
        <v>-1929840</v>
      </c>
      <c r="DB136" s="157"/>
      <c r="DC136" s="191">
        <v>33543344</v>
      </c>
      <c r="DD136" s="157"/>
      <c r="DE136" s="191">
        <v>36150047.539999999</v>
      </c>
      <c r="DF136" s="157"/>
      <c r="DG136" s="191">
        <f>DG107-7500000-4630625</f>
        <v>32418302.439999998</v>
      </c>
      <c r="DH136" s="157"/>
      <c r="DI136" s="191">
        <v>-8230996</v>
      </c>
      <c r="DJ136" s="157"/>
      <c r="DK136" s="191">
        <f>35310000-11500000</f>
        <v>23810000</v>
      </c>
      <c r="DL136" s="157"/>
      <c r="DM136" s="191">
        <v>0</v>
      </c>
      <c r="DN136" s="157"/>
      <c r="DO136" s="191">
        <v>29700000</v>
      </c>
      <c r="DP136" s="157"/>
      <c r="DQ136" s="198">
        <v>0</v>
      </c>
      <c r="DR136" s="157"/>
      <c r="DS136" s="198">
        <v>-13291150.098724592</v>
      </c>
      <c r="DT136" s="157"/>
      <c r="DU136" s="198">
        <v>-17052217.809263241</v>
      </c>
      <c r="DV136" s="157"/>
      <c r="DW136" s="198">
        <v>-10000000</v>
      </c>
      <c r="DX136" s="157"/>
      <c r="DY136" s="191">
        <v>47658000</v>
      </c>
      <c r="DZ136" s="157"/>
      <c r="EA136" s="191">
        <v>0</v>
      </c>
      <c r="EB136" s="157"/>
      <c r="EC136" s="191">
        <v>0</v>
      </c>
      <c r="ED136" s="157"/>
      <c r="EE136" s="191">
        <v>0</v>
      </c>
      <c r="EF136" s="157"/>
      <c r="EG136" s="191">
        <v>0</v>
      </c>
      <c r="EH136" s="157"/>
      <c r="EI136" s="191">
        <v>0</v>
      </c>
      <c r="EJ136" s="157"/>
      <c r="EK136" s="191">
        <v>0</v>
      </c>
      <c r="EL136" s="157"/>
      <c r="EM136" s="191">
        <v>0</v>
      </c>
      <c r="EN136" s="157"/>
      <c r="EO136" s="191">
        <v>0</v>
      </c>
      <c r="EP136" s="157"/>
      <c r="EQ136" s="191">
        <v>30372175.530000001</v>
      </c>
      <c r="ER136" s="191"/>
      <c r="ES136" s="191">
        <v>43170187.040000007</v>
      </c>
      <c r="ET136" s="191"/>
      <c r="EU136" s="191">
        <v>24494016.18</v>
      </c>
      <c r="EV136" s="191"/>
      <c r="EW136" s="191">
        <v>3153393.5499999989</v>
      </c>
      <c r="EX136" s="191"/>
      <c r="EY136" s="191">
        <v>-5838724.8799999999</v>
      </c>
      <c r="EZ136" s="191"/>
      <c r="FA136" s="191">
        <v>0</v>
      </c>
      <c r="FB136" s="157"/>
      <c r="FC136" s="191">
        <v>4134538.44</v>
      </c>
      <c r="FD136" s="157"/>
      <c r="FE136" s="191">
        <v>0</v>
      </c>
      <c r="FF136" s="157"/>
      <c r="FG136" s="191">
        <v>0</v>
      </c>
      <c r="FH136" s="157"/>
      <c r="FI136" s="191">
        <v>10967079.279999999</v>
      </c>
      <c r="FJ136" s="157"/>
      <c r="FK136" s="191">
        <v>-52002.15000000596</v>
      </c>
      <c r="FL136" s="157"/>
      <c r="FM136" s="191">
        <v>-5187257.4899999946</v>
      </c>
      <c r="FN136" s="157"/>
      <c r="FO136" s="191">
        <v>15630613.329999991</v>
      </c>
      <c r="FP136" s="157"/>
      <c r="FQ136" s="191">
        <v>-2195376.1799999997</v>
      </c>
      <c r="FR136" s="157"/>
      <c r="FS136" s="191">
        <v>20747207.090000004</v>
      </c>
      <c r="FT136" s="157"/>
      <c r="FU136" s="191">
        <v>4768321.68</v>
      </c>
      <c r="FV136" s="157"/>
      <c r="FW136" s="191">
        <v>3500000</v>
      </c>
      <c r="FX136" s="157"/>
      <c r="FY136" s="191">
        <v>4583577.5999999996</v>
      </c>
      <c r="FZ136" s="157"/>
      <c r="GA136" s="191"/>
      <c r="GB136" s="157"/>
      <c r="GC136" s="191"/>
      <c r="GD136" s="157"/>
      <c r="GE136" s="191"/>
      <c r="GF136" s="157"/>
      <c r="GG136" s="191"/>
      <c r="GH136" s="191"/>
      <c r="GI136" s="191">
        <v>3730040.22</v>
      </c>
      <c r="GJ136" s="157"/>
      <c r="GK136" s="157"/>
      <c r="GL136" s="157"/>
      <c r="GM136" s="191">
        <v>-1500000</v>
      </c>
      <c r="GN136" s="157"/>
      <c r="GO136" s="157"/>
      <c r="GP136" s="157"/>
      <c r="GQ136" s="191">
        <v>2828617.02</v>
      </c>
    </row>
    <row r="137" spans="1:199" ht="14.25" customHeight="1">
      <c r="A137" s="158"/>
      <c r="B137" s="157"/>
      <c r="C137" s="644"/>
      <c r="D137" s="837"/>
      <c r="E137" s="644"/>
      <c r="F137" s="837"/>
      <c r="G137" s="644"/>
      <c r="H137" s="837"/>
      <c r="I137" s="644"/>
      <c r="J137" s="837"/>
      <c r="K137" s="644"/>
      <c r="L137" s="837"/>
      <c r="M137" s="644"/>
      <c r="N137" s="837"/>
      <c r="O137" s="644"/>
      <c r="P137" s="837"/>
      <c r="Q137" s="644"/>
      <c r="R137" s="837"/>
      <c r="S137" s="644"/>
      <c r="T137" s="837"/>
      <c r="U137" s="644"/>
      <c r="V137" s="837"/>
      <c r="W137" s="1174"/>
      <c r="X137" s="837"/>
      <c r="Y137" s="644"/>
      <c r="Z137" s="837"/>
      <c r="AA137" s="644"/>
      <c r="AB137" s="837"/>
      <c r="AC137" s="644"/>
      <c r="AD137" s="837"/>
      <c r="AE137" s="644"/>
      <c r="AF137" s="837"/>
      <c r="AG137" s="644"/>
      <c r="AH137" s="837"/>
      <c r="AI137" s="644"/>
      <c r="AJ137" s="837"/>
      <c r="AK137" s="644"/>
      <c r="AL137" s="837"/>
      <c r="AM137" s="644"/>
      <c r="AN137" s="837"/>
      <c r="AO137" s="644"/>
      <c r="AP137" s="837"/>
      <c r="AQ137" s="644"/>
      <c r="AR137" s="837"/>
      <c r="AS137" s="644"/>
      <c r="AT137" s="837"/>
      <c r="AU137" s="1174"/>
      <c r="AV137" s="410"/>
      <c r="AW137" s="644"/>
      <c r="AX137" s="410"/>
      <c r="AY137" s="644"/>
      <c r="AZ137" s="410"/>
      <c r="BA137" s="644"/>
      <c r="BB137" s="410"/>
      <c r="BC137" s="644"/>
      <c r="BD137" s="410"/>
      <c r="BE137" s="644"/>
      <c r="BF137" s="410"/>
      <c r="BG137" s="644"/>
      <c r="BH137" s="410"/>
      <c r="BI137" s="644"/>
      <c r="BJ137" s="410"/>
      <c r="BK137" s="644"/>
      <c r="BL137" s="410"/>
      <c r="BM137" s="644"/>
      <c r="BN137" s="410"/>
      <c r="BO137" s="644"/>
      <c r="BP137" s="410"/>
      <c r="BQ137" s="644"/>
      <c r="BR137" s="410"/>
      <c r="BS137" s="1174"/>
      <c r="BT137" s="410"/>
      <c r="BU137" s="644"/>
      <c r="BV137" s="410"/>
      <c r="BW137" s="211"/>
      <c r="BX137" s="410"/>
      <c r="BY137" s="211"/>
      <c r="BZ137" s="410"/>
      <c r="CA137" s="211"/>
      <c r="CB137" s="410"/>
      <c r="CC137" s="211"/>
      <c r="CD137" s="410"/>
      <c r="CE137" s="211"/>
      <c r="CF137" s="410"/>
      <c r="CG137" s="211"/>
      <c r="CH137" s="410"/>
      <c r="CI137" s="211"/>
      <c r="CJ137" s="410"/>
      <c r="CK137" s="211"/>
      <c r="CL137" s="410"/>
      <c r="CM137" s="211"/>
      <c r="CN137" s="410"/>
      <c r="CO137" s="211"/>
      <c r="CP137" s="410"/>
      <c r="CQ137" s="211"/>
      <c r="CR137" s="410"/>
      <c r="CS137" s="211"/>
      <c r="CT137" s="157"/>
      <c r="CU137" s="211"/>
      <c r="CV137" s="157"/>
      <c r="CW137" s="211"/>
      <c r="CX137" s="157"/>
      <c r="CY137" s="211"/>
      <c r="CZ137" s="157"/>
      <c r="DA137" s="211"/>
      <c r="DB137" s="157"/>
      <c r="DC137" s="211"/>
      <c r="DD137" s="157"/>
      <c r="DE137" s="211"/>
      <c r="DF137" s="157"/>
      <c r="DG137" s="211"/>
      <c r="DH137" s="157"/>
      <c r="DI137" s="211"/>
      <c r="DJ137" s="157"/>
      <c r="DK137" s="211"/>
      <c r="DL137" s="157"/>
      <c r="DM137" s="211"/>
      <c r="DN137" s="157"/>
      <c r="DO137" s="211"/>
      <c r="DP137" s="157"/>
      <c r="DQ137" s="211"/>
      <c r="DR137" s="157"/>
      <c r="DS137" s="211"/>
      <c r="DT137" s="157"/>
      <c r="DU137" s="211"/>
      <c r="DV137" s="157"/>
      <c r="DW137" s="211"/>
      <c r="DX137" s="157"/>
      <c r="DY137" s="211"/>
      <c r="DZ137" s="157"/>
      <c r="EA137" s="211"/>
      <c r="EB137" s="157"/>
      <c r="EC137" s="211"/>
      <c r="ED137" s="157"/>
      <c r="EE137" s="211"/>
      <c r="EF137" s="157"/>
      <c r="EG137" s="211"/>
      <c r="EH137" s="157"/>
      <c r="EI137" s="211"/>
      <c r="EJ137" s="157"/>
      <c r="EK137" s="211"/>
      <c r="EL137" s="157"/>
      <c r="EM137" s="211"/>
      <c r="EN137" s="157"/>
      <c r="EO137" s="211"/>
      <c r="EP137" s="157"/>
      <c r="EQ137" s="211"/>
      <c r="ER137" s="211"/>
      <c r="ES137" s="211"/>
      <c r="ET137" s="211"/>
      <c r="EU137" s="211"/>
      <c r="EV137" s="211"/>
      <c r="EW137" s="211"/>
      <c r="EX137" s="211"/>
      <c r="EY137" s="211"/>
      <c r="EZ137" s="211"/>
      <c r="FA137" s="211"/>
      <c r="FB137" s="157"/>
      <c r="FC137" s="211"/>
      <c r="FD137" s="157"/>
      <c r="FE137" s="211"/>
      <c r="FF137" s="157"/>
      <c r="FG137" s="211"/>
      <c r="FH137" s="157"/>
      <c r="FI137" s="211"/>
      <c r="FJ137" s="157"/>
      <c r="FK137" s="211"/>
      <c r="FL137" s="157"/>
      <c r="FM137" s="211"/>
      <c r="FN137" s="157"/>
      <c r="FO137" s="211"/>
      <c r="FP137" s="157"/>
      <c r="FQ137" s="211"/>
      <c r="FR137" s="157"/>
      <c r="FS137" s="211"/>
      <c r="FT137" s="157"/>
      <c r="FU137" s="211"/>
      <c r="FV137" s="157"/>
      <c r="FW137" s="211"/>
      <c r="FX137" s="157"/>
      <c r="FY137" s="211"/>
      <c r="FZ137" s="157"/>
      <c r="GA137" s="211"/>
      <c r="GB137" s="157"/>
      <c r="GC137" s="211"/>
      <c r="GD137" s="157"/>
      <c r="GE137" s="211"/>
      <c r="GF137" s="157"/>
      <c r="GG137" s="211"/>
      <c r="GH137" s="211"/>
      <c r="GI137" s="157"/>
      <c r="GJ137" s="157"/>
      <c r="GK137" s="157"/>
      <c r="GL137" s="157"/>
      <c r="GM137" s="157"/>
      <c r="GN137" s="157"/>
      <c r="GO137" s="157"/>
      <c r="GP137" s="157"/>
      <c r="GQ137" s="157"/>
    </row>
    <row r="138" spans="1:199" ht="14.25" customHeight="1">
      <c r="A138" s="158"/>
      <c r="B138" s="212" t="s">
        <v>371</v>
      </c>
      <c r="C138" s="645"/>
      <c r="D138" s="415"/>
      <c r="E138" s="645"/>
      <c r="F138" s="415"/>
      <c r="G138" s="645"/>
      <c r="H138" s="415"/>
      <c r="I138" s="645"/>
      <c r="J138" s="415"/>
      <c r="K138" s="645"/>
      <c r="L138" s="415"/>
      <c r="M138" s="645"/>
      <c r="N138" s="415"/>
      <c r="O138" s="645"/>
      <c r="P138" s="415"/>
      <c r="Q138" s="645"/>
      <c r="R138" s="415"/>
      <c r="S138" s="645"/>
      <c r="T138" s="415"/>
      <c r="U138" s="645"/>
      <c r="V138" s="415"/>
      <c r="W138" s="1175"/>
      <c r="X138" s="415"/>
      <c r="Y138" s="645"/>
      <c r="Z138" s="415"/>
      <c r="AA138" s="645"/>
      <c r="AB138" s="415"/>
      <c r="AC138" s="645"/>
      <c r="AD138" s="415"/>
      <c r="AE138" s="645"/>
      <c r="AF138" s="415"/>
      <c r="AG138" s="645"/>
      <c r="AH138" s="415"/>
      <c r="AI138" s="645"/>
      <c r="AJ138" s="415"/>
      <c r="AK138" s="645"/>
      <c r="AL138" s="415"/>
      <c r="AM138" s="645"/>
      <c r="AN138" s="415"/>
      <c r="AO138" s="645"/>
      <c r="AP138" s="415"/>
      <c r="AQ138" s="645"/>
      <c r="AR138" s="415"/>
      <c r="AS138" s="645"/>
      <c r="AT138" s="415"/>
      <c r="AU138" s="1175"/>
      <c r="AV138" s="415"/>
      <c r="AW138" s="645"/>
      <c r="AX138" s="415"/>
      <c r="AY138" s="645"/>
      <c r="AZ138" s="415"/>
      <c r="BA138" s="645"/>
      <c r="BB138" s="415"/>
      <c r="BC138" s="645"/>
      <c r="BD138" s="415"/>
      <c r="BE138" s="645"/>
      <c r="BF138" s="415"/>
      <c r="BG138" s="835"/>
      <c r="BH138" s="415"/>
      <c r="BI138" s="645"/>
      <c r="BJ138" s="415"/>
      <c r="BK138" s="645"/>
      <c r="BL138" s="415"/>
      <c r="BM138" s="645"/>
      <c r="BN138" s="415"/>
      <c r="BO138" s="645"/>
      <c r="BP138" s="415"/>
      <c r="BQ138" s="645"/>
      <c r="BR138" s="415"/>
      <c r="BS138" s="1175"/>
      <c r="BT138" s="415"/>
      <c r="BU138" s="645"/>
      <c r="BV138" s="415"/>
      <c r="BW138" s="211"/>
      <c r="BX138" s="415"/>
      <c r="BY138" s="211"/>
      <c r="BZ138" s="415"/>
      <c r="CA138" s="211"/>
      <c r="CB138" s="415"/>
      <c r="CC138" s="211"/>
      <c r="CD138" s="415"/>
      <c r="CE138" s="211"/>
      <c r="CF138" s="415"/>
      <c r="CG138" s="211"/>
      <c r="CH138" s="415"/>
      <c r="CI138" s="211"/>
      <c r="CJ138" s="415"/>
      <c r="CK138" s="211"/>
      <c r="CL138" s="415"/>
      <c r="CM138" s="211"/>
      <c r="CN138" s="415"/>
      <c r="CO138" s="211"/>
      <c r="CP138" s="415"/>
      <c r="CQ138" s="211"/>
      <c r="CR138" s="415"/>
      <c r="CS138" s="211"/>
      <c r="CT138" s="212"/>
      <c r="CU138" s="211"/>
      <c r="CV138" s="212"/>
      <c r="CW138" s="211"/>
      <c r="CX138" s="212"/>
      <c r="CY138" s="211"/>
      <c r="CZ138" s="212"/>
      <c r="DA138" s="211"/>
      <c r="DB138" s="212"/>
      <c r="DC138" s="211"/>
      <c r="DD138" s="212"/>
      <c r="DE138" s="211"/>
      <c r="DF138" s="212"/>
      <c r="DG138" s="211"/>
      <c r="DH138" s="212"/>
      <c r="DI138" s="211"/>
      <c r="DJ138" s="212"/>
      <c r="DK138" s="211"/>
      <c r="DL138" s="212"/>
      <c r="DM138" s="211"/>
      <c r="DN138" s="212"/>
      <c r="DO138" s="211"/>
      <c r="DP138" s="212"/>
      <c r="DQ138" s="211"/>
      <c r="DR138" s="212"/>
      <c r="DS138" s="211"/>
      <c r="DT138" s="212"/>
      <c r="DU138" s="211"/>
      <c r="DV138" s="212"/>
      <c r="DW138" s="211"/>
      <c r="DX138" s="212"/>
      <c r="DY138" s="211"/>
      <c r="DZ138" s="212"/>
      <c r="EA138" s="211"/>
      <c r="EB138" s="212"/>
      <c r="EC138" s="211"/>
      <c r="ED138" s="212"/>
      <c r="EE138" s="211"/>
      <c r="EF138" s="212"/>
      <c r="EG138" s="211"/>
      <c r="EH138" s="212"/>
      <c r="EI138" s="211"/>
      <c r="EJ138" s="212"/>
      <c r="EK138" s="211"/>
      <c r="EL138" s="212"/>
      <c r="EM138" s="211"/>
      <c r="EN138" s="212"/>
      <c r="EO138" s="211"/>
      <c r="EP138" s="212"/>
      <c r="EQ138" s="211"/>
      <c r="ER138" s="211"/>
      <c r="ES138" s="211"/>
      <c r="ET138" s="211"/>
      <c r="EU138" s="211"/>
      <c r="EV138" s="211"/>
      <c r="EW138" s="211"/>
      <c r="EX138" s="211"/>
      <c r="EY138" s="211"/>
      <c r="EZ138" s="211"/>
      <c r="FA138" s="211"/>
      <c r="FB138" s="212"/>
      <c r="FC138" s="211"/>
      <c r="FD138" s="212"/>
      <c r="FE138" s="211"/>
      <c r="FF138" s="212"/>
      <c r="FG138" s="211"/>
      <c r="FH138" s="212"/>
      <c r="FI138" s="211"/>
      <c r="FJ138" s="212"/>
      <c r="FK138" s="211"/>
      <c r="FL138" s="212"/>
      <c r="FM138" s="211"/>
      <c r="FN138" s="212"/>
      <c r="FO138" s="211"/>
      <c r="FP138" s="212"/>
      <c r="FQ138" s="211"/>
      <c r="FR138" s="212"/>
      <c r="FS138" s="211"/>
      <c r="FT138" s="212"/>
      <c r="FU138" s="211"/>
      <c r="FV138" s="212"/>
      <c r="FW138" s="211"/>
      <c r="FX138" s="212"/>
      <c r="FY138" s="211"/>
      <c r="FZ138" s="157"/>
      <c r="GA138" s="211"/>
      <c r="GB138" s="157"/>
      <c r="GC138" s="211"/>
      <c r="GD138" s="157"/>
      <c r="GE138" s="211"/>
      <c r="GF138" s="157"/>
      <c r="GG138" s="211"/>
      <c r="GH138" s="211"/>
      <c r="GI138" s="157"/>
      <c r="GJ138" s="157"/>
      <c r="GK138" s="157"/>
      <c r="GL138" s="157"/>
      <c r="GM138" s="157"/>
      <c r="GN138" s="157"/>
      <c r="GO138" s="157"/>
      <c r="GP138" s="157"/>
      <c r="GQ138" s="157"/>
    </row>
    <row r="139" spans="1:199" ht="14.25" hidden="1" customHeight="1" outlineLevel="1">
      <c r="A139" s="158"/>
      <c r="B139" s="157" t="s">
        <v>372</v>
      </c>
      <c r="C139" s="646">
        <v>0</v>
      </c>
      <c r="D139" s="410"/>
      <c r="E139" s="646">
        <v>0</v>
      </c>
      <c r="F139" s="410"/>
      <c r="G139" s="646">
        <v>0</v>
      </c>
      <c r="H139" s="410"/>
      <c r="I139" s="646">
        <v>0</v>
      </c>
      <c r="J139" s="410"/>
      <c r="K139" s="646">
        <v>0</v>
      </c>
      <c r="L139" s="410"/>
      <c r="M139" s="646">
        <v>0</v>
      </c>
      <c r="N139" s="410"/>
      <c r="O139" s="646">
        <v>0</v>
      </c>
      <c r="P139" s="410"/>
      <c r="Q139" s="646">
        <v>0</v>
      </c>
      <c r="R139" s="410"/>
      <c r="S139" s="646">
        <v>0</v>
      </c>
      <c r="T139" s="410"/>
      <c r="U139" s="646">
        <v>0</v>
      </c>
      <c r="V139" s="410"/>
      <c r="W139" s="1176">
        <v>0</v>
      </c>
      <c r="X139" s="410"/>
      <c r="Y139" s="646">
        <v>0</v>
      </c>
      <c r="Z139" s="410"/>
      <c r="AA139" s="646">
        <v>0</v>
      </c>
      <c r="AB139" s="410"/>
      <c r="AC139" s="646">
        <v>0</v>
      </c>
      <c r="AD139" s="410"/>
      <c r="AE139" s="646">
        <v>0</v>
      </c>
      <c r="AF139" s="410"/>
      <c r="AG139" s="646">
        <v>0</v>
      </c>
      <c r="AH139" s="410"/>
      <c r="AI139" s="646">
        <v>0</v>
      </c>
      <c r="AJ139" s="410"/>
      <c r="AK139" s="646">
        <v>0</v>
      </c>
      <c r="AL139" s="410"/>
      <c r="AM139" s="646">
        <v>0</v>
      </c>
      <c r="AN139" s="410"/>
      <c r="AO139" s="646">
        <v>0</v>
      </c>
      <c r="AP139" s="410"/>
      <c r="AQ139" s="646">
        <v>0</v>
      </c>
      <c r="AR139" s="410"/>
      <c r="AS139" s="646">
        <v>0</v>
      </c>
      <c r="AT139" s="410"/>
      <c r="AU139" s="1176">
        <v>0</v>
      </c>
      <c r="AV139" s="410"/>
      <c r="AW139" s="646">
        <v>0</v>
      </c>
      <c r="AX139" s="410"/>
      <c r="AY139" s="646">
        <v>0</v>
      </c>
      <c r="AZ139" s="410"/>
      <c r="BA139" s="646">
        <v>0</v>
      </c>
      <c r="BB139" s="410"/>
      <c r="BC139" s="646">
        <v>0</v>
      </c>
      <c r="BD139" s="410"/>
      <c r="BE139" s="646">
        <v>0</v>
      </c>
      <c r="BF139" s="410"/>
      <c r="BG139" s="646">
        <v>0</v>
      </c>
      <c r="BH139" s="410"/>
      <c r="BI139" s="646">
        <v>0</v>
      </c>
      <c r="BJ139" s="410"/>
      <c r="BK139" s="646">
        <v>0</v>
      </c>
      <c r="BL139" s="410"/>
      <c r="BM139" s="646">
        <v>0</v>
      </c>
      <c r="BN139" s="410"/>
      <c r="BO139" s="646">
        <v>0</v>
      </c>
      <c r="BP139" s="410"/>
      <c r="BQ139" s="646">
        <v>0</v>
      </c>
      <c r="BR139" s="410"/>
      <c r="BS139" s="1176">
        <v>0</v>
      </c>
      <c r="BT139" s="410"/>
      <c r="BU139" s="646">
        <v>0</v>
      </c>
      <c r="BV139" s="410"/>
      <c r="BW139" s="213">
        <v>0</v>
      </c>
      <c r="BX139" s="410"/>
      <c r="BY139" s="213">
        <v>0</v>
      </c>
      <c r="BZ139" s="410"/>
      <c r="CA139" s="213">
        <v>0</v>
      </c>
      <c r="CB139" s="410"/>
      <c r="CC139" s="213">
        <v>0</v>
      </c>
      <c r="CD139" s="410"/>
      <c r="CE139" s="213">
        <v>0</v>
      </c>
      <c r="CF139" s="410"/>
      <c r="CG139" s="213">
        <v>0</v>
      </c>
      <c r="CH139" s="410"/>
      <c r="CI139" s="213">
        <v>0</v>
      </c>
      <c r="CJ139" s="410"/>
      <c r="CK139" s="213">
        <v>0</v>
      </c>
      <c r="CL139" s="410"/>
      <c r="CM139" s="213">
        <v>0</v>
      </c>
      <c r="CN139" s="410"/>
      <c r="CO139" s="213">
        <v>0</v>
      </c>
      <c r="CP139" s="410"/>
      <c r="CQ139" s="213">
        <v>0</v>
      </c>
      <c r="CR139" s="410"/>
      <c r="CS139" s="213">
        <v>0</v>
      </c>
      <c r="CT139" s="157"/>
      <c r="CU139" s="213">
        <v>0</v>
      </c>
      <c r="CV139" s="157"/>
      <c r="CW139" s="213">
        <v>0</v>
      </c>
      <c r="CX139" s="157"/>
      <c r="CY139" s="213">
        <v>0</v>
      </c>
      <c r="CZ139" s="157"/>
      <c r="DA139" s="213">
        <v>0</v>
      </c>
      <c r="DB139" s="157"/>
      <c r="DC139" s="213">
        <v>0</v>
      </c>
      <c r="DD139" s="157"/>
      <c r="DE139" s="213">
        <v>0</v>
      </c>
      <c r="DF139" s="157"/>
      <c r="DG139" s="213">
        <v>0</v>
      </c>
      <c r="DH139" s="157"/>
      <c r="DI139" s="213">
        <v>0</v>
      </c>
      <c r="DJ139" s="157"/>
      <c r="DK139" s="213">
        <v>0</v>
      </c>
      <c r="DL139" s="157"/>
      <c r="DM139" s="213">
        <v>0</v>
      </c>
      <c r="DN139" s="157"/>
      <c r="DO139" s="213">
        <v>0</v>
      </c>
      <c r="DP139" s="157"/>
      <c r="DQ139" s="213">
        <v>0</v>
      </c>
      <c r="DR139" s="157"/>
      <c r="DS139" s="213">
        <v>0</v>
      </c>
      <c r="DT139" s="157"/>
      <c r="DU139" s="213">
        <v>0</v>
      </c>
      <c r="DV139" s="157"/>
      <c r="DW139" s="213">
        <v>0</v>
      </c>
      <c r="DX139" s="157"/>
      <c r="DY139" s="213">
        <v>0</v>
      </c>
      <c r="DZ139" s="157"/>
      <c r="EA139" s="213">
        <v>0</v>
      </c>
      <c r="EB139" s="157"/>
      <c r="EC139" s="213">
        <v>0</v>
      </c>
      <c r="ED139" s="157"/>
      <c r="EE139" s="213">
        <v>0</v>
      </c>
      <c r="EF139" s="157"/>
      <c r="EG139" s="213">
        <v>0</v>
      </c>
      <c r="EH139" s="157"/>
      <c r="EI139" s="213">
        <v>0</v>
      </c>
      <c r="EJ139" s="157"/>
      <c r="EK139" s="213">
        <v>0</v>
      </c>
      <c r="EL139" s="157"/>
      <c r="EM139" s="213">
        <v>0</v>
      </c>
      <c r="EN139" s="157"/>
      <c r="EO139" s="213">
        <v>0</v>
      </c>
      <c r="EP139" s="157"/>
      <c r="EQ139" s="213">
        <v>0</v>
      </c>
      <c r="ER139" s="191"/>
      <c r="ES139" s="213">
        <v>0</v>
      </c>
      <c r="ET139" s="213"/>
      <c r="EU139" s="213">
        <v>0</v>
      </c>
      <c r="EV139" s="191"/>
      <c r="EW139" s="213">
        <v>0</v>
      </c>
      <c r="EX139" s="191"/>
      <c r="EY139" s="213">
        <v>0</v>
      </c>
      <c r="EZ139" s="191"/>
      <c r="FA139" s="213">
        <v>0</v>
      </c>
      <c r="FB139" s="157"/>
      <c r="FC139" s="213">
        <v>0</v>
      </c>
      <c r="FD139" s="157"/>
      <c r="FE139" s="213">
        <v>0</v>
      </c>
      <c r="FF139" s="157"/>
      <c r="FG139" s="213">
        <v>0</v>
      </c>
      <c r="FH139" s="157"/>
      <c r="FI139" s="213">
        <v>0</v>
      </c>
      <c r="FJ139" s="157"/>
      <c r="FK139" s="213">
        <v>0</v>
      </c>
      <c r="FL139" s="157"/>
      <c r="FM139" s="213">
        <v>0</v>
      </c>
      <c r="FN139" s="157"/>
      <c r="FO139" s="213">
        <v>0</v>
      </c>
      <c r="FP139" s="157"/>
      <c r="FQ139" s="214">
        <v>0</v>
      </c>
      <c r="FR139" s="157"/>
      <c r="FS139" s="214">
        <v>0</v>
      </c>
      <c r="FT139" s="157"/>
      <c r="FU139" s="214">
        <v>1488296</v>
      </c>
      <c r="FV139" s="157"/>
      <c r="FW139" s="215">
        <v>1421821.01</v>
      </c>
      <c r="FX139" s="215"/>
      <c r="FY139" s="214">
        <v>1351019.55</v>
      </c>
      <c r="FZ139" s="191"/>
      <c r="GA139" s="191"/>
      <c r="GB139" s="157"/>
      <c r="GC139" s="211"/>
      <c r="GD139" s="157"/>
      <c r="GE139" s="211"/>
      <c r="GF139" s="157"/>
      <c r="GG139" s="211"/>
      <c r="GH139" s="211"/>
      <c r="GI139" s="157"/>
      <c r="GJ139" s="157"/>
      <c r="GK139" s="157"/>
      <c r="GL139" s="157"/>
      <c r="GM139" s="157"/>
      <c r="GN139" s="157"/>
      <c r="GO139" s="157"/>
      <c r="GP139" s="157"/>
      <c r="GQ139" s="157"/>
    </row>
    <row r="140" spans="1:199" ht="14.25" hidden="1" customHeight="1" outlineLevel="1">
      <c r="B140" s="157" t="s">
        <v>345</v>
      </c>
      <c r="C140" s="198">
        <v>0</v>
      </c>
      <c r="D140" s="410"/>
      <c r="E140" s="198">
        <v>0</v>
      </c>
      <c r="F140" s="410"/>
      <c r="G140" s="198">
        <v>0</v>
      </c>
      <c r="H140" s="410"/>
      <c r="I140" s="198">
        <v>0</v>
      </c>
      <c r="J140" s="410"/>
      <c r="K140" s="198">
        <v>0</v>
      </c>
      <c r="L140" s="410"/>
      <c r="M140" s="198">
        <v>0</v>
      </c>
      <c r="N140" s="410"/>
      <c r="O140" s="198">
        <v>0</v>
      </c>
      <c r="P140" s="410"/>
      <c r="Q140" s="198">
        <v>0</v>
      </c>
      <c r="R140" s="410"/>
      <c r="S140" s="198">
        <v>0</v>
      </c>
      <c r="T140" s="410"/>
      <c r="U140" s="198">
        <v>0</v>
      </c>
      <c r="V140" s="410"/>
      <c r="W140" s="547">
        <v>0</v>
      </c>
      <c r="X140" s="410"/>
      <c r="Y140" s="198">
        <v>0</v>
      </c>
      <c r="Z140" s="410"/>
      <c r="AA140" s="198">
        <v>0</v>
      </c>
      <c r="AB140" s="410"/>
      <c r="AC140" s="198">
        <v>0</v>
      </c>
      <c r="AD140" s="410"/>
      <c r="AE140" s="198">
        <v>0</v>
      </c>
      <c r="AF140" s="410"/>
      <c r="AG140" s="198">
        <v>0</v>
      </c>
      <c r="AH140" s="410"/>
      <c r="AI140" s="198">
        <v>0</v>
      </c>
      <c r="AJ140" s="410"/>
      <c r="AK140" s="198">
        <v>0</v>
      </c>
      <c r="AL140" s="410"/>
      <c r="AM140" s="198">
        <v>0</v>
      </c>
      <c r="AN140" s="410"/>
      <c r="AO140" s="198">
        <v>0</v>
      </c>
      <c r="AP140" s="410"/>
      <c r="AQ140" s="198">
        <v>0</v>
      </c>
      <c r="AR140" s="410"/>
      <c r="AS140" s="198">
        <v>0</v>
      </c>
      <c r="AT140" s="410"/>
      <c r="AU140" s="547">
        <v>0</v>
      </c>
      <c r="AV140" s="410"/>
      <c r="AW140" s="198">
        <v>0</v>
      </c>
      <c r="AX140" s="410"/>
      <c r="AY140" s="198">
        <v>0</v>
      </c>
      <c r="AZ140" s="410"/>
      <c r="BA140" s="198">
        <v>0</v>
      </c>
      <c r="BB140" s="410"/>
      <c r="BC140" s="198">
        <v>0</v>
      </c>
      <c r="BD140" s="410"/>
      <c r="BE140" s="198">
        <v>0</v>
      </c>
      <c r="BF140" s="410"/>
      <c r="BG140" s="198">
        <v>0</v>
      </c>
      <c r="BH140" s="410"/>
      <c r="BI140" s="198">
        <v>0</v>
      </c>
      <c r="BJ140" s="410"/>
      <c r="BK140" s="198">
        <v>0</v>
      </c>
      <c r="BL140" s="410"/>
      <c r="BM140" s="198">
        <v>0</v>
      </c>
      <c r="BN140" s="410"/>
      <c r="BO140" s="198">
        <v>0</v>
      </c>
      <c r="BP140" s="410"/>
      <c r="BQ140" s="198">
        <v>0</v>
      </c>
      <c r="BR140" s="410"/>
      <c r="BS140" s="547">
        <v>0</v>
      </c>
      <c r="BT140" s="410"/>
      <c r="BU140" s="198">
        <v>0</v>
      </c>
      <c r="BV140" s="410"/>
      <c r="BW140" s="198">
        <v>0</v>
      </c>
      <c r="BX140" s="410"/>
      <c r="BY140" s="198">
        <v>0</v>
      </c>
      <c r="BZ140" s="410"/>
      <c r="CA140" s="198">
        <v>0</v>
      </c>
      <c r="CB140" s="410"/>
      <c r="CC140" s="198">
        <v>0</v>
      </c>
      <c r="CD140" s="410"/>
      <c r="CE140" s="198">
        <v>0</v>
      </c>
      <c r="CF140" s="410"/>
      <c r="CG140" s="198">
        <v>0</v>
      </c>
      <c r="CH140" s="410"/>
      <c r="CI140" s="198">
        <v>0</v>
      </c>
      <c r="CJ140" s="410"/>
      <c r="CK140" s="198">
        <v>0</v>
      </c>
      <c r="CL140" s="410"/>
      <c r="CM140" s="198">
        <v>0</v>
      </c>
      <c r="CN140" s="410"/>
      <c r="CO140" s="198">
        <v>0</v>
      </c>
      <c r="CP140" s="410"/>
      <c r="CQ140" s="198">
        <v>0</v>
      </c>
      <c r="CR140" s="410"/>
      <c r="CS140" s="198">
        <v>0</v>
      </c>
      <c r="CT140" s="157"/>
      <c r="CU140" s="198">
        <v>0</v>
      </c>
      <c r="CV140" s="157"/>
      <c r="CW140" s="198">
        <v>0</v>
      </c>
      <c r="CX140" s="157"/>
      <c r="CY140" s="198">
        <v>0</v>
      </c>
      <c r="CZ140" s="157"/>
      <c r="DA140" s="198">
        <v>0</v>
      </c>
      <c r="DB140" s="157"/>
      <c r="DC140" s="198">
        <v>0</v>
      </c>
      <c r="DD140" s="157"/>
      <c r="DE140" s="198">
        <v>0</v>
      </c>
      <c r="DF140" s="157"/>
      <c r="DG140" s="198">
        <v>0</v>
      </c>
      <c r="DH140" s="157"/>
      <c r="DI140" s="198">
        <v>0</v>
      </c>
      <c r="DJ140" s="157"/>
      <c r="DK140" s="198">
        <v>0</v>
      </c>
      <c r="DL140" s="157"/>
      <c r="DM140" s="198">
        <v>0</v>
      </c>
      <c r="DN140" s="157"/>
      <c r="DO140" s="198">
        <v>0</v>
      </c>
      <c r="DP140" s="157"/>
      <c r="DQ140" s="198">
        <v>0</v>
      </c>
      <c r="DR140" s="157"/>
      <c r="DS140" s="198">
        <v>0</v>
      </c>
      <c r="DT140" s="157"/>
      <c r="DU140" s="198">
        <v>0</v>
      </c>
      <c r="DV140" s="157"/>
      <c r="DW140" s="213">
        <v>0</v>
      </c>
      <c r="DX140" s="157"/>
      <c r="DY140" s="213">
        <v>0</v>
      </c>
      <c r="DZ140" s="157"/>
      <c r="EA140" s="213">
        <v>1661620.877934007</v>
      </c>
      <c r="EB140" s="157"/>
      <c r="EC140" s="213">
        <v>1707600.71</v>
      </c>
      <c r="ED140" s="157"/>
      <c r="EE140" s="213">
        <v>1733390.65</v>
      </c>
      <c r="EF140" s="157"/>
      <c r="EG140" s="214">
        <v>1754401.36</v>
      </c>
      <c r="EH140" s="157"/>
      <c r="EI140" s="214">
        <v>1852661.54</v>
      </c>
      <c r="EJ140" s="157"/>
      <c r="EK140" s="214">
        <v>1786649.09</v>
      </c>
      <c r="EL140" s="157"/>
      <c r="EM140" s="214">
        <v>1566668.807780704</v>
      </c>
      <c r="EN140" s="157"/>
      <c r="EO140" s="213">
        <v>1475000</v>
      </c>
      <c r="EP140" s="157"/>
      <c r="EQ140" s="213">
        <v>1400079.8</v>
      </c>
      <c r="ER140" s="191"/>
      <c r="ES140" s="213">
        <v>1467590.47</v>
      </c>
      <c r="ET140" s="213"/>
      <c r="EU140" s="213">
        <v>1514410.37</v>
      </c>
      <c r="EV140" s="191"/>
      <c r="EW140" s="213">
        <v>1514410.37</v>
      </c>
      <c r="EX140" s="191"/>
      <c r="EY140" s="213">
        <v>1518459.92</v>
      </c>
      <c r="EZ140" s="191"/>
      <c r="FA140" s="213">
        <v>1436620.6</v>
      </c>
      <c r="FB140" s="157"/>
      <c r="FC140" s="213">
        <v>1409610.2</v>
      </c>
      <c r="FD140" s="157"/>
      <c r="FE140" s="213">
        <v>1407592.78</v>
      </c>
      <c r="FF140" s="157"/>
      <c r="FG140" s="213">
        <v>1498231.06</v>
      </c>
      <c r="FH140" s="157"/>
      <c r="FI140" s="213">
        <v>1380700</v>
      </c>
      <c r="FJ140" s="157"/>
      <c r="FK140" s="213">
        <v>1504798.69</v>
      </c>
      <c r="FL140" s="157"/>
      <c r="FM140" s="213">
        <v>1496953.98</v>
      </c>
      <c r="FN140" s="157"/>
      <c r="FO140" s="213">
        <v>1415642.94</v>
      </c>
      <c r="FP140" s="157"/>
      <c r="FQ140" s="214">
        <v>1406795.46</v>
      </c>
      <c r="FR140" s="157"/>
      <c r="FS140" s="214">
        <v>1399615.61</v>
      </c>
      <c r="FT140" s="157"/>
      <c r="FU140" s="214">
        <v>1391150</v>
      </c>
      <c r="FV140" s="157"/>
      <c r="FW140" s="216">
        <v>1432702.19</v>
      </c>
      <c r="FX140" s="217"/>
      <c r="FY140" s="214">
        <v>1421013.66</v>
      </c>
    </row>
    <row r="141" spans="1:199" ht="14.25" hidden="1" customHeight="1" outlineLevel="1">
      <c r="B141" s="157" t="s">
        <v>571</v>
      </c>
      <c r="C141" s="647">
        <f>C104</f>
        <v>0</v>
      </c>
      <c r="D141" s="410"/>
      <c r="E141" s="647">
        <f>E104</f>
        <v>0</v>
      </c>
      <c r="F141" s="410"/>
      <c r="G141" s="647">
        <f>G104</f>
        <v>0</v>
      </c>
      <c r="H141" s="410"/>
      <c r="I141" s="647">
        <f>I104</f>
        <v>0</v>
      </c>
      <c r="J141" s="410"/>
      <c r="K141" s="647">
        <f>K104</f>
        <v>0</v>
      </c>
      <c r="L141" s="410"/>
      <c r="M141" s="647">
        <f>M104</f>
        <v>0</v>
      </c>
      <c r="N141" s="410"/>
      <c r="O141" s="647">
        <v>0</v>
      </c>
      <c r="P141" s="410"/>
      <c r="Q141" s="647">
        <v>0</v>
      </c>
      <c r="R141" s="410"/>
      <c r="S141" s="647">
        <v>0</v>
      </c>
      <c r="T141" s="410"/>
      <c r="U141" s="647">
        <v>0</v>
      </c>
      <c r="V141" s="410"/>
      <c r="W141" s="812">
        <v>0</v>
      </c>
      <c r="X141" s="410"/>
      <c r="Y141" s="647">
        <v>0</v>
      </c>
      <c r="Z141" s="410"/>
      <c r="AA141" s="647">
        <v>0</v>
      </c>
      <c r="AB141" s="410"/>
      <c r="AC141" s="647">
        <f>AC104</f>
        <v>0</v>
      </c>
      <c r="AD141" s="410"/>
      <c r="AE141" s="647">
        <f>AE104</f>
        <v>0</v>
      </c>
      <c r="AF141" s="410"/>
      <c r="AG141" s="647">
        <f>AG104</f>
        <v>0</v>
      </c>
      <c r="AH141" s="410"/>
      <c r="AI141" s="647">
        <v>0</v>
      </c>
      <c r="AJ141" s="410"/>
      <c r="AK141" s="647">
        <v>0</v>
      </c>
      <c r="AL141" s="410"/>
      <c r="AM141" s="647">
        <v>0</v>
      </c>
      <c r="AN141" s="410"/>
      <c r="AO141" s="647">
        <v>0</v>
      </c>
      <c r="AP141" s="410"/>
      <c r="AQ141" s="647">
        <v>0</v>
      </c>
      <c r="AR141" s="410"/>
      <c r="AS141" s="647">
        <v>0</v>
      </c>
      <c r="AT141" s="410"/>
      <c r="AU141" s="812">
        <v>0</v>
      </c>
      <c r="AV141" s="410"/>
      <c r="AW141" s="647">
        <v>0</v>
      </c>
      <c r="AX141" s="410"/>
      <c r="AY141" s="647">
        <v>0</v>
      </c>
      <c r="AZ141" s="410"/>
      <c r="BA141" s="647">
        <v>0</v>
      </c>
      <c r="BB141" s="410"/>
      <c r="BC141" s="647">
        <v>0</v>
      </c>
      <c r="BD141" s="410"/>
      <c r="BE141" s="647">
        <v>0</v>
      </c>
      <c r="BF141" s="410"/>
      <c r="BG141" s="647">
        <v>0</v>
      </c>
      <c r="BH141" s="410"/>
      <c r="BI141" s="647">
        <v>0</v>
      </c>
      <c r="BJ141" s="410"/>
      <c r="BK141" s="647">
        <v>0</v>
      </c>
      <c r="BL141" s="410"/>
      <c r="BM141" s="647">
        <v>0</v>
      </c>
      <c r="BN141" s="410"/>
      <c r="BO141" s="647">
        <v>0</v>
      </c>
      <c r="BP141" s="410"/>
      <c r="BQ141" s="647">
        <f>BQ104</f>
        <v>0</v>
      </c>
      <c r="BR141" s="410"/>
      <c r="BS141" s="812">
        <v>0</v>
      </c>
      <c r="BT141" s="410"/>
      <c r="BU141" s="647">
        <f>BU104</f>
        <v>0</v>
      </c>
      <c r="BV141" s="410"/>
      <c r="BW141" s="198">
        <v>6861557</v>
      </c>
      <c r="BX141" s="410"/>
      <c r="BY141" s="198">
        <v>6525964.3600000003</v>
      </c>
      <c r="BZ141" s="410"/>
      <c r="CA141" s="198">
        <v>6488277.5800000001</v>
      </c>
      <c r="CB141" s="410"/>
      <c r="CC141" s="198">
        <v>5933058.0199999996</v>
      </c>
      <c r="CD141" s="410"/>
      <c r="CE141" s="198">
        <v>5208061.09</v>
      </c>
      <c r="CF141" s="410"/>
      <c r="CG141" s="198">
        <v>4607489.51</v>
      </c>
      <c r="CH141" s="410"/>
      <c r="CI141" s="198">
        <v>4109263.52</v>
      </c>
      <c r="CJ141" s="410"/>
      <c r="CK141" s="198">
        <v>3562267.73</v>
      </c>
      <c r="CL141" s="410"/>
      <c r="CM141" s="198">
        <f>CM104</f>
        <v>3194848.65</v>
      </c>
      <c r="CN141" s="410"/>
      <c r="CO141" s="198">
        <f>CO104</f>
        <v>2593078.98</v>
      </c>
      <c r="CP141" s="410"/>
      <c r="CQ141" s="198">
        <f>CQ104</f>
        <v>91796619.489999995</v>
      </c>
      <c r="CR141" s="410"/>
      <c r="CS141" s="198">
        <f>CS104</f>
        <v>1200100.1399999999</v>
      </c>
      <c r="CT141" s="157"/>
      <c r="CU141" s="198"/>
      <c r="CV141" s="157"/>
      <c r="CW141" s="198"/>
      <c r="CX141" s="157"/>
      <c r="CY141" s="198"/>
      <c r="CZ141" s="157"/>
      <c r="DA141" s="198"/>
      <c r="DB141" s="157"/>
      <c r="DC141" s="198"/>
      <c r="DD141" s="157"/>
      <c r="DE141" s="198"/>
      <c r="DF141" s="157"/>
      <c r="DG141" s="198"/>
      <c r="DH141" s="157"/>
      <c r="DI141" s="198"/>
      <c r="DJ141" s="157"/>
      <c r="DK141" s="198"/>
      <c r="DL141" s="157"/>
      <c r="DM141" s="198"/>
      <c r="DN141" s="157"/>
      <c r="DO141" s="198"/>
      <c r="DP141" s="157"/>
      <c r="DQ141" s="198"/>
      <c r="DR141" s="157"/>
      <c r="DS141" s="198"/>
      <c r="DT141" s="157"/>
      <c r="DU141" s="198"/>
      <c r="DV141" s="157"/>
      <c r="DW141" s="191"/>
      <c r="DX141" s="157"/>
      <c r="DY141" s="191"/>
      <c r="DZ141" s="157"/>
      <c r="EA141" s="191"/>
      <c r="EB141" s="157"/>
      <c r="EC141" s="191"/>
      <c r="ED141" s="157"/>
      <c r="EE141" s="191"/>
      <c r="EF141" s="157"/>
      <c r="EG141" s="198"/>
      <c r="EH141" s="157"/>
      <c r="EI141" s="198"/>
      <c r="EJ141" s="157"/>
      <c r="EK141" s="198"/>
      <c r="EL141" s="157"/>
      <c r="EM141" s="198"/>
      <c r="EN141" s="157"/>
      <c r="EO141" s="191"/>
      <c r="EP141" s="157"/>
      <c r="EQ141" s="191"/>
      <c r="ER141" s="191"/>
      <c r="ES141" s="191"/>
      <c r="ET141" s="191"/>
      <c r="EU141" s="191"/>
      <c r="EV141" s="191"/>
      <c r="EW141" s="191"/>
      <c r="EX141" s="191"/>
      <c r="EY141" s="191"/>
      <c r="EZ141" s="191"/>
      <c r="FA141" s="191"/>
      <c r="FB141" s="157"/>
      <c r="FC141" s="191"/>
      <c r="FD141" s="157"/>
      <c r="FE141" s="191"/>
      <c r="FF141" s="157"/>
      <c r="FG141" s="191"/>
      <c r="FH141" s="157"/>
      <c r="FI141" s="191"/>
      <c r="FJ141" s="157"/>
      <c r="FK141" s="191"/>
      <c r="FL141" s="157"/>
      <c r="FM141" s="191"/>
      <c r="FN141" s="157"/>
      <c r="FO141" s="191"/>
      <c r="FP141" s="157"/>
      <c r="FQ141" s="198"/>
      <c r="FR141" s="157"/>
      <c r="FS141" s="198"/>
      <c r="FT141" s="157"/>
      <c r="FU141" s="198"/>
      <c r="FV141" s="157"/>
      <c r="FW141" s="198"/>
      <c r="FX141" s="216"/>
      <c r="FY141" s="198"/>
    </row>
    <row r="142" spans="1:199" ht="14.25" hidden="1" customHeight="1" outlineLevel="1">
      <c r="B142" s="157" t="s">
        <v>357</v>
      </c>
      <c r="C142" s="647">
        <v>0</v>
      </c>
      <c r="D142" s="410"/>
      <c r="E142" s="647">
        <v>0</v>
      </c>
      <c r="F142" s="410"/>
      <c r="G142" s="647">
        <v>0</v>
      </c>
      <c r="H142" s="410"/>
      <c r="I142" s="647">
        <v>0</v>
      </c>
      <c r="J142" s="410"/>
      <c r="K142" s="647">
        <v>0</v>
      </c>
      <c r="L142" s="410"/>
      <c r="M142" s="647">
        <v>0</v>
      </c>
      <c r="N142" s="410"/>
      <c r="O142" s="647">
        <v>0</v>
      </c>
      <c r="P142" s="410"/>
      <c r="Q142" s="647">
        <v>0</v>
      </c>
      <c r="R142" s="410"/>
      <c r="S142" s="647">
        <v>0</v>
      </c>
      <c r="T142" s="410"/>
      <c r="U142" s="647">
        <v>0</v>
      </c>
      <c r="V142" s="410"/>
      <c r="W142" s="812">
        <v>0</v>
      </c>
      <c r="X142" s="410"/>
      <c r="Y142" s="647">
        <v>0</v>
      </c>
      <c r="Z142" s="410"/>
      <c r="AA142" s="647">
        <v>0</v>
      </c>
      <c r="AB142" s="410"/>
      <c r="AC142" s="647">
        <v>0</v>
      </c>
      <c r="AD142" s="410"/>
      <c r="AE142" s="647">
        <v>0</v>
      </c>
      <c r="AF142" s="410"/>
      <c r="AG142" s="647">
        <v>0</v>
      </c>
      <c r="AH142" s="410"/>
      <c r="AI142" s="647">
        <v>0</v>
      </c>
      <c r="AJ142" s="410"/>
      <c r="AK142" s="647">
        <v>0</v>
      </c>
      <c r="AL142" s="410"/>
      <c r="AM142" s="647">
        <v>0</v>
      </c>
      <c r="AN142" s="410"/>
      <c r="AO142" s="647">
        <v>0</v>
      </c>
      <c r="AP142" s="410"/>
      <c r="AQ142" s="647">
        <v>0</v>
      </c>
      <c r="AR142" s="410"/>
      <c r="AS142" s="647">
        <v>0</v>
      </c>
      <c r="AT142" s="410"/>
      <c r="AU142" s="812">
        <v>0</v>
      </c>
      <c r="AV142" s="410"/>
      <c r="AW142" s="647">
        <v>0</v>
      </c>
      <c r="AX142" s="410"/>
      <c r="AY142" s="647">
        <v>0</v>
      </c>
      <c r="AZ142" s="410"/>
      <c r="BA142" s="647">
        <v>0</v>
      </c>
      <c r="BB142" s="410"/>
      <c r="BC142" s="647">
        <v>0</v>
      </c>
      <c r="BD142" s="410"/>
      <c r="BE142" s="647">
        <v>0</v>
      </c>
      <c r="BF142" s="410"/>
      <c r="BG142" s="647">
        <v>0</v>
      </c>
      <c r="BH142" s="410"/>
      <c r="BI142" s="647">
        <v>0</v>
      </c>
      <c r="BJ142" s="410"/>
      <c r="BK142" s="647">
        <v>0</v>
      </c>
      <c r="BL142" s="410"/>
      <c r="BM142" s="647">
        <v>0</v>
      </c>
      <c r="BN142" s="410"/>
      <c r="BO142" s="647">
        <v>0</v>
      </c>
      <c r="BP142" s="410"/>
      <c r="BQ142" s="647">
        <v>0</v>
      </c>
      <c r="BR142" s="410"/>
      <c r="BS142" s="812">
        <v>0</v>
      </c>
      <c r="BT142" s="410"/>
      <c r="BU142" s="647">
        <v>0</v>
      </c>
      <c r="BV142" s="410"/>
      <c r="BW142" s="198">
        <v>0</v>
      </c>
      <c r="BX142" s="410"/>
      <c r="BY142" s="198">
        <v>0</v>
      </c>
      <c r="BZ142" s="410"/>
      <c r="CA142" s="198">
        <v>0</v>
      </c>
      <c r="CB142" s="410"/>
      <c r="CC142" s="198">
        <v>0</v>
      </c>
      <c r="CD142" s="410"/>
      <c r="CE142" s="198">
        <v>0</v>
      </c>
      <c r="CF142" s="410"/>
      <c r="CG142" s="198">
        <v>0</v>
      </c>
      <c r="CH142" s="410"/>
      <c r="CI142" s="198">
        <v>1824401.1605822311</v>
      </c>
      <c r="CJ142" s="410"/>
      <c r="CK142" s="198">
        <v>1895045.1571</v>
      </c>
      <c r="CL142" s="410"/>
      <c r="CM142" s="198">
        <v>1880441.6062164099</v>
      </c>
      <c r="CN142" s="410"/>
      <c r="CO142" s="198">
        <v>1824401.1605822311</v>
      </c>
      <c r="CP142" s="410"/>
      <c r="CQ142" s="198">
        <v>1945857.0098613887</v>
      </c>
      <c r="CR142" s="410"/>
      <c r="CS142" s="198">
        <v>1948813.63</v>
      </c>
      <c r="CT142" s="157"/>
      <c r="CU142" s="198">
        <v>5342529.2049079482</v>
      </c>
      <c r="CV142" s="157"/>
      <c r="CW142" s="198">
        <v>5309895</v>
      </c>
      <c r="CX142" s="157"/>
      <c r="CY142" s="198">
        <v>7915112.2699999996</v>
      </c>
      <c r="CZ142" s="157"/>
      <c r="DA142" s="198">
        <v>12503295.960000001</v>
      </c>
      <c r="DB142" s="157"/>
      <c r="DC142" s="198">
        <v>14126005.539999999</v>
      </c>
      <c r="DD142" s="157"/>
      <c r="DE142" s="191">
        <v>11030700.689999999</v>
      </c>
      <c r="DF142" s="157"/>
      <c r="DG142" s="191">
        <v>6797425.1500000004</v>
      </c>
      <c r="DH142" s="157"/>
      <c r="DI142" s="191">
        <v>14271755.02</v>
      </c>
      <c r="DJ142" s="157"/>
      <c r="DK142" s="191">
        <v>22082199.5</v>
      </c>
      <c r="DL142" s="157"/>
      <c r="DM142" s="191">
        <v>24074348.039999999</v>
      </c>
      <c r="DN142" s="157"/>
      <c r="DO142" s="191">
        <v>25343124.710000001</v>
      </c>
      <c r="DP142" s="157"/>
      <c r="DQ142" s="191">
        <v>25572348.039999999</v>
      </c>
      <c r="DR142" s="157"/>
      <c r="DS142" s="191">
        <v>28753026.010000002</v>
      </c>
      <c r="DT142" s="157"/>
      <c r="DU142" s="198">
        <v>29553741.579999998</v>
      </c>
      <c r="DV142" s="157"/>
      <c r="DW142" s="198">
        <v>33121293.960000001</v>
      </c>
      <c r="DX142" s="157"/>
      <c r="DY142" s="191">
        <v>34386138.649999999</v>
      </c>
      <c r="DZ142" s="157"/>
      <c r="EA142" s="191">
        <v>34601186.719999999</v>
      </c>
      <c r="EB142" s="157"/>
      <c r="EC142" s="191">
        <v>35192219.909999996</v>
      </c>
      <c r="ED142" s="157"/>
      <c r="EE142" s="191">
        <v>28190153.280000001</v>
      </c>
      <c r="EF142" s="157"/>
      <c r="EG142" s="198">
        <v>32758882.922092356</v>
      </c>
      <c r="EH142" s="157"/>
      <c r="EI142" s="198">
        <v>34091739.25</v>
      </c>
      <c r="EJ142" s="157"/>
      <c r="EK142" s="198">
        <v>34095186.666219898</v>
      </c>
      <c r="EL142" s="157"/>
      <c r="EM142" s="198">
        <v>31471252.899999999</v>
      </c>
      <c r="EN142" s="157"/>
      <c r="EO142" s="191">
        <v>29506863.870000001</v>
      </c>
      <c r="EP142" s="157"/>
      <c r="EQ142" s="191">
        <v>28602565.18</v>
      </c>
      <c r="ER142" s="191"/>
      <c r="ES142" s="191">
        <v>24939811.850000001</v>
      </c>
      <c r="ET142" s="191"/>
      <c r="EU142" s="191">
        <v>11572005.18</v>
      </c>
      <c r="EV142" s="191"/>
      <c r="EW142" s="191">
        <v>7702005.1799999997</v>
      </c>
      <c r="EX142" s="191"/>
      <c r="EY142" s="191">
        <v>7786978.9100000001</v>
      </c>
      <c r="EZ142" s="191"/>
      <c r="FA142" s="191">
        <v>7420912</v>
      </c>
      <c r="FB142" s="157"/>
      <c r="FC142" s="191">
        <v>7473422.4299999997</v>
      </c>
      <c r="FD142" s="157"/>
      <c r="FE142" s="191">
        <v>11668073.780000001</v>
      </c>
      <c r="FF142" s="157"/>
      <c r="FG142" s="191">
        <v>11741368.880000001</v>
      </c>
      <c r="FH142" s="157"/>
      <c r="FI142" s="191">
        <v>10967079.279999999</v>
      </c>
      <c r="FJ142" s="157"/>
      <c r="FK142" s="191">
        <v>0</v>
      </c>
      <c r="FL142" s="157"/>
      <c r="FM142" s="191">
        <v>0</v>
      </c>
      <c r="FN142" s="157"/>
      <c r="FO142" s="191">
        <v>3524298</v>
      </c>
      <c r="FP142" s="157"/>
      <c r="FQ142" s="198">
        <v>3500851.99</v>
      </c>
      <c r="FR142" s="157"/>
      <c r="FS142" s="198">
        <v>3473220.89</v>
      </c>
      <c r="FT142" s="157"/>
      <c r="FU142" s="198">
        <v>3977274</v>
      </c>
      <c r="FV142" s="157"/>
      <c r="FW142" s="198">
        <v>3999201</v>
      </c>
      <c r="FX142" s="216"/>
      <c r="FY142" s="198">
        <v>3502707</v>
      </c>
    </row>
    <row r="143" spans="1:199" ht="14.25" hidden="1" customHeight="1" outlineLevel="1" collapsed="1">
      <c r="B143" s="157" t="s">
        <v>361</v>
      </c>
      <c r="C143" s="647">
        <f>C105</f>
        <v>0</v>
      </c>
      <c r="D143" s="410"/>
      <c r="E143" s="647">
        <f>E105</f>
        <v>0</v>
      </c>
      <c r="F143" s="410"/>
      <c r="G143" s="647">
        <f>G105</f>
        <v>0</v>
      </c>
      <c r="H143" s="410"/>
      <c r="I143" s="647">
        <f>I105</f>
        <v>0</v>
      </c>
      <c r="J143" s="410"/>
      <c r="K143" s="647">
        <f>K105</f>
        <v>0</v>
      </c>
      <c r="L143" s="410"/>
      <c r="M143" s="647">
        <f>M105</f>
        <v>0</v>
      </c>
      <c r="N143" s="410"/>
      <c r="O143" s="647">
        <v>0</v>
      </c>
      <c r="P143" s="410"/>
      <c r="Q143" s="647">
        <v>0</v>
      </c>
      <c r="R143" s="410"/>
      <c r="S143" s="647">
        <v>0</v>
      </c>
      <c r="T143" s="410"/>
      <c r="U143" s="647">
        <v>0</v>
      </c>
      <c r="V143" s="410"/>
      <c r="W143" s="812">
        <v>0</v>
      </c>
      <c r="X143" s="410"/>
      <c r="Y143" s="647">
        <v>0</v>
      </c>
      <c r="Z143" s="410"/>
      <c r="AA143" s="647">
        <v>0</v>
      </c>
      <c r="AB143" s="410"/>
      <c r="AC143" s="647">
        <f>AC105</f>
        <v>0</v>
      </c>
      <c r="AD143" s="410"/>
      <c r="AE143" s="647">
        <f>AE105</f>
        <v>0</v>
      </c>
      <c r="AF143" s="410"/>
      <c r="AG143" s="647">
        <f>AG105</f>
        <v>0</v>
      </c>
      <c r="AH143" s="410"/>
      <c r="AI143" s="647">
        <v>0</v>
      </c>
      <c r="AJ143" s="410"/>
      <c r="AK143" s="647">
        <v>0</v>
      </c>
      <c r="AL143" s="410"/>
      <c r="AM143" s="647">
        <v>0</v>
      </c>
      <c r="AN143" s="410"/>
      <c r="AO143" s="647">
        <v>0</v>
      </c>
      <c r="AP143" s="410"/>
      <c r="AQ143" s="647">
        <v>0</v>
      </c>
      <c r="AR143" s="410"/>
      <c r="AS143" s="647">
        <v>0</v>
      </c>
      <c r="AT143" s="410"/>
      <c r="AU143" s="812">
        <v>0</v>
      </c>
      <c r="AV143" s="410"/>
      <c r="AW143" s="647">
        <v>0</v>
      </c>
      <c r="AX143" s="410"/>
      <c r="AY143" s="647">
        <v>0</v>
      </c>
      <c r="AZ143" s="410"/>
      <c r="BA143" s="647">
        <v>0</v>
      </c>
      <c r="BB143" s="410"/>
      <c r="BC143" s="647">
        <v>0</v>
      </c>
      <c r="BD143" s="410"/>
      <c r="BE143" s="647">
        <v>0</v>
      </c>
      <c r="BF143" s="410"/>
      <c r="BG143" s="647">
        <v>0</v>
      </c>
      <c r="BH143" s="410"/>
      <c r="BI143" s="647">
        <v>0</v>
      </c>
      <c r="BJ143" s="410"/>
      <c r="BK143" s="647">
        <v>0</v>
      </c>
      <c r="BL143" s="410"/>
      <c r="BM143" s="647">
        <v>0</v>
      </c>
      <c r="BN143" s="410"/>
      <c r="BO143" s="647">
        <v>0</v>
      </c>
      <c r="BP143" s="410"/>
      <c r="BQ143" s="647">
        <f>BQ105</f>
        <v>0</v>
      </c>
      <c r="BR143" s="410"/>
      <c r="BS143" s="812">
        <v>0</v>
      </c>
      <c r="BT143" s="410"/>
      <c r="BU143" s="647">
        <f>BU105</f>
        <v>0</v>
      </c>
      <c r="BV143" s="410"/>
      <c r="BW143" s="198">
        <v>251635.63</v>
      </c>
      <c r="BX143" s="410"/>
      <c r="BY143" s="198">
        <v>4401690.07</v>
      </c>
      <c r="BZ143" s="410"/>
      <c r="CA143" s="198">
        <v>4636323.3499999996</v>
      </c>
      <c r="CB143" s="410"/>
      <c r="CC143" s="198">
        <v>4522873.09</v>
      </c>
      <c r="CD143" s="410"/>
      <c r="CE143" s="198">
        <v>4380222.09</v>
      </c>
      <c r="CF143" s="410"/>
      <c r="CG143" s="198">
        <v>4188511.0599999996</v>
      </c>
      <c r="CH143" s="410"/>
      <c r="CI143" s="198">
        <v>8386215.3799999999</v>
      </c>
      <c r="CJ143" s="410"/>
      <c r="CK143" s="198">
        <v>7980088.4100000001</v>
      </c>
      <c r="CL143" s="410"/>
      <c r="CM143" s="198">
        <f>CM105</f>
        <v>7978376.6200000001</v>
      </c>
      <c r="CN143" s="410"/>
      <c r="CO143" s="198">
        <v>7302948.2001884161</v>
      </c>
      <c r="CP143" s="410"/>
      <c r="CQ143" s="198">
        <f>CQ105</f>
        <v>7837333.4500000002</v>
      </c>
      <c r="CR143" s="410"/>
      <c r="CS143" s="198">
        <v>7687673</v>
      </c>
      <c r="CT143" s="157"/>
      <c r="CU143" s="198">
        <f>CU105</f>
        <v>7973400.7300000004</v>
      </c>
      <c r="CV143" s="157"/>
      <c r="CW143" s="198">
        <v>11931477.5</v>
      </c>
      <c r="CX143" s="157"/>
      <c r="CY143" s="198">
        <v>11430870.050000001</v>
      </c>
      <c r="CZ143" s="157"/>
      <c r="DA143" s="198">
        <v>11298005.609999999</v>
      </c>
      <c r="DB143" s="157"/>
      <c r="DC143" s="198">
        <v>10897100.689999999</v>
      </c>
      <c r="DD143" s="157"/>
      <c r="DE143" s="191">
        <v>10955615.300000001</v>
      </c>
      <c r="DF143" s="157"/>
      <c r="DG143" s="191">
        <v>11539465.74</v>
      </c>
      <c r="DH143" s="157"/>
      <c r="DI143" s="191">
        <v>14547273.140000001</v>
      </c>
      <c r="DJ143" s="157"/>
      <c r="DK143" s="191">
        <v>15349843.939999999</v>
      </c>
      <c r="DL143" s="157"/>
      <c r="DM143" s="191">
        <v>15643237.27</v>
      </c>
      <c r="DN143" s="157"/>
      <c r="DO143" s="191">
        <v>16447307.189999999</v>
      </c>
      <c r="DP143" s="157"/>
      <c r="DQ143" s="191">
        <v>15623956.58</v>
      </c>
      <c r="DR143" s="157"/>
      <c r="DS143" s="191">
        <v>15130694.859999999</v>
      </c>
      <c r="DT143" s="157"/>
      <c r="DU143" s="198">
        <v>15919394.880000001</v>
      </c>
      <c r="DV143" s="157"/>
      <c r="DW143" s="198">
        <v>32970675.170000002</v>
      </c>
      <c r="DX143" s="157"/>
      <c r="DY143" s="191">
        <v>33519983.780000001</v>
      </c>
      <c r="DZ143" s="157"/>
      <c r="EA143" s="191">
        <v>33232417.558680139</v>
      </c>
      <c r="EB143" s="157"/>
      <c r="EC143" s="191">
        <v>34152014.030000001</v>
      </c>
      <c r="ED143" s="157"/>
      <c r="EE143" s="191">
        <v>34667813.020000003</v>
      </c>
      <c r="EF143" s="157"/>
      <c r="EG143" s="198">
        <v>35088027.090000004</v>
      </c>
      <c r="EH143" s="157"/>
      <c r="EI143" s="198">
        <v>37053230.670000002</v>
      </c>
      <c r="EJ143" s="157"/>
      <c r="EK143" s="198">
        <v>35732981.729999997</v>
      </c>
      <c r="EL143" s="157"/>
      <c r="EM143" s="198">
        <v>25066700.924491301</v>
      </c>
      <c r="EN143" s="157"/>
      <c r="EO143" s="191">
        <v>23600000</v>
      </c>
      <c r="EP143" s="157"/>
      <c r="EQ143" s="191">
        <v>22401276.870000001</v>
      </c>
      <c r="ER143" s="191"/>
      <c r="ES143" s="191">
        <v>15875904.66</v>
      </c>
      <c r="ET143" s="191"/>
      <c r="EU143" s="191">
        <v>15144103.720000001</v>
      </c>
      <c r="EV143" s="191"/>
      <c r="EW143" s="191">
        <v>15144103.720000001</v>
      </c>
      <c r="EX143" s="191"/>
      <c r="EY143" s="191">
        <v>15184599.17</v>
      </c>
      <c r="EZ143" s="191"/>
      <c r="FA143" s="191">
        <v>14366206</v>
      </c>
      <c r="FB143" s="157"/>
      <c r="FC143" s="191">
        <v>14096101.6</v>
      </c>
      <c r="FD143" s="157"/>
      <c r="FE143" s="191">
        <v>29315533.34</v>
      </c>
      <c r="FF143" s="157"/>
      <c r="FG143" s="191">
        <v>28732594.439999998</v>
      </c>
      <c r="FH143" s="157"/>
      <c r="FI143" s="191">
        <v>28495803.960000001</v>
      </c>
      <c r="FJ143" s="157"/>
      <c r="FK143" s="191">
        <v>28792650.799999997</v>
      </c>
      <c r="FL143" s="157"/>
      <c r="FM143" s="191">
        <v>28656419.189999998</v>
      </c>
      <c r="FN143" s="157"/>
      <c r="FO143" s="191">
        <v>29144264.800000001</v>
      </c>
      <c r="FP143" s="157"/>
      <c r="FQ143" s="198">
        <v>13885288.380000001</v>
      </c>
      <c r="FR143" s="157"/>
      <c r="FS143" s="198">
        <v>13673787.5</v>
      </c>
      <c r="FT143" s="157"/>
      <c r="FU143" s="198">
        <v>0</v>
      </c>
      <c r="FV143" s="157"/>
      <c r="FW143" s="198">
        <v>0</v>
      </c>
      <c r="FX143" s="198"/>
      <c r="FY143" s="198">
        <v>0</v>
      </c>
    </row>
    <row r="144" spans="1:199" ht="14.25" customHeight="1" collapsed="1" thickBot="1">
      <c r="B144" s="157"/>
      <c r="C144" s="648">
        <f>SUM(C139:C143)</f>
        <v>0</v>
      </c>
      <c r="D144" s="629"/>
      <c r="E144" s="648">
        <f>SUM(E139:E143)</f>
        <v>0</v>
      </c>
      <c r="F144" s="629"/>
      <c r="G144" s="648">
        <f>SUM(G139:G143)</f>
        <v>0</v>
      </c>
      <c r="H144" s="629"/>
      <c r="I144" s="648">
        <f>SUM(I139:I143)</f>
        <v>0</v>
      </c>
      <c r="J144" s="629"/>
      <c r="K144" s="648">
        <f>SUM(K139:K143)</f>
        <v>0</v>
      </c>
      <c r="L144" s="629"/>
      <c r="M144" s="648">
        <f>SUM(M139:M143)</f>
        <v>0</v>
      </c>
      <c r="N144" s="629"/>
      <c r="O144" s="648">
        <v>0</v>
      </c>
      <c r="P144" s="629"/>
      <c r="Q144" s="648">
        <v>0</v>
      </c>
      <c r="R144" s="629"/>
      <c r="S144" s="648">
        <v>0</v>
      </c>
      <c r="T144" s="629"/>
      <c r="U144" s="648">
        <v>0</v>
      </c>
      <c r="V144" s="629"/>
      <c r="W144" s="1177">
        <v>0</v>
      </c>
      <c r="X144" s="629"/>
      <c r="Y144" s="648">
        <v>0</v>
      </c>
      <c r="Z144" s="629"/>
      <c r="AA144" s="648">
        <v>0</v>
      </c>
      <c r="AB144" s="629"/>
      <c r="AC144" s="648">
        <f>SUM(AC139:AC143)</f>
        <v>0</v>
      </c>
      <c r="AD144" s="629"/>
      <c r="AE144" s="648">
        <f>SUM(AE139:AE143)</f>
        <v>0</v>
      </c>
      <c r="AF144" s="629"/>
      <c r="AG144" s="648">
        <f>SUM(AG139:AG143)</f>
        <v>0</v>
      </c>
      <c r="AH144" s="629"/>
      <c r="AI144" s="648">
        <v>0</v>
      </c>
      <c r="AJ144" s="629"/>
      <c r="AK144" s="648">
        <v>0</v>
      </c>
      <c r="AL144" s="629"/>
      <c r="AM144" s="648">
        <v>0</v>
      </c>
      <c r="AN144" s="629"/>
      <c r="AO144" s="648">
        <v>0</v>
      </c>
      <c r="AP144" s="629"/>
      <c r="AQ144" s="648">
        <v>0</v>
      </c>
      <c r="AR144" s="629"/>
      <c r="AS144" s="648">
        <v>0</v>
      </c>
      <c r="AT144" s="629"/>
      <c r="AU144" s="1177">
        <v>0</v>
      </c>
      <c r="AV144" s="629"/>
      <c r="AW144" s="648">
        <v>0</v>
      </c>
      <c r="AX144" s="629"/>
      <c r="AY144" s="648">
        <v>0</v>
      </c>
      <c r="AZ144" s="629"/>
      <c r="BA144" s="648">
        <v>0</v>
      </c>
      <c r="BB144" s="629"/>
      <c r="BC144" s="648">
        <v>0</v>
      </c>
      <c r="BD144" s="629"/>
      <c r="BE144" s="648">
        <v>0</v>
      </c>
      <c r="BF144" s="629"/>
      <c r="BG144" s="836">
        <v>0</v>
      </c>
      <c r="BH144" s="629"/>
      <c r="BI144" s="648">
        <v>0</v>
      </c>
      <c r="BJ144" s="629"/>
      <c r="BK144" s="648">
        <v>0</v>
      </c>
      <c r="BL144" s="629"/>
      <c r="BM144" s="648">
        <v>0</v>
      </c>
      <c r="BN144" s="629"/>
      <c r="BO144" s="648">
        <v>0</v>
      </c>
      <c r="BP144" s="629"/>
      <c r="BQ144" s="648">
        <f>SUM(BQ139:BQ143)</f>
        <v>0</v>
      </c>
      <c r="BR144" s="629"/>
      <c r="BS144" s="1177">
        <v>0</v>
      </c>
      <c r="BT144" s="629"/>
      <c r="BU144" s="648">
        <f>SUM(BU139:BU143)</f>
        <v>0</v>
      </c>
      <c r="BV144" s="629"/>
      <c r="BW144" s="218">
        <v>7113192.6299999999</v>
      </c>
      <c r="BX144" s="410"/>
      <c r="BY144" s="218">
        <v>10927654.43</v>
      </c>
      <c r="BZ144" s="410"/>
      <c r="CA144" s="218">
        <v>11124600.93</v>
      </c>
      <c r="CB144" s="410"/>
      <c r="CC144" s="218">
        <v>10455931.109999999</v>
      </c>
      <c r="CD144" s="410"/>
      <c r="CE144" s="218">
        <v>9588283.1799999997</v>
      </c>
      <c r="CF144" s="410"/>
      <c r="CG144" s="218">
        <v>8796000.5700000003</v>
      </c>
      <c r="CH144" s="410"/>
      <c r="CI144" s="218">
        <v>14319880.060582232</v>
      </c>
      <c r="CJ144" s="410"/>
      <c r="CK144" s="218">
        <v>13437401.2971</v>
      </c>
      <c r="CL144" s="410"/>
      <c r="CM144" s="218">
        <f>SUM(CM139:CM143)</f>
        <v>13053666.87621641</v>
      </c>
      <c r="CN144" s="410"/>
      <c r="CO144" s="218">
        <f>SUM(CO139:CO143)</f>
        <v>11720428.340770647</v>
      </c>
      <c r="CP144" s="410"/>
      <c r="CQ144" s="218">
        <f>SUM(CQ139:CQ143)</f>
        <v>101579809.94986139</v>
      </c>
      <c r="CR144" s="410"/>
      <c r="CS144" s="218">
        <f>SUM(CS139:CS143)</f>
        <v>10836586.77</v>
      </c>
      <c r="CT144" s="157"/>
      <c r="CU144" s="219">
        <f>SUM(CU139:CU143)</f>
        <v>13315929.934907949</v>
      </c>
      <c r="CV144" s="157"/>
      <c r="CW144" s="219">
        <f>SUM(CW139:CW143)</f>
        <v>17241372.5</v>
      </c>
      <c r="CX144" s="157"/>
      <c r="CY144" s="219">
        <f>SUM(CY139:CY143)</f>
        <v>19345982.32</v>
      </c>
      <c r="CZ144" s="157"/>
      <c r="DA144" s="219">
        <f>SUM(DA139:DA143)</f>
        <v>23801301.57</v>
      </c>
      <c r="DB144" s="157"/>
      <c r="DC144" s="219">
        <f>SUM(DC139:DC143)</f>
        <v>25023106.229999997</v>
      </c>
      <c r="DD144" s="157"/>
      <c r="DE144" s="219">
        <f>SUM(DE139:DE143)</f>
        <v>21986315.990000002</v>
      </c>
      <c r="DF144" s="157"/>
      <c r="DG144" s="219">
        <f>SUM(DG139:DG143)</f>
        <v>18336890.890000001</v>
      </c>
      <c r="DH144" s="157"/>
      <c r="DI144" s="219">
        <f>SUM(DI139:DI143)</f>
        <v>28819028.16</v>
      </c>
      <c r="DJ144" s="157"/>
      <c r="DK144" s="219">
        <f>SUM(DK139:DK143)</f>
        <v>37432043.439999998</v>
      </c>
      <c r="DL144" s="157"/>
      <c r="DM144" s="219">
        <f>SUM(DM139:DM143)</f>
        <v>39717585.310000002</v>
      </c>
      <c r="DN144" s="157"/>
      <c r="DO144" s="219">
        <v>41790431.899999999</v>
      </c>
      <c r="DP144" s="157"/>
      <c r="DQ144" s="219">
        <v>41196304.619999997</v>
      </c>
      <c r="DR144" s="157"/>
      <c r="DS144" s="219">
        <v>43883720.870000005</v>
      </c>
      <c r="DT144" s="157"/>
      <c r="DU144" s="219">
        <v>45473136.460000001</v>
      </c>
      <c r="DV144" s="157"/>
      <c r="DW144" s="219">
        <v>66091969.130000003</v>
      </c>
      <c r="DX144" s="157"/>
      <c r="DY144" s="219">
        <v>67906122.430000007</v>
      </c>
      <c r="DZ144" s="157"/>
      <c r="EA144" s="219">
        <v>69495225.156614155</v>
      </c>
      <c r="EB144" s="157"/>
      <c r="EC144" s="219">
        <v>71051834.650000006</v>
      </c>
      <c r="ED144" s="157"/>
      <c r="EE144" s="219">
        <v>64591356.950000003</v>
      </c>
      <c r="EF144" s="157"/>
      <c r="EG144" s="219">
        <v>69601311.372092366</v>
      </c>
      <c r="EH144" s="157"/>
      <c r="EI144" s="219">
        <v>72997631.460000008</v>
      </c>
      <c r="EJ144" s="157"/>
      <c r="EK144" s="219">
        <v>71614817.486219898</v>
      </c>
      <c r="EL144" s="157"/>
      <c r="EM144" s="219">
        <v>58104622.632272005</v>
      </c>
      <c r="EN144" s="157"/>
      <c r="EO144" s="219">
        <v>54581863.870000005</v>
      </c>
      <c r="EP144" s="157"/>
      <c r="EQ144" s="219">
        <v>52403921.850000001</v>
      </c>
      <c r="ER144" s="200"/>
      <c r="ES144" s="219">
        <v>42283306.980000004</v>
      </c>
      <c r="ET144" s="200"/>
      <c r="EU144" s="219">
        <v>28230519.270000003</v>
      </c>
      <c r="EV144" s="200"/>
      <c r="EW144" s="219">
        <v>24360519.270000003</v>
      </c>
      <c r="EX144" s="200"/>
      <c r="EY144" s="219">
        <v>24490038</v>
      </c>
      <c r="EZ144" s="200"/>
      <c r="FA144" s="219">
        <v>23223738.600000001</v>
      </c>
      <c r="FB144" s="157"/>
      <c r="FC144" s="219">
        <v>22979134.229999997</v>
      </c>
      <c r="FD144" s="157"/>
      <c r="FE144" s="219">
        <v>42391199.899999999</v>
      </c>
      <c r="FF144" s="157"/>
      <c r="FG144" s="219">
        <v>41972194.379999995</v>
      </c>
      <c r="FH144" s="157"/>
      <c r="FI144" s="219">
        <v>40843583.240000002</v>
      </c>
      <c r="FJ144" s="157"/>
      <c r="FK144" s="219">
        <v>30297449.489999998</v>
      </c>
      <c r="FL144" s="157"/>
      <c r="FM144" s="219">
        <v>30153373.169999998</v>
      </c>
      <c r="FN144" s="157"/>
      <c r="FO144" s="219">
        <v>34084205.740000002</v>
      </c>
      <c r="FP144" s="157"/>
      <c r="FQ144" s="219">
        <v>18792935.830000002</v>
      </c>
      <c r="FR144" s="157"/>
      <c r="FS144" s="219">
        <v>18546624</v>
      </c>
      <c r="FT144" s="157"/>
      <c r="FU144" s="219">
        <v>6856720</v>
      </c>
      <c r="FV144" s="157"/>
      <c r="FW144" s="219">
        <v>6853724.2000000002</v>
      </c>
      <c r="FX144" s="200"/>
      <c r="FY144" s="219">
        <v>6274740.21</v>
      </c>
    </row>
    <row r="145" spans="2:181" ht="14.25" customHeight="1">
      <c r="B145" s="157"/>
      <c r="C145" s="501"/>
      <c r="D145" s="410"/>
      <c r="E145" s="501"/>
      <c r="F145" s="410"/>
      <c r="G145" s="501"/>
      <c r="H145" s="410"/>
      <c r="I145" s="501"/>
      <c r="J145" s="410"/>
      <c r="K145" s="501"/>
      <c r="L145" s="410"/>
      <c r="M145" s="501"/>
      <c r="N145" s="410"/>
      <c r="O145" s="501"/>
      <c r="P145" s="410"/>
      <c r="Q145" s="501"/>
      <c r="R145" s="410"/>
      <c r="S145" s="501"/>
      <c r="T145" s="410"/>
      <c r="U145" s="501"/>
      <c r="V145" s="410"/>
      <c r="W145" s="825"/>
      <c r="X145" s="410"/>
      <c r="Y145" s="501"/>
      <c r="Z145" s="410"/>
      <c r="AA145" s="501"/>
      <c r="AB145" s="410"/>
      <c r="AC145" s="501"/>
      <c r="AD145" s="410"/>
      <c r="AE145" s="501"/>
      <c r="AF145" s="410"/>
      <c r="AG145" s="501"/>
      <c r="AH145" s="410"/>
      <c r="AI145" s="501"/>
      <c r="AJ145" s="410"/>
      <c r="AK145" s="501"/>
      <c r="AL145" s="410"/>
      <c r="AM145" s="501"/>
      <c r="AN145" s="410"/>
      <c r="AO145" s="501"/>
      <c r="AP145" s="410"/>
      <c r="AQ145" s="501"/>
      <c r="AR145" s="410"/>
      <c r="AS145" s="501"/>
      <c r="AT145" s="410"/>
      <c r="AU145" s="825"/>
      <c r="AV145" s="410"/>
      <c r="AW145" s="501"/>
      <c r="AX145" s="410"/>
      <c r="AY145" s="501"/>
      <c r="AZ145" s="410"/>
      <c r="BA145" s="501"/>
      <c r="BB145" s="410"/>
      <c r="BC145" s="501"/>
      <c r="BD145" s="410"/>
      <c r="BE145" s="501"/>
      <c r="BF145" s="410"/>
      <c r="BG145" s="511"/>
      <c r="BH145" s="410"/>
      <c r="BI145" s="501"/>
      <c r="BJ145" s="410"/>
      <c r="BK145" s="501"/>
      <c r="BL145" s="410"/>
      <c r="BM145" s="501"/>
      <c r="BN145" s="410"/>
      <c r="BO145" s="501"/>
      <c r="BP145" s="410"/>
      <c r="BQ145" s="501"/>
      <c r="BR145" s="410"/>
      <c r="BS145" s="825"/>
      <c r="BT145" s="410"/>
      <c r="BU145" s="501"/>
      <c r="BV145" s="410"/>
      <c r="BW145" s="157"/>
      <c r="BX145" s="410"/>
      <c r="BY145" s="157"/>
      <c r="BZ145" s="410"/>
      <c r="CA145" s="157"/>
      <c r="CB145" s="410"/>
      <c r="CC145" s="157"/>
      <c r="CD145" s="410"/>
      <c r="CE145" s="157"/>
      <c r="CF145" s="410"/>
      <c r="CG145" s="157"/>
      <c r="CH145" s="410"/>
      <c r="CI145" s="157"/>
      <c r="CJ145" s="410"/>
      <c r="CK145" s="157"/>
      <c r="CL145" s="410"/>
      <c r="CM145" s="157"/>
      <c r="CN145" s="410"/>
      <c r="CO145" s="157"/>
      <c r="CP145" s="410"/>
      <c r="CQ145" s="157"/>
      <c r="CR145" s="410"/>
      <c r="CS145" s="157"/>
      <c r="CT145" s="157"/>
      <c r="CU145" s="157"/>
      <c r="CV145" s="157"/>
      <c r="CW145" s="157"/>
      <c r="CX145" s="157"/>
      <c r="CY145" s="157"/>
      <c r="CZ145" s="157"/>
      <c r="DA145" s="157"/>
      <c r="DB145" s="157"/>
      <c r="DC145" s="157"/>
      <c r="DD145" s="157"/>
      <c r="DE145" s="157"/>
      <c r="DF145" s="157"/>
      <c r="DG145" s="157"/>
      <c r="DH145" s="157"/>
      <c r="DI145" s="157"/>
      <c r="DJ145" s="157"/>
      <c r="DK145" s="157"/>
      <c r="DL145" s="157"/>
      <c r="DM145" s="157"/>
      <c r="DN145" s="157"/>
      <c r="DO145" s="157"/>
      <c r="DP145" s="157"/>
      <c r="DQ145" s="157"/>
      <c r="DR145" s="157"/>
      <c r="DS145" s="157"/>
      <c r="DT145" s="157"/>
      <c r="DU145" s="157"/>
      <c r="DV145" s="157"/>
      <c r="DW145" s="157"/>
      <c r="DX145" s="157"/>
      <c r="DY145" s="157"/>
      <c r="DZ145" s="157"/>
      <c r="EA145" s="157"/>
      <c r="EB145" s="157"/>
      <c r="EC145" s="157"/>
      <c r="ED145" s="157"/>
      <c r="EE145" s="157"/>
      <c r="EF145" s="157"/>
      <c r="EG145" s="157"/>
      <c r="EH145" s="157"/>
      <c r="EI145" s="157"/>
      <c r="EJ145" s="157"/>
      <c r="EK145" s="157"/>
      <c r="EL145" s="157"/>
      <c r="EM145" s="157"/>
      <c r="EN145" s="157"/>
      <c r="EO145" s="157"/>
      <c r="EP145" s="157"/>
      <c r="EQ145" s="157"/>
      <c r="ER145" s="157"/>
      <c r="ES145" s="157"/>
      <c r="ET145" s="157"/>
      <c r="EU145" s="157"/>
      <c r="EV145" s="157"/>
      <c r="EW145" s="157"/>
      <c r="EX145" s="157"/>
      <c r="EY145" s="157"/>
      <c r="EZ145" s="157"/>
      <c r="FA145" s="157"/>
      <c r="FB145" s="157"/>
      <c r="FC145" s="157"/>
      <c r="FD145" s="157"/>
      <c r="FE145" s="157"/>
      <c r="FF145" s="157"/>
      <c r="FG145" s="157"/>
      <c r="FH145" s="157"/>
      <c r="FI145" s="157"/>
      <c r="FJ145" s="157"/>
      <c r="FK145" s="157"/>
      <c r="FL145" s="157"/>
      <c r="FM145" s="157"/>
      <c r="FN145" s="157"/>
      <c r="FO145" s="157"/>
      <c r="FP145" s="157"/>
      <c r="FQ145" s="157"/>
      <c r="FR145" s="157"/>
      <c r="FS145" s="157"/>
      <c r="FT145" s="157"/>
      <c r="FU145" s="157"/>
      <c r="FV145" s="157"/>
      <c r="FW145" s="157"/>
      <c r="FX145" s="157"/>
      <c r="FY145" s="157"/>
    </row>
    <row r="146" spans="2:181" ht="14.25" customHeight="1">
      <c r="B146" s="157" t="s">
        <v>373</v>
      </c>
      <c r="C146" s="167">
        <v>0</v>
      </c>
      <c r="D146" s="410"/>
      <c r="E146" s="167">
        <v>0</v>
      </c>
      <c r="F146" s="410"/>
      <c r="G146" s="167">
        <v>0</v>
      </c>
      <c r="H146" s="410"/>
      <c r="I146" s="167">
        <v>0</v>
      </c>
      <c r="J146" s="410"/>
      <c r="K146" s="167">
        <v>0</v>
      </c>
      <c r="L146" s="410"/>
      <c r="M146" s="167">
        <v>0</v>
      </c>
      <c r="N146" s="410"/>
      <c r="O146" s="167">
        <v>0</v>
      </c>
      <c r="P146" s="410"/>
      <c r="Q146" s="167">
        <v>0</v>
      </c>
      <c r="R146" s="410"/>
      <c r="S146" s="167">
        <v>0</v>
      </c>
      <c r="T146" s="410"/>
      <c r="U146" s="167">
        <v>0</v>
      </c>
      <c r="V146" s="410"/>
      <c r="W146" s="418">
        <v>0</v>
      </c>
      <c r="X146" s="410"/>
      <c r="Y146" s="167">
        <v>0</v>
      </c>
      <c r="Z146" s="410"/>
      <c r="AA146" s="167">
        <v>0</v>
      </c>
      <c r="AB146" s="410"/>
      <c r="AC146" s="167">
        <v>0</v>
      </c>
      <c r="AD146" s="410"/>
      <c r="AE146" s="167">
        <v>0</v>
      </c>
      <c r="AF146" s="410"/>
      <c r="AG146" s="167">
        <v>0</v>
      </c>
      <c r="AH146" s="410"/>
      <c r="AI146" s="167">
        <v>0</v>
      </c>
      <c r="AJ146" s="410"/>
      <c r="AK146" s="167">
        <v>0</v>
      </c>
      <c r="AL146" s="410"/>
      <c r="AM146" s="167">
        <v>0</v>
      </c>
      <c r="AN146" s="410"/>
      <c r="AO146" s="167">
        <v>0</v>
      </c>
      <c r="AP146" s="410"/>
      <c r="AQ146" s="167">
        <v>0</v>
      </c>
      <c r="AR146" s="410"/>
      <c r="AS146" s="167">
        <v>0</v>
      </c>
      <c r="AT146" s="410"/>
      <c r="AU146" s="418">
        <v>0</v>
      </c>
      <c r="AV146" s="410"/>
      <c r="AW146" s="167">
        <v>0</v>
      </c>
      <c r="AX146" s="410"/>
      <c r="AY146" s="167">
        <v>0</v>
      </c>
      <c r="AZ146" s="410"/>
      <c r="BA146" s="167">
        <v>0</v>
      </c>
      <c r="BB146" s="410"/>
      <c r="BC146" s="167">
        <v>0</v>
      </c>
      <c r="BD146" s="410"/>
      <c r="BE146" s="167">
        <v>0</v>
      </c>
      <c r="BF146" s="410"/>
      <c r="BG146" s="167">
        <v>0</v>
      </c>
      <c r="BH146" s="410"/>
      <c r="BI146" s="167">
        <v>0</v>
      </c>
      <c r="BJ146" s="410"/>
      <c r="BK146" s="167">
        <v>0</v>
      </c>
      <c r="BL146" s="410"/>
      <c r="BM146" s="167">
        <v>0</v>
      </c>
      <c r="BN146" s="410"/>
      <c r="BO146" s="167">
        <v>0</v>
      </c>
      <c r="BP146" s="410"/>
      <c r="BQ146" s="167">
        <f>+BQ133-BQ144</f>
        <v>0</v>
      </c>
      <c r="BR146" s="410"/>
      <c r="BS146" s="418">
        <v>0</v>
      </c>
      <c r="BT146" s="410"/>
      <c r="BU146" s="167">
        <f>+BU133-BU144</f>
        <v>0</v>
      </c>
      <c r="BV146" s="410"/>
      <c r="BW146" s="167">
        <v>0</v>
      </c>
      <c r="BX146" s="410"/>
      <c r="BY146" s="167">
        <v>0</v>
      </c>
      <c r="BZ146" s="410"/>
      <c r="CA146" s="167">
        <v>0</v>
      </c>
      <c r="CB146" s="410"/>
      <c r="CC146" s="167">
        <v>0</v>
      </c>
      <c r="CD146" s="410"/>
      <c r="CE146" s="167">
        <v>0</v>
      </c>
      <c r="CF146" s="410"/>
      <c r="CG146" s="167">
        <v>0</v>
      </c>
      <c r="CH146" s="410"/>
      <c r="CI146" s="167">
        <v>1020483.3894177675</v>
      </c>
      <c r="CJ146" s="410"/>
      <c r="CK146" s="167">
        <v>1076908.8329000007</v>
      </c>
      <c r="CL146" s="410"/>
      <c r="CM146" s="167">
        <f>+CM133-CM144</f>
        <v>1045949.0637835916</v>
      </c>
      <c r="CN146" s="410"/>
      <c r="CO146" s="167">
        <f>+CO133-CO144</f>
        <v>1208429.5592293534</v>
      </c>
      <c r="CP146" s="410"/>
      <c r="CQ146" s="167">
        <f>+CQ133-CQ144</f>
        <v>1038708.8401385993</v>
      </c>
      <c r="CR146" s="410"/>
      <c r="CS146" s="167">
        <f>+CS133-CS144</f>
        <v>3693410.3100000005</v>
      </c>
      <c r="CT146" s="157"/>
      <c r="CU146" s="167">
        <f>+CU133-CU144</f>
        <v>1050428.7450920511</v>
      </c>
      <c r="CV146" s="157"/>
      <c r="CW146" s="167">
        <f>+CW133-CW144</f>
        <v>1365390.25</v>
      </c>
      <c r="CX146" s="157"/>
      <c r="CY146" s="167">
        <f>+CY133-CY144</f>
        <v>1196327.7400000021</v>
      </c>
      <c r="CZ146" s="157"/>
      <c r="DA146" s="167">
        <f>+DA133-DA144</f>
        <v>1381897.1599999964</v>
      </c>
      <c r="DB146" s="157"/>
      <c r="DC146" s="167">
        <f>+DC133-DC144</f>
        <v>1202156.9900000021</v>
      </c>
      <c r="DD146" s="157"/>
      <c r="DE146" s="167">
        <f>+DE133-DE144</f>
        <v>4295163.18</v>
      </c>
      <c r="DF146" s="157"/>
      <c r="DG146" s="167">
        <f>+DG133-DG144</f>
        <v>7038540.7400000021</v>
      </c>
      <c r="DH146" s="157"/>
      <c r="DI146" s="167">
        <f>+DI133-DI144</f>
        <v>143904.23000000045</v>
      </c>
      <c r="DJ146" s="157"/>
      <c r="DK146" s="167">
        <f>+DK133-DK144</f>
        <v>487272.63000000268</v>
      </c>
      <c r="DL146" s="157"/>
      <c r="DM146" s="167">
        <f>+DM133-DM144</f>
        <v>241884.55999999493</v>
      </c>
      <c r="DN146" s="157"/>
      <c r="DO146" s="167">
        <v>36294.410000003874</v>
      </c>
      <c r="DP146" s="157"/>
      <c r="DQ146" s="166">
        <v>700196.39999999851</v>
      </c>
      <c r="DR146" s="157"/>
      <c r="DS146" s="166">
        <v>-3366654.8910666704</v>
      </c>
      <c r="DT146" s="157"/>
      <c r="DU146" s="166">
        <v>666822.92941896617</v>
      </c>
      <c r="DV146" s="157"/>
      <c r="DW146" s="166">
        <v>3426984.7849736884</v>
      </c>
      <c r="DX146" s="157"/>
      <c r="DY146" s="166">
        <v>3725351.0399999917</v>
      </c>
      <c r="DZ146" s="157"/>
      <c r="EA146" s="166">
        <v>4417636.6074102223</v>
      </c>
      <c r="EB146" s="157"/>
      <c r="EC146" s="167">
        <v>4088559.6999999881</v>
      </c>
      <c r="ED146" s="157"/>
      <c r="EE146" s="167">
        <v>7287176.4699999988</v>
      </c>
      <c r="EF146" s="157"/>
      <c r="EG146" s="166">
        <v>4710494.2150550485</v>
      </c>
      <c r="EH146" s="157"/>
      <c r="EI146" s="166">
        <v>4881517.7399999797</v>
      </c>
      <c r="EJ146" s="157"/>
      <c r="EK146" s="166">
        <v>5027964.1437800974</v>
      </c>
      <c r="EL146" s="157"/>
      <c r="EM146" s="166">
        <v>14880955.127727985</v>
      </c>
      <c r="EN146" s="157"/>
      <c r="EO146" s="166">
        <v>12907261.129999995</v>
      </c>
      <c r="EP146" s="157"/>
      <c r="EQ146" s="166">
        <v>12589550.170000009</v>
      </c>
      <c r="ER146" s="166"/>
      <c r="ES146" s="166">
        <v>20946148.799999997</v>
      </c>
      <c r="ET146" s="166"/>
      <c r="EU146" s="166">
        <v>21645433.68</v>
      </c>
      <c r="EV146" s="166"/>
      <c r="EW146" s="166">
        <v>23520760.04999999</v>
      </c>
      <c r="EX146" s="166"/>
      <c r="EY146" s="166">
        <v>20942762.469999999</v>
      </c>
      <c r="EZ146" s="166"/>
      <c r="FA146" s="166">
        <v>23577434.869999997</v>
      </c>
      <c r="FB146" s="166"/>
      <c r="FC146" s="166">
        <v>24879933.030000009</v>
      </c>
      <c r="FD146" s="166"/>
      <c r="FE146" s="166">
        <v>2960611.8200000003</v>
      </c>
      <c r="FF146" s="166"/>
      <c r="FG146" s="166">
        <v>2890409.2800000012</v>
      </c>
      <c r="FH146" s="166"/>
      <c r="FI146" s="166">
        <v>3076963.6300000027</v>
      </c>
      <c r="FJ146" s="166"/>
      <c r="FK146" s="166">
        <v>3024254.1499999985</v>
      </c>
      <c r="FL146" s="166"/>
      <c r="FM146" s="166">
        <v>2959549.6699999981</v>
      </c>
      <c r="FN146" s="166"/>
      <c r="FO146" s="166">
        <v>4495592.8799999952</v>
      </c>
      <c r="FP146" s="166"/>
      <c r="FQ146" s="166">
        <v>4417259.629999999</v>
      </c>
      <c r="FR146" s="166"/>
      <c r="FS146" s="166">
        <v>4558867.7300000004</v>
      </c>
      <c r="FT146" s="157"/>
      <c r="FU146" s="166">
        <v>3756642.6100000013</v>
      </c>
      <c r="FV146" s="166"/>
      <c r="FW146" s="166">
        <v>4622250.5399999982</v>
      </c>
      <c r="FX146" s="166"/>
      <c r="FY146" s="166">
        <v>4549136.0999999987</v>
      </c>
    </row>
    <row r="147" spans="2:181" ht="14.25" customHeight="1">
      <c r="B147" s="157" t="s">
        <v>232</v>
      </c>
      <c r="C147" s="198">
        <f>'Balance Sheet - Dec25'!C25</f>
        <v>547319021.83000004</v>
      </c>
      <c r="D147" s="410"/>
      <c r="E147" s="198">
        <f>'Balance Sheet - Dec25'!E25</f>
        <v>541821979.0200001</v>
      </c>
      <c r="F147" s="410"/>
      <c r="G147" s="198">
        <f>'Balance Sheet - Dec25'!G25</f>
        <v>550285915.91999996</v>
      </c>
      <c r="H147" s="410"/>
      <c r="I147" s="198">
        <f>'Balance Sheet - Dec25'!I25</f>
        <v>548397267.54999995</v>
      </c>
      <c r="J147" s="410"/>
      <c r="K147" s="198">
        <f>'Balance Sheet - Dec25'!K25</f>
        <v>546283054.51999998</v>
      </c>
      <c r="L147" s="410"/>
      <c r="M147" s="198">
        <f>'Balance Sheet - Dec25'!M25</f>
        <v>550479004.24000001</v>
      </c>
      <c r="N147" s="410"/>
      <c r="O147" s="198">
        <v>612313584.79000008</v>
      </c>
      <c r="P147" s="410"/>
      <c r="Q147" s="198">
        <v>609976814.43000007</v>
      </c>
      <c r="R147" s="410"/>
      <c r="S147" s="198">
        <v>608035413.99000001</v>
      </c>
      <c r="T147" s="410"/>
      <c r="U147" s="198">
        <v>708035068.51999998</v>
      </c>
      <c r="V147" s="410"/>
      <c r="W147" s="547">
        <v>623836050.39999998</v>
      </c>
      <c r="X147" s="410"/>
      <c r="Y147" s="198">
        <v>633550828.04999995</v>
      </c>
      <c r="Z147" s="410"/>
      <c r="AA147" s="198">
        <v>637729313.19000006</v>
      </c>
      <c r="AB147" s="410"/>
      <c r="AC147" s="198">
        <f>'Balance Sheet - Dec25'!AC25</f>
        <v>638340523.90999997</v>
      </c>
      <c r="AD147" s="410"/>
      <c r="AE147" s="198">
        <f>'Balance Sheet - Dec25'!AE25</f>
        <v>638936637.18000007</v>
      </c>
      <c r="AF147" s="410"/>
      <c r="AG147" s="198">
        <f>'Balance Sheet - Dec25'!AG25</f>
        <v>641882567.62</v>
      </c>
      <c r="AH147" s="410"/>
      <c r="AI147" s="198">
        <v>642276932.21000004</v>
      </c>
      <c r="AJ147" s="410"/>
      <c r="AK147" s="198">
        <v>641436337</v>
      </c>
      <c r="AL147" s="410"/>
      <c r="AM147" s="198">
        <v>639583918.85000002</v>
      </c>
      <c r="AN147" s="410"/>
      <c r="AO147" s="198">
        <v>641468069.67999995</v>
      </c>
      <c r="AP147" s="410"/>
      <c r="AQ147" s="198">
        <v>642507688.91000009</v>
      </c>
      <c r="AR147" s="410"/>
      <c r="AS147" s="198">
        <v>637010067.08999991</v>
      </c>
      <c r="AT147" s="410"/>
      <c r="AU147" s="547">
        <v>637381142.38999999</v>
      </c>
      <c r="AV147" s="410"/>
      <c r="AW147" s="198">
        <v>636490030.63999999</v>
      </c>
      <c r="AX147" s="410"/>
      <c r="AY147" s="198">
        <v>633448024.21000004</v>
      </c>
      <c r="AZ147" s="410"/>
      <c r="BA147" s="198">
        <v>629403132.83000004</v>
      </c>
      <c r="BB147" s="410"/>
      <c r="BC147" s="198">
        <v>628339096.33000004</v>
      </c>
      <c r="BD147" s="410"/>
      <c r="BE147" s="198">
        <v>627344290.20000005</v>
      </c>
      <c r="BF147" s="410"/>
      <c r="BG147" s="198">
        <v>626724299.25999999</v>
      </c>
      <c r="BH147" s="410"/>
      <c r="BI147" s="198">
        <v>626798742.63</v>
      </c>
      <c r="BJ147" s="410"/>
      <c r="BK147" s="198">
        <v>625152772.38</v>
      </c>
      <c r="BL147" s="410"/>
      <c r="BM147" s="198">
        <v>622907473.91999996</v>
      </c>
      <c r="BN147" s="410"/>
      <c r="BO147" s="198">
        <v>620029783.80999994</v>
      </c>
      <c r="BP147" s="410"/>
      <c r="BQ147" s="198">
        <f>+'Balance Sheet - Dec25'!BQ25</f>
        <v>618949702.19000006</v>
      </c>
      <c r="BR147" s="410"/>
      <c r="BS147" s="547">
        <v>618310883.98899996</v>
      </c>
      <c r="BT147" s="410"/>
      <c r="BU147" s="198">
        <f>+'Balance Sheet - Dec25'!BU25</f>
        <v>628212132.21899998</v>
      </c>
      <c r="BV147" s="410"/>
      <c r="BW147" s="198">
        <v>198678328.61899996</v>
      </c>
      <c r="BX147" s="410"/>
      <c r="BY147" s="198">
        <v>198813802.28899997</v>
      </c>
      <c r="BZ147" s="410"/>
      <c r="CA147" s="198">
        <v>205991898.609</v>
      </c>
      <c r="CB147" s="410"/>
      <c r="CC147" s="198">
        <v>205350008.89899999</v>
      </c>
      <c r="CD147" s="410"/>
      <c r="CE147" s="198">
        <v>202365370.11899999</v>
      </c>
      <c r="CF147" s="410"/>
      <c r="CG147" s="198">
        <v>199189447.639</v>
      </c>
      <c r="CH147" s="410"/>
      <c r="CI147" s="198">
        <v>197814195.109</v>
      </c>
      <c r="CJ147" s="410"/>
      <c r="CK147" s="198">
        <v>194673846.68899998</v>
      </c>
      <c r="CL147" s="410"/>
      <c r="CM147" s="198">
        <f>+'Balance Sheet - Dec25'!CM25</f>
        <v>195645764.49900001</v>
      </c>
      <c r="CN147" s="410"/>
      <c r="CO147" s="198">
        <f>+'Balance Sheet - Dec25'!CO25</f>
        <v>188425403.89000002</v>
      </c>
      <c r="CP147" s="410"/>
      <c r="CQ147" s="198">
        <f>+'Balance Sheet - Dec25'!CQ25</f>
        <v>102934429.29000001</v>
      </c>
      <c r="CR147" s="410"/>
      <c r="CS147" s="198">
        <f>+'Balance Sheet - Dec25'!CS25</f>
        <v>152715907.59</v>
      </c>
      <c r="CT147" s="157"/>
      <c r="CU147" s="198">
        <f>+'Balance Sheet - Dec25'!CU25</f>
        <v>107602697.31</v>
      </c>
      <c r="CV147" s="157"/>
      <c r="CW147" s="198">
        <f>+'Balance Sheet - Dec25'!CW25</f>
        <v>106553858.94</v>
      </c>
      <c r="CX147" s="157"/>
      <c r="CY147" s="198">
        <f>+'Balance Sheet - Dec25'!CY25</f>
        <v>107557026.02</v>
      </c>
      <c r="CZ147" s="157"/>
      <c r="DA147" s="198">
        <f>+'Balance Sheet - Dec25'!DA25</f>
        <v>108154578.64999999</v>
      </c>
      <c r="DB147" s="157"/>
      <c r="DC147" s="198">
        <f>+'Balance Sheet - Dec25'!DC25</f>
        <v>107924511.19</v>
      </c>
      <c r="DD147" s="157"/>
      <c r="DE147" s="191">
        <f>+'Balance Sheet - Dec25'!DE25</f>
        <v>107796951.84</v>
      </c>
      <c r="DF147" s="157"/>
      <c r="DG147" s="191">
        <f>+'Balance Sheet - Dec25'!DG25</f>
        <v>106680830.55</v>
      </c>
      <c r="DH147" s="157"/>
      <c r="DI147" s="191">
        <f>+'Balance Sheet - Dec25'!DI25</f>
        <v>106202573.95999999</v>
      </c>
      <c r="DJ147" s="157"/>
      <c r="DK147" s="191">
        <f>+'Balance Sheet - Dec25'!DK25</f>
        <v>105361632.56</v>
      </c>
      <c r="DL147" s="157"/>
      <c r="DM147" s="191">
        <f>+'Balance Sheet - Dec25'!DM25</f>
        <v>104107446.28999999</v>
      </c>
      <c r="DN147" s="157"/>
      <c r="DO147" s="191">
        <v>103694409.42999999</v>
      </c>
      <c r="DP147" s="157"/>
      <c r="DQ147" s="191">
        <v>103836502.88</v>
      </c>
      <c r="DR147" s="157"/>
      <c r="DS147" s="191">
        <v>102927624.31</v>
      </c>
      <c r="DT147" s="157"/>
      <c r="DU147" s="191">
        <v>102193067.19</v>
      </c>
      <c r="DV147" s="157"/>
      <c r="DW147" s="191">
        <v>101563930.7</v>
      </c>
      <c r="DX147" s="157"/>
      <c r="DY147" s="191">
        <v>100674814.53999999</v>
      </c>
      <c r="DZ147" s="157"/>
      <c r="EA147" s="191">
        <v>100122357.12</v>
      </c>
      <c r="EB147" s="157"/>
      <c r="EC147" s="191">
        <v>99185937.25</v>
      </c>
      <c r="ED147" s="157"/>
      <c r="EE147" s="191">
        <v>99364897.590000004</v>
      </c>
      <c r="EF147" s="157"/>
      <c r="EG147" s="191">
        <v>100729579.20999999</v>
      </c>
      <c r="EH147" s="157"/>
      <c r="EI147" s="191">
        <v>102546494.78999999</v>
      </c>
      <c r="EJ147" s="157"/>
      <c r="EK147" s="191">
        <v>104367161.03</v>
      </c>
      <c r="EL147" s="157"/>
      <c r="EM147" s="191">
        <v>106476544.97</v>
      </c>
      <c r="EN147" s="157"/>
      <c r="EO147" s="191">
        <v>108456971.22999999</v>
      </c>
      <c r="EP147" s="157"/>
      <c r="EQ147" s="191">
        <v>107830844.61999999</v>
      </c>
      <c r="ER147" s="191"/>
      <c r="ES147" s="191">
        <v>108178892.67999999</v>
      </c>
      <c r="ET147" s="191"/>
      <c r="EU147" s="191">
        <v>108779599.05</v>
      </c>
      <c r="EV147" s="191"/>
      <c r="EW147" s="191">
        <v>108267676.59</v>
      </c>
      <c r="EX147" s="191"/>
      <c r="EY147" s="191">
        <v>108150989.73</v>
      </c>
      <c r="EZ147" s="191"/>
      <c r="FA147" s="191">
        <v>107364336.34999999</v>
      </c>
      <c r="FB147" s="191"/>
      <c r="FC147" s="191">
        <v>107591990.07000001</v>
      </c>
      <c r="FD147" s="191"/>
      <c r="FE147" s="191">
        <v>21695943.629999999</v>
      </c>
      <c r="FF147" s="191"/>
      <c r="FG147" s="191">
        <v>21083322.359999999</v>
      </c>
      <c r="FH147" s="191"/>
      <c r="FI147" s="191">
        <v>20483098.919999998</v>
      </c>
      <c r="FJ147" s="191"/>
      <c r="FK147" s="191">
        <v>19722655.599999998</v>
      </c>
      <c r="FL147" s="191"/>
      <c r="FM147" s="191">
        <v>20098976.850000001</v>
      </c>
      <c r="FN147" s="191"/>
      <c r="FO147" s="191">
        <v>19022545.5</v>
      </c>
      <c r="FP147" s="191"/>
      <c r="FQ147" s="191">
        <v>19363081.120000001</v>
      </c>
      <c r="FR147" s="191"/>
      <c r="FS147" s="191">
        <v>19345917.5</v>
      </c>
      <c r="FT147" s="157"/>
      <c r="FU147" s="191">
        <v>19284253.190000001</v>
      </c>
      <c r="FV147" s="191"/>
      <c r="FW147" s="191">
        <v>19206410.48</v>
      </c>
      <c r="FX147" s="191"/>
      <c r="FY147" s="191">
        <v>18915538.449999999</v>
      </c>
    </row>
    <row r="148" spans="2:181" ht="14.25" customHeight="1">
      <c r="B148" s="157"/>
      <c r="D148" s="410"/>
      <c r="F148" s="410"/>
      <c r="H148" s="410"/>
      <c r="J148" s="410"/>
      <c r="L148" s="410"/>
      <c r="N148" s="410"/>
      <c r="P148" s="410"/>
      <c r="R148" s="410"/>
      <c r="T148" s="410"/>
      <c r="V148" s="410"/>
      <c r="X148" s="410"/>
      <c r="Z148" s="410"/>
      <c r="AB148" s="410"/>
      <c r="AD148" s="410"/>
      <c r="AF148" s="410"/>
      <c r="AH148" s="410"/>
      <c r="AJ148" s="410"/>
      <c r="AL148" s="410"/>
      <c r="AN148" s="410"/>
      <c r="AP148" s="410"/>
      <c r="AR148" s="410"/>
      <c r="AT148" s="410"/>
      <c r="AV148" s="410"/>
      <c r="AX148" s="410"/>
      <c r="AZ148" s="410"/>
      <c r="BB148" s="410"/>
      <c r="BD148" s="410"/>
      <c r="BF148" s="410"/>
      <c r="BH148" s="410"/>
      <c r="BJ148" s="410"/>
      <c r="BL148" s="410"/>
      <c r="BN148" s="410"/>
      <c r="BP148" s="410"/>
      <c r="BR148" s="410"/>
      <c r="BT148" s="410"/>
      <c r="BV148" s="410"/>
      <c r="BX148" s="410"/>
      <c r="BZ148" s="410"/>
      <c r="CB148" s="410"/>
      <c r="CD148" s="410"/>
      <c r="CF148" s="410"/>
      <c r="CH148" s="410"/>
      <c r="CJ148" s="410"/>
      <c r="CL148" s="410"/>
      <c r="CN148" s="410"/>
      <c r="CP148" s="410"/>
      <c r="CR148" s="410"/>
      <c r="CT148" s="157"/>
      <c r="CU148" s="157"/>
      <c r="CV148" s="157"/>
      <c r="CW148" s="157"/>
      <c r="CX148" s="157"/>
      <c r="CY148" s="157"/>
      <c r="CZ148" s="157"/>
      <c r="DA148" s="157"/>
      <c r="DB148" s="157"/>
      <c r="DC148" s="157"/>
      <c r="DD148" s="157"/>
      <c r="DE148" s="157"/>
      <c r="DF148" s="157"/>
      <c r="DG148" s="157"/>
      <c r="DH148" s="157"/>
      <c r="DI148" s="157"/>
      <c r="DJ148" s="157"/>
      <c r="DK148" s="157"/>
      <c r="DL148" s="157"/>
      <c r="DM148" s="157"/>
      <c r="DN148" s="157"/>
      <c r="DO148" s="157"/>
      <c r="DP148" s="157"/>
      <c r="DQ148" s="157"/>
      <c r="DR148" s="157"/>
      <c r="DS148" s="157"/>
      <c r="DT148" s="157"/>
      <c r="DU148" s="191"/>
      <c r="DV148" s="157"/>
      <c r="DW148" s="191"/>
      <c r="DX148" s="157"/>
      <c r="DY148" s="191"/>
      <c r="DZ148" s="157"/>
      <c r="EA148" s="191"/>
      <c r="EB148" s="157"/>
      <c r="EC148" s="191"/>
      <c r="ED148" s="157"/>
      <c r="EE148" s="191"/>
      <c r="EF148" s="157"/>
      <c r="EG148" s="191"/>
      <c r="EH148" s="157"/>
      <c r="EI148" s="191"/>
      <c r="EJ148" s="157"/>
      <c r="EK148" s="191"/>
      <c r="EL148" s="157"/>
      <c r="EM148" s="191"/>
      <c r="EN148" s="157"/>
      <c r="EO148" s="191"/>
      <c r="EP148" s="157"/>
      <c r="EQ148" s="191"/>
      <c r="ER148" s="191"/>
      <c r="ES148" s="191"/>
      <c r="ET148" s="191"/>
      <c r="EU148" s="191"/>
      <c r="EV148" s="191"/>
      <c r="EW148" s="191"/>
      <c r="EX148" s="191"/>
      <c r="EY148" s="191"/>
      <c r="EZ148" s="191"/>
      <c r="FA148" s="191"/>
      <c r="FB148" s="191"/>
      <c r="FC148" s="191"/>
      <c r="FD148" s="191"/>
      <c r="FE148" s="191"/>
      <c r="FF148" s="191"/>
      <c r="FG148" s="191"/>
      <c r="FH148" s="191"/>
      <c r="FI148" s="191"/>
      <c r="FJ148" s="191"/>
      <c r="FK148" s="191"/>
      <c r="FL148" s="191"/>
      <c r="FM148" s="191"/>
      <c r="FN148" s="191"/>
      <c r="FO148" s="191"/>
      <c r="FP148" s="191"/>
      <c r="FQ148" s="191"/>
      <c r="FR148" s="191"/>
      <c r="FS148" s="191"/>
      <c r="FT148" s="157"/>
      <c r="FU148" s="191"/>
      <c r="FV148" s="157"/>
      <c r="FW148" s="191"/>
      <c r="FX148" s="191"/>
      <c r="FY148" s="191"/>
    </row>
    <row r="149" spans="2:181" ht="14.25" customHeight="1">
      <c r="B149" s="157" t="s">
        <v>374</v>
      </c>
      <c r="C149" s="220">
        <f>+C146/C147</f>
        <v>0</v>
      </c>
      <c r="D149" s="410"/>
      <c r="E149" s="220">
        <f>+E146/E147</f>
        <v>0</v>
      </c>
      <c r="F149" s="410"/>
      <c r="G149" s="220">
        <f>+G146/G147</f>
        <v>0</v>
      </c>
      <c r="H149" s="410"/>
      <c r="I149" s="220">
        <f>+I146/I147</f>
        <v>0</v>
      </c>
      <c r="J149" s="410"/>
      <c r="K149" s="220">
        <f>+K146/K147</f>
        <v>0</v>
      </c>
      <c r="L149" s="410"/>
      <c r="M149" s="220">
        <f>+M146/M147</f>
        <v>0</v>
      </c>
      <c r="N149" s="410"/>
      <c r="O149" s="220">
        <v>0</v>
      </c>
      <c r="P149" s="410"/>
      <c r="Q149" s="220">
        <v>0</v>
      </c>
      <c r="R149" s="410"/>
      <c r="S149" s="220">
        <v>0</v>
      </c>
      <c r="T149" s="410"/>
      <c r="U149" s="220">
        <v>0</v>
      </c>
      <c r="V149" s="410"/>
      <c r="W149" s="1178">
        <v>0</v>
      </c>
      <c r="X149" s="410"/>
      <c r="Y149" s="220">
        <v>0</v>
      </c>
      <c r="Z149" s="410"/>
      <c r="AA149" s="220">
        <v>0</v>
      </c>
      <c r="AB149" s="410"/>
      <c r="AC149" s="220">
        <f>+AC146/AC147</f>
        <v>0</v>
      </c>
      <c r="AD149" s="410"/>
      <c r="AE149" s="220">
        <f>+AE146/AE147</f>
        <v>0</v>
      </c>
      <c r="AF149" s="410"/>
      <c r="AG149" s="220">
        <f>+AG146/AG147</f>
        <v>0</v>
      </c>
      <c r="AH149" s="410"/>
      <c r="AI149" s="220">
        <v>0</v>
      </c>
      <c r="AJ149" s="410"/>
      <c r="AK149" s="220">
        <v>0</v>
      </c>
      <c r="AL149" s="410"/>
      <c r="AM149" s="220">
        <v>0</v>
      </c>
      <c r="AN149" s="410"/>
      <c r="AO149" s="220">
        <v>0</v>
      </c>
      <c r="AP149" s="410"/>
      <c r="AQ149" s="220">
        <v>0</v>
      </c>
      <c r="AR149" s="410"/>
      <c r="AS149" s="220">
        <v>0</v>
      </c>
      <c r="AT149" s="410"/>
      <c r="AU149" s="1178">
        <v>0</v>
      </c>
      <c r="AV149" s="410"/>
      <c r="AW149" s="220">
        <v>0</v>
      </c>
      <c r="AX149" s="410"/>
      <c r="AY149" s="220">
        <v>0</v>
      </c>
      <c r="AZ149" s="410"/>
      <c r="BA149" s="220">
        <v>0</v>
      </c>
      <c r="BB149" s="410"/>
      <c r="BC149" s="220">
        <v>0</v>
      </c>
      <c r="BD149" s="410"/>
      <c r="BE149" s="220">
        <v>0</v>
      </c>
      <c r="BF149" s="410"/>
      <c r="BG149" s="220">
        <v>0</v>
      </c>
      <c r="BH149" s="410"/>
      <c r="BI149" s="220">
        <v>0</v>
      </c>
      <c r="BJ149" s="410"/>
      <c r="BK149" s="220">
        <v>0</v>
      </c>
      <c r="BL149" s="410"/>
      <c r="BM149" s="220">
        <v>0</v>
      </c>
      <c r="BN149" s="410"/>
      <c r="BO149" s="220">
        <v>0</v>
      </c>
      <c r="BP149" s="410"/>
      <c r="BQ149" s="220">
        <f>+BQ146/BQ147</f>
        <v>0</v>
      </c>
      <c r="BR149" s="410"/>
      <c r="BS149" s="1178">
        <v>0</v>
      </c>
      <c r="BT149" s="410"/>
      <c r="BU149" s="220">
        <f>+BU146/BU147</f>
        <v>0</v>
      </c>
      <c r="BV149" s="410"/>
      <c r="BW149" s="220">
        <v>0</v>
      </c>
      <c r="BX149" s="410"/>
      <c r="BY149" s="220">
        <v>0</v>
      </c>
      <c r="BZ149" s="410"/>
      <c r="CA149" s="220">
        <v>0</v>
      </c>
      <c r="CB149" s="410"/>
      <c r="CC149" s="220">
        <v>0</v>
      </c>
      <c r="CD149" s="410"/>
      <c r="CE149" s="220">
        <v>0</v>
      </c>
      <c r="CF149" s="410"/>
      <c r="CG149" s="220">
        <v>0</v>
      </c>
      <c r="CH149" s="410"/>
      <c r="CI149" s="220">
        <v>5.1587975719106435E-3</v>
      </c>
      <c r="CJ149" s="410"/>
      <c r="CK149" s="220">
        <v>5.5318618870279475E-3</v>
      </c>
      <c r="CL149" s="410"/>
      <c r="CM149" s="220">
        <f>+CM146/CM147</f>
        <v>5.3461370168784699E-3</v>
      </c>
      <c r="CN149" s="410"/>
      <c r="CO149" s="220">
        <f>+CO146/CO147</f>
        <v>6.4133048637901122E-3</v>
      </c>
      <c r="CP149" s="410"/>
      <c r="CQ149" s="220">
        <f>+CQ146/CQ147</f>
        <v>1.0090975850385455E-2</v>
      </c>
      <c r="CR149" s="410"/>
      <c r="CS149" s="220">
        <f>+CS146/CS147</f>
        <v>2.4184843401617244E-2</v>
      </c>
      <c r="CT149" s="157"/>
      <c r="CU149" s="221">
        <f>+CU146/CU147</f>
        <v>9.7621042162707016E-3</v>
      </c>
      <c r="CV149" s="157"/>
      <c r="CW149" s="221">
        <f>+CW146/CW147</f>
        <v>1.2814085417299106E-2</v>
      </c>
      <c r="CX149" s="157"/>
      <c r="CY149" s="221">
        <f>+CY146/CY147</f>
        <v>1.1122729813834269E-2</v>
      </c>
      <c r="CZ149" s="157"/>
      <c r="DA149" s="221">
        <f>+DA146/DA147</f>
        <v>1.2777056480169613E-2</v>
      </c>
      <c r="DB149" s="157"/>
      <c r="DC149" s="221">
        <f>+DC146/DC147</f>
        <v>1.1138868981149398E-2</v>
      </c>
      <c r="DD149" s="157"/>
      <c r="DE149" s="221">
        <f>+DE146/DE147</f>
        <v>3.9844940943925669E-2</v>
      </c>
      <c r="DF149" s="157"/>
      <c r="DG149" s="221">
        <f>+DG146/DG147</f>
        <v>6.597755851461172E-2</v>
      </c>
      <c r="DH149" s="157"/>
      <c r="DI149" s="221">
        <f>+DI146/DI147</f>
        <v>1.3549975733563703E-3</v>
      </c>
      <c r="DJ149" s="157"/>
      <c r="DK149" s="221">
        <f>+DK146/DK147</f>
        <v>4.6247634756657443E-3</v>
      </c>
      <c r="DL149" s="157"/>
      <c r="DM149" s="221">
        <f>+DM146/DM147</f>
        <v>2.3234126723866155E-3</v>
      </c>
      <c r="DN149" s="157"/>
      <c r="DO149" s="221">
        <v>3.5001318006931513E-4</v>
      </c>
      <c r="DP149" s="157"/>
      <c r="DQ149" s="221">
        <v>6.7432586862944486E-3</v>
      </c>
      <c r="DR149" s="157"/>
      <c r="DS149" s="221">
        <v>-3.2708953632572875E-2</v>
      </c>
      <c r="DT149" s="157"/>
      <c r="DU149" s="221">
        <v>6.5251288346125447E-3</v>
      </c>
      <c r="DV149" s="157"/>
      <c r="DW149" s="221">
        <v>3.3742144099329234E-2</v>
      </c>
      <c r="DX149" s="157"/>
      <c r="DY149" s="221">
        <v>3.7003803354610003E-2</v>
      </c>
      <c r="DZ149" s="157"/>
      <c r="EA149" s="221">
        <v>4.4122379201635621E-2</v>
      </c>
      <c r="EB149" s="157"/>
      <c r="EC149" s="221">
        <v>4.1221163134192072E-2</v>
      </c>
      <c r="ED149" s="157"/>
      <c r="EE149" s="221">
        <v>7.3337533140409278E-2</v>
      </c>
      <c r="EF149" s="157"/>
      <c r="EG149" s="221">
        <v>4.6763763454572352E-2</v>
      </c>
      <c r="EH149" s="157"/>
      <c r="EI149" s="221">
        <v>4.7602970242879621E-2</v>
      </c>
      <c r="EJ149" s="157"/>
      <c r="EK149" s="221">
        <v>4.817572974256553E-2</v>
      </c>
      <c r="EL149" s="157"/>
      <c r="EM149" s="221">
        <v>0.13975805781377229</v>
      </c>
      <c r="EN149" s="157"/>
      <c r="EO149" s="221">
        <v>0.11900812814169526</v>
      </c>
      <c r="EP149" s="157"/>
      <c r="EQ149" s="221">
        <v>0.11675277342365317</v>
      </c>
      <c r="ER149" s="221"/>
      <c r="ES149" s="221">
        <v>0.19362509895493227</v>
      </c>
      <c r="ET149" s="221"/>
      <c r="EU149" s="221">
        <v>0.19898431203125491</v>
      </c>
      <c r="EV149" s="221"/>
      <c r="EW149" s="221">
        <v>0.21724637297862226</v>
      </c>
      <c r="EX149" s="221"/>
      <c r="EY149" s="221">
        <v>0.19364374308810126</v>
      </c>
      <c r="EZ149" s="221"/>
      <c r="FA149" s="221">
        <v>0.21960211064071836</v>
      </c>
      <c r="FB149" s="221"/>
      <c r="FC149" s="221">
        <v>0.23124335755675651</v>
      </c>
      <c r="FD149" s="221"/>
      <c r="FE149" s="221">
        <v>0.136459232679155</v>
      </c>
      <c r="FF149" s="221"/>
      <c r="FG149" s="221">
        <v>0.13709458265855598</v>
      </c>
      <c r="FH149" s="221"/>
      <c r="FI149" s="221">
        <v>0.15021963434427446</v>
      </c>
      <c r="FJ149" s="221"/>
      <c r="FK149" s="221">
        <v>0.15333909445744207</v>
      </c>
      <c r="FL149" s="221"/>
      <c r="FM149" s="221">
        <v>0.14724877251649743</v>
      </c>
      <c r="FN149" s="221"/>
      <c r="FO149" s="221">
        <v>0.23632972148758929</v>
      </c>
      <c r="FP149" s="221"/>
      <c r="FQ149" s="221">
        <v>0.2281279308093917</v>
      </c>
      <c r="FR149" s="221"/>
      <c r="FS149" s="221">
        <v>0.2356501173955694</v>
      </c>
      <c r="FT149" s="221"/>
      <c r="FU149" s="221">
        <v>0.19480363449843302</v>
      </c>
      <c r="FV149" s="221"/>
      <c r="FW149" s="221">
        <v>0.24066186364251849</v>
      </c>
      <c r="FX149" s="221"/>
      <c r="FY149" s="221">
        <v>0.24049730923731641</v>
      </c>
    </row>
  </sheetData>
  <hyperlinks>
    <hyperlink ref="GI32" r:id="rId1" display="https://go.xero.com/Reports/report2.aspx?report=BalanceSheet&amp;date=28-Feb-2018&amp;compareTo=-1&amp;addToReportId=f79ec8e3-8784-45f9-8742-cca9e73ea50f&amp;addToReportTitle=Fixed%20Asset%20Reconciliation" xr:uid="{00000000-0004-0000-0200-000000000000}"/>
    <hyperlink ref="GK32" r:id="rId2" display="https://go.xero.com/Reports/report2.aspx?report=BalanceSheet&amp;date=31-Jan-2018&amp;compareTo=-1&amp;addToReportId=3e15b211-59fc-4082-9098-2556819e3299&amp;addToReportTitle=Fixed%20Asset%20Reconciliation" xr:uid="{00000000-0004-0000-0200-000001000000}"/>
    <hyperlink ref="GK33" r:id="rId3" display="https://go.xero.com/Reports/report2.aspx?report=BalanceSheet&amp;date=31-Jan-2018&amp;compareTo=-1&amp;addToReportId=3e15b211-59fc-4082-9098-2556819e3299&amp;addToReportTitle=Fixed%20Asset%20Reconciliation" xr:uid="{00000000-0004-0000-0200-000002000000}"/>
    <hyperlink ref="GI34" r:id="rId4" display="https://go.xero.com/Reports/report2.aspx?report=BalanceSheet&amp;date=28-Feb-2018&amp;compareTo=-1&amp;addToReportId=f79ec8e3-8784-45f9-8742-cca9e73ea50f&amp;addToReportTitle=Fixed%20Asset%20Reconciliation" xr:uid="{00000000-0004-0000-0200-000003000000}"/>
    <hyperlink ref="GK34" r:id="rId5" display="https://go.xero.com/Reports/report2.aspx?report=BalanceSheet&amp;date=31-Jan-2018&amp;compareTo=-1&amp;addToReportId=3e15b211-59fc-4082-9098-2556819e3299&amp;addToReportTitle=Fixed%20Asset%20Reconciliation" xr:uid="{00000000-0004-0000-0200-000004000000}"/>
  </hyperlinks>
  <pageMargins left="0.7" right="0.7" top="0.75" bottom="0.75" header="0" footer="0"/>
  <pageSetup paperSize="9" scale="78" orientation="portrait"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FQ54"/>
  <sheetViews>
    <sheetView showGridLines="0" zoomScale="80" zoomScaleNormal="80" workbookViewId="0">
      <selection activeCell="K22" sqref="K22"/>
    </sheetView>
  </sheetViews>
  <sheetFormatPr defaultColWidth="14.44140625" defaultRowHeight="15" customHeight="1"/>
  <cols>
    <col min="1" max="1" width="3.5546875" customWidth="1"/>
    <col min="2" max="2" width="4.44140625" customWidth="1"/>
    <col min="3" max="3" width="37.88671875" bestFit="1" customWidth="1"/>
    <col min="4" max="4" width="9.44140625" customWidth="1"/>
    <col min="5" max="6" width="17" customWidth="1"/>
    <col min="7" max="8" width="17.44140625" customWidth="1"/>
    <col min="9" max="9" width="20.109375" customWidth="1"/>
    <col min="10" max="10" width="18.44140625" customWidth="1"/>
    <col min="11" max="11" width="27.44140625" customWidth="1"/>
    <col min="12" max="12" width="16.5546875" bestFit="1" customWidth="1"/>
    <col min="13" max="13" width="20.109375" bestFit="1" customWidth="1"/>
    <col min="14" max="14" width="20.5546875" hidden="1" customWidth="1"/>
    <col min="15" max="15" width="12.5546875" hidden="1" customWidth="1"/>
    <col min="16" max="16" width="79.44140625" hidden="1" customWidth="1"/>
    <col min="17" max="21" width="12.5546875" hidden="1" customWidth="1"/>
    <col min="22" max="24" width="13.5546875" hidden="1" customWidth="1"/>
    <col min="25" max="31" width="12.5546875" hidden="1" customWidth="1"/>
    <col min="32" max="32" width="13" hidden="1" customWidth="1"/>
    <col min="33" max="44" width="12.5546875" hidden="1" customWidth="1"/>
    <col min="45" max="45" width="19.109375" hidden="1" customWidth="1"/>
    <col min="46" max="46" width="17.44140625" hidden="1" customWidth="1"/>
    <col min="47" max="47" width="18.88671875" hidden="1" customWidth="1"/>
    <col min="48" max="48" width="17.88671875" hidden="1" customWidth="1"/>
    <col min="49" max="49" width="16.109375" hidden="1" customWidth="1"/>
    <col min="50" max="50" width="14.88671875" hidden="1" customWidth="1"/>
    <col min="51" max="56" width="12.5546875" hidden="1" customWidth="1"/>
    <col min="57" max="57" width="14.44140625" style="546" hidden="1" customWidth="1"/>
    <col min="58" max="58" width="13" hidden="1" customWidth="1"/>
    <col min="59" max="59" width="12.5546875" hidden="1" customWidth="1"/>
    <col min="60" max="62" width="12.5546875" customWidth="1"/>
    <col min="63" max="92" width="14.5546875" style="546" customWidth="1"/>
    <col min="93" max="93" width="13.5546875" hidden="1" customWidth="1"/>
    <col min="94" max="94" width="8.5546875" hidden="1" customWidth="1"/>
    <col min="95" max="95" width="11.44140625" hidden="1" customWidth="1"/>
    <col min="96" max="96" width="10.5546875" hidden="1" customWidth="1"/>
    <col min="97" max="97" width="11.5546875" hidden="1" customWidth="1"/>
    <col min="98" max="99" width="11.44140625" hidden="1" customWidth="1"/>
    <col min="100" max="100" width="10.88671875" hidden="1" customWidth="1"/>
    <col min="101" max="101" width="11.5546875" hidden="1" customWidth="1"/>
    <col min="102" max="102" width="10.5546875" hidden="1" customWidth="1"/>
    <col min="103" max="103" width="10.109375" hidden="1" customWidth="1"/>
    <col min="104" max="104" width="14.44140625" hidden="1" customWidth="1"/>
    <col min="105" max="105" width="8.5546875" hidden="1" customWidth="1"/>
    <col min="106" max="106" width="11.88671875" hidden="1" customWidth="1"/>
    <col min="107" max="108" width="10.5546875" hidden="1" customWidth="1"/>
    <col min="109" max="109" width="11.109375" hidden="1" customWidth="1"/>
    <col min="110" max="110" width="10.5546875" hidden="1" customWidth="1"/>
    <col min="111" max="111" width="8.5546875" hidden="1" customWidth="1"/>
    <col min="112" max="112" width="12.88671875" hidden="1" customWidth="1"/>
    <col min="113" max="113" width="10.5546875" hidden="1" customWidth="1"/>
    <col min="114" max="115" width="12" hidden="1" customWidth="1"/>
    <col min="116" max="116" width="10.5546875" hidden="1" customWidth="1"/>
    <col min="117" max="117" width="8.5546875" hidden="1" customWidth="1"/>
    <col min="118" max="118" width="11.5546875" hidden="1" customWidth="1"/>
    <col min="119" max="119" width="13.109375" style="511" hidden="1" customWidth="1"/>
    <col min="120" max="122" width="14.44140625" style="545" hidden="1" customWidth="1"/>
    <col min="123" max="123" width="14.5546875" style="545" hidden="1" customWidth="1"/>
    <col min="124" max="124" width="15.88671875" style="545" hidden="1" customWidth="1"/>
    <col min="125" max="125" width="14.44140625" style="545" hidden="1" customWidth="1"/>
    <col min="126" max="126" width="15.5546875" style="545" hidden="1" customWidth="1"/>
    <col min="127" max="127" width="15.88671875" style="546" hidden="1" customWidth="1"/>
    <col min="128" max="128" width="15.109375" style="546" hidden="1" customWidth="1"/>
    <col min="129" max="130" width="15.5546875" style="546" hidden="1" customWidth="1"/>
    <col min="131" max="131" width="14" style="546" hidden="1" customWidth="1"/>
    <col min="132" max="132" width="14.44140625" style="546" hidden="1" customWidth="1"/>
    <col min="133" max="134" width="15.5546875" style="546" hidden="1" customWidth="1"/>
    <col min="135" max="135" width="14" style="546" hidden="1" customWidth="1"/>
    <col min="136" max="136" width="15.109375" style="546" hidden="1" customWidth="1"/>
    <col min="137" max="137" width="14" style="546" bestFit="1" customWidth="1"/>
    <col min="138" max="139" width="14.5546875" style="546" bestFit="1" customWidth="1"/>
    <col min="140" max="140" width="15" style="546" bestFit="1" customWidth="1"/>
    <col min="141" max="144" width="14.5546875" style="546" bestFit="1" customWidth="1"/>
    <col min="145" max="145" width="14.44140625" style="546" bestFit="1" customWidth="1"/>
    <col min="146" max="146" width="14.5546875" style="546" bestFit="1" customWidth="1"/>
    <col min="147" max="147" width="14.44140625" style="546" bestFit="1" customWidth="1"/>
    <col min="148" max="148" width="14.5546875" style="546" bestFit="1" customWidth="1"/>
    <col min="149" max="150" width="14" style="546" bestFit="1" customWidth="1"/>
    <col min="151" max="151" width="10.5546875" style="546" bestFit="1" customWidth="1"/>
    <col min="152" max="152" width="14.44140625" style="546" bestFit="1" customWidth="1"/>
    <col min="153" max="153" width="14" style="546" bestFit="1" customWidth="1"/>
    <col min="154" max="154" width="11" style="546" bestFit="1" customWidth="1"/>
    <col min="155" max="155" width="14.44140625" style="546" bestFit="1" customWidth="1"/>
    <col min="156" max="156" width="12.109375" style="546" bestFit="1" customWidth="1"/>
    <col min="157" max="157" width="11" style="546" bestFit="1" customWidth="1"/>
    <col min="158" max="158" width="14.5546875" style="546" bestFit="1" customWidth="1"/>
    <col min="159" max="159" width="10.5546875" style="546" bestFit="1" customWidth="1"/>
    <col min="160" max="160" width="11.6640625" style="546" bestFit="1" customWidth="1"/>
    <col min="161" max="161" width="10" style="546" bestFit="1" customWidth="1"/>
    <col min="162" max="162" width="10" style="546" customWidth="1"/>
    <col min="163" max="171" width="11" style="546" bestFit="1" customWidth="1"/>
    <col min="172" max="16384" width="14.44140625" style="546"/>
  </cols>
  <sheetData>
    <row r="1" spans="2:173" customFormat="1" ht="20.85" customHeight="1">
      <c r="B1" s="846" t="s">
        <v>582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847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  <c r="AT1" s="410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0"/>
      <c r="CV1" s="410"/>
      <c r="CW1" s="410"/>
      <c r="CX1" s="410"/>
      <c r="CY1" s="410"/>
      <c r="CZ1" s="410"/>
      <c r="DA1" s="410"/>
      <c r="DB1" s="410"/>
      <c r="DC1" s="410"/>
      <c r="DD1" s="410"/>
      <c r="DE1" s="410"/>
      <c r="DF1" s="410"/>
      <c r="DG1" s="410"/>
      <c r="DH1" s="410"/>
      <c r="DI1" s="410"/>
      <c r="DJ1" s="410"/>
      <c r="DK1" s="410"/>
      <c r="DL1" s="410"/>
      <c r="DM1" s="410"/>
      <c r="DN1" s="410"/>
      <c r="DO1" s="410"/>
      <c r="DP1" s="410"/>
      <c r="DQ1" s="410"/>
      <c r="DR1" s="410"/>
      <c r="DS1" s="410"/>
      <c r="DT1" s="410"/>
      <c r="DU1" s="410"/>
      <c r="DV1" s="410"/>
      <c r="DW1" s="410"/>
      <c r="DX1" s="410"/>
      <c r="DY1" s="410"/>
      <c r="DZ1" s="410"/>
      <c r="EA1" s="410"/>
      <c r="EB1" s="410"/>
      <c r="EC1" s="410"/>
      <c r="ED1" s="410"/>
      <c r="EE1" s="410"/>
      <c r="EF1" s="410"/>
      <c r="EG1" s="410"/>
      <c r="EH1" s="410"/>
      <c r="EI1" s="410"/>
      <c r="EJ1" s="410"/>
      <c r="EK1" s="410"/>
      <c r="EL1" s="410"/>
      <c r="EM1" s="410"/>
      <c r="EN1" s="410"/>
      <c r="EO1" s="410"/>
      <c r="EP1" s="410"/>
      <c r="EQ1" s="410"/>
      <c r="ER1" s="410"/>
      <c r="ES1" s="410"/>
      <c r="ET1" s="410"/>
      <c r="EU1" s="410"/>
      <c r="EV1" s="410"/>
      <c r="EW1" s="410"/>
      <c r="EX1" s="410"/>
      <c r="EY1" s="410"/>
      <c r="EZ1" s="410"/>
      <c r="FA1" s="410"/>
      <c r="FB1" s="410"/>
      <c r="FC1" s="410"/>
      <c r="FD1" s="410"/>
      <c r="FE1" s="410"/>
      <c r="FF1" s="410"/>
      <c r="FG1" s="410"/>
      <c r="FH1" s="410"/>
      <c r="FI1" s="410"/>
      <c r="FJ1" s="410"/>
      <c r="FK1" s="410"/>
      <c r="FL1" s="410"/>
      <c r="FM1" s="410"/>
      <c r="FN1" s="410"/>
      <c r="FO1" s="410"/>
    </row>
    <row r="2" spans="2:173" customFormat="1" ht="14.25" customHeight="1">
      <c r="B2" s="1215" t="s">
        <v>865</v>
      </c>
      <c r="C2" s="1215"/>
      <c r="D2" s="410"/>
      <c r="E2" s="410"/>
      <c r="F2" s="410"/>
      <c r="G2" s="848" t="s">
        <v>375</v>
      </c>
      <c r="H2" s="849">
        <v>0</v>
      </c>
      <c r="I2" s="629"/>
      <c r="J2" s="410"/>
      <c r="K2" s="410"/>
      <c r="L2" s="850"/>
      <c r="M2" s="410"/>
      <c r="N2" s="410"/>
      <c r="O2" s="410"/>
      <c r="P2" s="410"/>
      <c r="Q2" s="410"/>
      <c r="R2" s="410"/>
      <c r="S2" s="410"/>
      <c r="T2" s="410"/>
      <c r="U2" s="410"/>
      <c r="V2" s="410"/>
      <c r="W2" s="410"/>
      <c r="X2" s="410"/>
      <c r="Y2" s="410"/>
      <c r="Z2" s="410"/>
      <c r="AA2" s="410"/>
      <c r="AB2" s="410"/>
      <c r="AC2" s="410"/>
      <c r="AD2" s="410"/>
      <c r="AE2" s="410"/>
      <c r="AF2" s="410"/>
      <c r="AG2" s="410"/>
      <c r="AH2" s="410"/>
      <c r="AI2" s="410"/>
      <c r="AJ2" s="410"/>
      <c r="AK2" s="410"/>
      <c r="AL2" s="410"/>
      <c r="AM2" s="410"/>
      <c r="AN2" s="410"/>
      <c r="AO2" s="410"/>
      <c r="AP2" s="410"/>
      <c r="AQ2" s="410"/>
      <c r="AR2" s="410"/>
      <c r="AS2" s="410"/>
      <c r="AT2" s="410"/>
      <c r="AU2" s="410"/>
      <c r="AV2" s="410"/>
      <c r="AW2" s="410"/>
      <c r="AX2" s="410"/>
      <c r="AY2" s="410"/>
      <c r="AZ2" s="410"/>
      <c r="BA2" s="410"/>
      <c r="BB2" s="410"/>
      <c r="BC2" s="410"/>
      <c r="BD2" s="410"/>
      <c r="BE2" s="410"/>
      <c r="BF2" s="410"/>
      <c r="BG2" s="410"/>
      <c r="BH2" s="410"/>
      <c r="BI2" s="410"/>
      <c r="BJ2" s="410"/>
      <c r="BK2" s="410"/>
      <c r="BL2" s="410"/>
      <c r="BM2" s="410"/>
      <c r="BN2" s="410"/>
      <c r="BO2" s="410"/>
      <c r="BP2" s="410"/>
      <c r="BQ2" s="410"/>
      <c r="BR2" s="410"/>
      <c r="BS2" s="410"/>
      <c r="BT2" s="410"/>
      <c r="BU2" s="410"/>
      <c r="BV2" s="410"/>
      <c r="BW2" s="410"/>
      <c r="BX2" s="410"/>
      <c r="BY2" s="410"/>
      <c r="BZ2" s="410"/>
      <c r="CA2" s="410"/>
      <c r="CB2" s="410"/>
      <c r="CC2" s="410"/>
      <c r="CD2" s="410"/>
      <c r="CE2" s="410"/>
      <c r="CF2" s="410"/>
      <c r="CG2" s="410"/>
      <c r="CH2" s="410"/>
      <c r="CI2" s="410"/>
      <c r="CJ2" s="410"/>
      <c r="CK2" s="410"/>
      <c r="CL2" s="410"/>
      <c r="CM2" s="410"/>
      <c r="CN2" s="410"/>
      <c r="CO2" s="410"/>
      <c r="CP2" s="410"/>
      <c r="CQ2" s="410"/>
      <c r="CR2" s="410"/>
      <c r="CS2" s="410"/>
      <c r="CT2" s="410"/>
      <c r="CU2" s="410"/>
      <c r="CV2" s="410"/>
      <c r="CW2" s="410"/>
      <c r="CX2" s="410"/>
      <c r="CY2" s="410"/>
      <c r="CZ2" s="410"/>
      <c r="DA2" s="410"/>
      <c r="DB2" s="410"/>
      <c r="DC2" s="410"/>
      <c r="DD2" s="410"/>
      <c r="DE2" s="410"/>
      <c r="DF2" s="410"/>
      <c r="DG2" s="410"/>
      <c r="DH2" s="410"/>
      <c r="DI2" s="410"/>
      <c r="DJ2" s="410"/>
      <c r="DK2" s="410"/>
      <c r="DL2" s="410"/>
      <c r="DM2" s="410"/>
      <c r="DN2" s="410"/>
      <c r="DO2" s="410"/>
      <c r="DP2" s="410"/>
      <c r="DQ2" s="410"/>
      <c r="DR2" s="410"/>
      <c r="DS2" s="410"/>
      <c r="DT2" s="410"/>
      <c r="DU2" s="410"/>
      <c r="DV2" s="410"/>
      <c r="DW2" s="410"/>
      <c r="DX2" s="410"/>
      <c r="DY2" s="410"/>
      <c r="DZ2" s="410"/>
      <c r="EA2" s="410"/>
      <c r="EB2" s="410"/>
      <c r="EC2" s="410"/>
      <c r="ED2" s="410"/>
      <c r="EE2" s="410"/>
      <c r="EF2" s="410"/>
      <c r="EG2" s="410"/>
      <c r="EH2" s="410"/>
      <c r="EI2" s="410"/>
      <c r="EJ2" s="410"/>
      <c r="EK2" s="410"/>
      <c r="EL2" s="410"/>
      <c r="EM2" s="410"/>
      <c r="EN2" s="410"/>
      <c r="EO2" s="410"/>
      <c r="EP2" s="410"/>
      <c r="EQ2" s="410"/>
      <c r="ER2" s="410"/>
      <c r="ES2" s="410"/>
      <c r="ET2" s="410"/>
      <c r="EU2" s="410"/>
      <c r="EV2" s="410"/>
      <c r="EW2" s="410"/>
      <c r="EX2" s="410"/>
      <c r="EY2" s="410"/>
      <c r="EZ2" s="410"/>
      <c r="FA2" s="410"/>
      <c r="FB2" s="410"/>
      <c r="FC2" s="410"/>
      <c r="FD2" s="410"/>
      <c r="FE2" s="410"/>
      <c r="FF2" s="410"/>
      <c r="FG2" s="410"/>
      <c r="FH2" s="410"/>
      <c r="FI2" s="410"/>
      <c r="FJ2" s="410"/>
      <c r="FK2" s="410"/>
      <c r="FL2" s="410"/>
      <c r="FM2" s="410"/>
      <c r="FN2" s="410"/>
      <c r="FO2" s="410"/>
    </row>
    <row r="3" spans="2:173" customFormat="1" ht="15" customHeight="1">
      <c r="B3" s="453"/>
      <c r="C3" s="410"/>
      <c r="D3" s="410"/>
      <c r="E3" s="410"/>
      <c r="F3" s="410"/>
      <c r="G3" s="848" t="s">
        <v>376</v>
      </c>
      <c r="H3" s="849">
        <v>0</v>
      </c>
      <c r="I3" s="449"/>
      <c r="J3" s="410"/>
      <c r="K3" s="851"/>
      <c r="L3" s="85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  <c r="Y3" s="410"/>
      <c r="Z3" s="410"/>
      <c r="AA3" s="410"/>
      <c r="AB3" s="410"/>
      <c r="AC3" s="410"/>
      <c r="AD3" s="410"/>
      <c r="AE3" s="410"/>
      <c r="AF3" s="410"/>
      <c r="AG3" s="410"/>
      <c r="AH3" s="410"/>
      <c r="AI3" s="410"/>
      <c r="AJ3" s="410"/>
      <c r="AK3" s="410"/>
      <c r="AL3" s="410"/>
      <c r="AM3" s="410"/>
      <c r="AN3" s="410"/>
      <c r="AO3" s="410"/>
      <c r="AP3" s="410"/>
      <c r="AQ3" s="410"/>
      <c r="AR3" s="410"/>
      <c r="AS3" s="410"/>
      <c r="AT3" s="410"/>
      <c r="AU3" s="410"/>
      <c r="AV3" s="410"/>
      <c r="AW3" s="410"/>
      <c r="AX3" s="410"/>
      <c r="AY3" s="410"/>
      <c r="AZ3" s="410"/>
      <c r="BA3" s="410"/>
      <c r="BB3" s="410"/>
      <c r="BC3" s="410"/>
      <c r="BD3" s="410"/>
      <c r="BE3" s="410"/>
      <c r="BF3" s="410"/>
      <c r="BG3" s="410"/>
      <c r="BH3" s="410"/>
      <c r="BI3" s="410"/>
      <c r="BJ3" s="410"/>
      <c r="BK3" s="410"/>
      <c r="BL3" s="410"/>
      <c r="BM3" s="410"/>
      <c r="BN3" s="410"/>
      <c r="BO3" s="410"/>
      <c r="BP3" s="410"/>
      <c r="BQ3" s="410"/>
      <c r="BR3" s="410"/>
      <c r="BS3" s="410"/>
      <c r="BT3" s="410"/>
      <c r="BU3" s="410"/>
      <c r="BV3" s="410"/>
      <c r="BW3" s="410"/>
      <c r="BX3" s="410"/>
      <c r="BY3" s="410"/>
      <c r="BZ3" s="410"/>
      <c r="CA3" s="410"/>
      <c r="CB3" s="410"/>
      <c r="CC3" s="410"/>
      <c r="CD3" s="410"/>
      <c r="CE3" s="410"/>
      <c r="CF3" s="410"/>
      <c r="CG3" s="410"/>
      <c r="CH3" s="410"/>
      <c r="CI3" s="410"/>
      <c r="CJ3" s="410"/>
      <c r="CK3" s="410"/>
      <c r="CL3" s="410"/>
      <c r="CM3" s="410"/>
      <c r="CN3" s="410"/>
      <c r="CO3" s="410"/>
      <c r="CP3" s="410"/>
      <c r="CQ3" s="410"/>
      <c r="CR3" s="410"/>
      <c r="CS3" s="410"/>
      <c r="CT3" s="410"/>
      <c r="CU3" s="410"/>
      <c r="CV3" s="410"/>
      <c r="CW3" s="410"/>
      <c r="CX3" s="410"/>
      <c r="CY3" s="410"/>
      <c r="CZ3" s="410"/>
      <c r="DA3" s="410"/>
      <c r="DB3" s="410"/>
      <c r="DC3" s="410"/>
      <c r="DD3" s="410"/>
      <c r="DE3" s="410"/>
      <c r="DF3" s="410"/>
      <c r="DG3" s="410"/>
      <c r="DH3" s="410"/>
      <c r="DI3" s="410"/>
      <c r="DJ3" s="410"/>
      <c r="DK3" s="410"/>
      <c r="DL3" s="410"/>
      <c r="DM3" s="410"/>
      <c r="DN3" s="410"/>
      <c r="DO3" s="410"/>
      <c r="DP3" s="410"/>
      <c r="DQ3" s="410"/>
      <c r="DR3" s="410"/>
      <c r="DS3" s="410"/>
      <c r="DT3" s="410"/>
      <c r="DU3" s="410"/>
      <c r="DV3" s="410"/>
      <c r="DW3" s="410"/>
      <c r="DX3" s="410"/>
      <c r="DY3" s="410"/>
      <c r="DZ3" s="410"/>
      <c r="EA3" s="410"/>
      <c r="EB3" s="410"/>
      <c r="EC3" s="410"/>
      <c r="ED3" s="410"/>
      <c r="EE3" s="410"/>
      <c r="EF3" s="410"/>
      <c r="EG3" s="410"/>
      <c r="EH3" s="410"/>
      <c r="EI3" s="410"/>
      <c r="EJ3" s="410"/>
      <c r="EK3" s="410"/>
      <c r="EL3" s="410"/>
      <c r="EM3" s="410"/>
      <c r="EN3" s="410"/>
      <c r="EO3" s="410"/>
      <c r="EP3" s="410"/>
      <c r="EQ3" s="410"/>
      <c r="ER3" s="410"/>
      <c r="ES3" s="410"/>
      <c r="ET3" s="410"/>
      <c r="EU3" s="410"/>
      <c r="EV3" s="410"/>
      <c r="EW3" s="410"/>
      <c r="EX3" s="410"/>
      <c r="EY3" s="410"/>
      <c r="EZ3" s="410"/>
      <c r="FA3" s="410"/>
      <c r="FB3" s="410"/>
      <c r="FC3" s="410"/>
      <c r="FD3" s="410"/>
      <c r="FE3" s="410"/>
      <c r="FF3" s="410"/>
      <c r="FG3" s="410"/>
      <c r="FH3" s="410"/>
      <c r="FI3" s="410"/>
      <c r="FJ3" s="410"/>
      <c r="FK3" s="410"/>
      <c r="FL3" s="410"/>
      <c r="FM3" s="410"/>
      <c r="FN3" s="410"/>
      <c r="FO3" s="410"/>
    </row>
    <row r="4" spans="2:173" customFormat="1" ht="14.25" customHeight="1" thickBot="1">
      <c r="B4" s="453"/>
      <c r="D4" s="852"/>
      <c r="H4" s="853"/>
      <c r="I4" s="853"/>
      <c r="J4" s="853"/>
      <c r="K4" s="851"/>
      <c r="L4" s="852"/>
      <c r="M4" s="852"/>
      <c r="N4" s="854"/>
      <c r="O4" s="410"/>
      <c r="P4" s="410"/>
      <c r="Q4" s="410"/>
      <c r="R4" s="410"/>
      <c r="S4" s="410"/>
      <c r="T4" s="410"/>
      <c r="U4" s="410"/>
      <c r="V4" s="410"/>
      <c r="W4" s="410"/>
      <c r="X4" s="410"/>
      <c r="Y4" s="410"/>
      <c r="Z4" s="410"/>
      <c r="AA4" s="410"/>
      <c r="AB4" s="410"/>
      <c r="AC4" s="410"/>
      <c r="AD4" s="410"/>
      <c r="AE4" s="410"/>
      <c r="AF4" s="410"/>
      <c r="AG4" s="410"/>
      <c r="AH4" s="410"/>
      <c r="AI4" s="410"/>
      <c r="AJ4" s="410"/>
      <c r="AK4" s="410"/>
      <c r="AL4" s="410"/>
      <c r="AM4" s="410"/>
      <c r="AN4" s="410"/>
      <c r="AO4" s="410"/>
      <c r="AP4" s="410"/>
      <c r="AQ4" s="410"/>
      <c r="AR4" s="410"/>
      <c r="AS4" s="410"/>
      <c r="AT4" s="410"/>
      <c r="AU4" s="410"/>
      <c r="AV4" s="410"/>
      <c r="AW4" s="410"/>
      <c r="AX4" s="410"/>
      <c r="AY4" s="410"/>
      <c r="AZ4" s="410"/>
      <c r="BA4" s="410"/>
      <c r="BB4" s="410"/>
      <c r="BC4" s="410"/>
      <c r="BD4" s="410"/>
      <c r="BE4" s="410"/>
      <c r="BF4" s="410"/>
      <c r="BG4" s="410"/>
      <c r="BH4" s="410"/>
      <c r="BI4" s="410"/>
      <c r="BJ4" s="410"/>
      <c r="BK4" s="410"/>
      <c r="BL4" s="410"/>
      <c r="BM4" s="410"/>
      <c r="BN4" s="410"/>
      <c r="BO4" s="410"/>
      <c r="BP4" s="410"/>
      <c r="BQ4" s="410"/>
      <c r="BR4" s="410"/>
      <c r="BS4" s="410"/>
      <c r="BT4" s="410"/>
      <c r="BU4" s="410"/>
      <c r="BV4" s="410"/>
      <c r="BW4" s="410"/>
      <c r="BX4" s="410"/>
      <c r="BY4" s="410"/>
      <c r="BZ4" s="410"/>
      <c r="CA4" s="410"/>
      <c r="CB4" s="410"/>
      <c r="CC4" s="410"/>
      <c r="CD4" s="410"/>
      <c r="CE4" s="410"/>
      <c r="CF4" s="410"/>
      <c r="CG4" s="410"/>
      <c r="CH4" s="410"/>
      <c r="CI4" s="410"/>
      <c r="CJ4" s="410"/>
      <c r="CK4" s="410"/>
      <c r="CL4" s="410"/>
      <c r="CM4" s="410"/>
      <c r="CN4" s="410"/>
      <c r="CO4" s="410"/>
      <c r="CP4" s="410"/>
      <c r="CQ4" s="410"/>
      <c r="CR4" s="410"/>
      <c r="CS4" s="410"/>
      <c r="CT4" s="410"/>
      <c r="CU4" s="410"/>
      <c r="CV4" s="410"/>
      <c r="CW4" s="410"/>
      <c r="CX4" s="410"/>
      <c r="CY4" s="410"/>
      <c r="CZ4" s="410"/>
      <c r="DA4" s="410"/>
      <c r="DB4" s="410"/>
      <c r="DC4" s="410"/>
      <c r="DD4" s="410"/>
      <c r="DE4" s="410"/>
      <c r="DF4" s="410"/>
      <c r="DG4" s="410"/>
      <c r="DH4" s="410"/>
      <c r="DI4" s="410"/>
      <c r="DJ4" s="410"/>
      <c r="DK4" s="410"/>
      <c r="DL4" s="410"/>
      <c r="DM4" s="410"/>
      <c r="DN4" s="410"/>
      <c r="DO4" s="410"/>
      <c r="DP4" s="410"/>
      <c r="DQ4" s="410"/>
      <c r="DR4" s="410"/>
      <c r="DS4" s="410"/>
      <c r="DT4" s="410"/>
      <c r="DU4" s="410"/>
      <c r="DV4" s="410"/>
      <c r="DW4" s="410"/>
      <c r="DX4" s="410"/>
      <c r="DY4" s="410"/>
      <c r="DZ4" s="410"/>
      <c r="EA4" s="410"/>
      <c r="EB4" s="410"/>
      <c r="EC4" s="410"/>
      <c r="ED4" s="410"/>
      <c r="EE4" s="410"/>
      <c r="EF4" s="410"/>
      <c r="EG4" s="410"/>
      <c r="EH4" s="410"/>
      <c r="EI4" s="410"/>
      <c r="EJ4" s="410"/>
      <c r="EK4" s="410"/>
      <c r="EL4" s="410"/>
      <c r="EM4" s="410"/>
      <c r="EN4" s="410"/>
      <c r="EO4" s="410"/>
      <c r="EP4" s="410"/>
      <c r="EQ4" s="410"/>
      <c r="ER4" s="410"/>
      <c r="ES4" s="410"/>
      <c r="ET4" s="410"/>
      <c r="EU4" s="410"/>
      <c r="EV4" s="410"/>
      <c r="EW4" s="410"/>
      <c r="EX4" s="410"/>
      <c r="EY4" s="410"/>
      <c r="EZ4" s="410"/>
      <c r="FA4" s="410"/>
      <c r="FB4" s="410"/>
      <c r="FC4" s="410"/>
      <c r="FD4" s="410"/>
      <c r="FE4" s="410"/>
      <c r="FF4" s="410"/>
      <c r="FG4" s="410"/>
      <c r="FH4" s="410"/>
      <c r="FI4" s="410"/>
      <c r="FJ4" s="410"/>
      <c r="FK4" s="410"/>
      <c r="FL4" s="410"/>
      <c r="FM4" s="410"/>
      <c r="FN4" s="410"/>
      <c r="FO4" s="410"/>
    </row>
    <row r="5" spans="2:173" customFormat="1" ht="15" customHeight="1" thickBot="1">
      <c r="B5" s="1228" t="s">
        <v>377</v>
      </c>
      <c r="C5" s="1229"/>
      <c r="D5" s="1229"/>
      <c r="E5" s="1229"/>
      <c r="F5" s="1229"/>
      <c r="G5" s="1230"/>
      <c r="H5" s="512"/>
      <c r="I5" s="1228" t="s">
        <v>378</v>
      </c>
      <c r="J5" s="1229"/>
      <c r="K5" s="1230"/>
      <c r="L5" s="1228" t="s">
        <v>379</v>
      </c>
      <c r="M5" s="1230"/>
      <c r="N5" s="512" t="s">
        <v>380</v>
      </c>
      <c r="O5" s="1229" t="s">
        <v>381</v>
      </c>
      <c r="P5" s="1231"/>
      <c r="Q5" s="1232" t="s">
        <v>601</v>
      </c>
      <c r="R5" s="1233"/>
      <c r="S5" s="1233"/>
      <c r="T5" s="1233"/>
      <c r="U5" s="1233"/>
      <c r="V5" s="1233"/>
      <c r="W5" s="1233"/>
      <c r="X5" s="1233"/>
      <c r="Y5" s="1233"/>
      <c r="Z5" s="1233"/>
      <c r="AA5" s="1233"/>
      <c r="AB5" s="1233"/>
      <c r="AC5" s="1233"/>
      <c r="AD5" s="1233"/>
      <c r="AE5" s="1233"/>
      <c r="AF5" s="1233"/>
      <c r="AG5" s="1233"/>
      <c r="AH5" s="1233"/>
      <c r="AI5" s="1233"/>
      <c r="AJ5" s="1233"/>
      <c r="AK5" s="1233"/>
      <c r="AL5" s="1233"/>
      <c r="AM5" s="1233"/>
      <c r="AN5" s="1233"/>
      <c r="AO5" s="1233"/>
      <c r="AP5" s="1233"/>
      <c r="AQ5" s="1233"/>
      <c r="AR5" s="1233"/>
      <c r="AS5" s="1233"/>
      <c r="AT5" s="1233"/>
      <c r="AU5" s="1233"/>
      <c r="AV5" s="1233"/>
      <c r="AW5" s="1233"/>
      <c r="AX5" s="1233"/>
      <c r="AY5" s="1233"/>
      <c r="AZ5" s="1233"/>
      <c r="BA5" s="1233"/>
      <c r="BB5" s="1233"/>
      <c r="BC5" s="1233"/>
      <c r="BD5" s="1233"/>
      <c r="BE5" s="1234"/>
      <c r="BF5" s="1204" t="s">
        <v>601</v>
      </c>
      <c r="BG5" s="1205"/>
      <c r="BH5" s="1205"/>
      <c r="BI5" s="1205"/>
      <c r="BJ5" s="1205"/>
      <c r="BK5" s="1205"/>
      <c r="BL5" s="1205"/>
      <c r="BM5" s="1205"/>
      <c r="BN5" s="1205"/>
      <c r="BO5" s="1205"/>
      <c r="BP5" s="1205"/>
      <c r="BQ5" s="1205"/>
      <c r="BR5" s="1205"/>
      <c r="BS5" s="1205"/>
      <c r="BT5" s="1205"/>
      <c r="BU5" s="1205"/>
      <c r="BV5" s="1205"/>
      <c r="BW5" s="1205"/>
      <c r="BX5" s="1205"/>
      <c r="BY5" s="1205"/>
      <c r="BZ5" s="1205"/>
      <c r="CA5" s="1205"/>
      <c r="CB5" s="1205"/>
      <c r="CC5" s="1205"/>
      <c r="CD5" s="1205"/>
      <c r="CE5" s="1206"/>
      <c r="CF5" s="1193"/>
      <c r="CG5" s="1193"/>
      <c r="CH5" s="1193"/>
      <c r="CI5" s="1193"/>
      <c r="CJ5" s="1193"/>
      <c r="CK5" s="1193"/>
      <c r="CL5" s="1193"/>
      <c r="CM5" s="1193"/>
      <c r="CN5" s="1193"/>
      <c r="CO5" s="1232" t="s">
        <v>402</v>
      </c>
      <c r="CP5" s="1233"/>
      <c r="CQ5" s="1233"/>
      <c r="CR5" s="1233"/>
      <c r="CS5" s="1233"/>
      <c r="CT5" s="1233"/>
      <c r="CU5" s="1233"/>
      <c r="CV5" s="1233"/>
      <c r="CW5" s="1233"/>
      <c r="CX5" s="1233"/>
      <c r="CY5" s="1233"/>
      <c r="CZ5" s="1233"/>
      <c r="DA5" s="1233"/>
      <c r="DB5" s="1233"/>
      <c r="DC5" s="1233"/>
      <c r="DD5" s="1233"/>
      <c r="DE5" s="1233"/>
      <c r="DF5" s="1233"/>
      <c r="DG5" s="1233"/>
      <c r="DH5" s="1233"/>
      <c r="DI5" s="1233"/>
      <c r="DJ5" s="1233"/>
      <c r="DK5" s="1233"/>
      <c r="DL5" s="1233"/>
      <c r="DM5" s="1233"/>
      <c r="DN5" s="1233"/>
      <c r="DO5" s="1233"/>
      <c r="DP5" s="1233"/>
      <c r="DQ5" s="1233"/>
      <c r="DR5" s="1233"/>
      <c r="DS5" s="1233"/>
      <c r="DT5" s="1233"/>
      <c r="DU5" s="1233"/>
      <c r="DV5" s="1233"/>
      <c r="DW5" s="1233"/>
      <c r="DX5" s="1233"/>
      <c r="DY5" s="1233"/>
      <c r="DZ5" s="1233"/>
      <c r="EA5" s="1233"/>
      <c r="EB5" s="1233"/>
      <c r="EC5" s="1233"/>
      <c r="ED5" s="1233"/>
      <c r="EE5" s="1233"/>
      <c r="EF5" s="1233"/>
      <c r="EG5" s="1233"/>
      <c r="EH5" s="1233"/>
      <c r="EI5" s="1233"/>
      <c r="EJ5" s="1233"/>
      <c r="EK5" s="1233"/>
      <c r="EL5" s="1233"/>
      <c r="EM5" s="1233"/>
      <c r="EN5" s="1233"/>
      <c r="EO5" s="1233"/>
      <c r="EP5" s="1233"/>
      <c r="EQ5" s="1233"/>
      <c r="ER5" s="1233"/>
      <c r="ES5" s="1233"/>
      <c r="ET5" s="1233"/>
      <c r="EU5" s="1233"/>
      <c r="EV5" s="1233"/>
      <c r="EW5" s="1233"/>
      <c r="EX5" s="1233"/>
      <c r="EY5" s="1233"/>
      <c r="EZ5" s="1233"/>
      <c r="FA5" s="1233"/>
      <c r="FB5" s="1233"/>
      <c r="FC5" s="1233"/>
      <c r="FD5" s="1233"/>
      <c r="FE5" s="1234"/>
      <c r="FF5" s="1197"/>
      <c r="FG5" s="1197"/>
      <c r="FH5" s="1197"/>
      <c r="FI5" s="1197"/>
      <c r="FJ5" s="1197"/>
      <c r="FK5" s="1197"/>
      <c r="FL5" s="1197"/>
      <c r="FM5" s="1197"/>
      <c r="FN5" s="1197"/>
      <c r="FO5" s="1197"/>
    </row>
    <row r="6" spans="2:173" customFormat="1" ht="14.25" customHeight="1">
      <c r="B6" s="1216" t="s">
        <v>382</v>
      </c>
      <c r="C6" s="1217"/>
      <c r="D6" s="1220" t="s">
        <v>383</v>
      </c>
      <c r="E6" s="1222" t="s">
        <v>384</v>
      </c>
      <c r="F6" s="1222" t="s">
        <v>385</v>
      </c>
      <c r="G6" s="1224" t="s">
        <v>386</v>
      </c>
      <c r="H6" s="1226" t="s">
        <v>387</v>
      </c>
      <c r="I6" s="1226" t="s">
        <v>388</v>
      </c>
      <c r="J6" s="1226" t="s">
        <v>389</v>
      </c>
      <c r="K6" s="1226" t="s">
        <v>390</v>
      </c>
      <c r="L6" s="1235" t="s">
        <v>391</v>
      </c>
      <c r="M6" s="1243" t="s">
        <v>392</v>
      </c>
      <c r="N6" s="515" t="s">
        <v>393</v>
      </c>
      <c r="O6" s="1222" t="s">
        <v>394</v>
      </c>
      <c r="P6" s="1243" t="s">
        <v>395</v>
      </c>
      <c r="Q6" s="1209">
        <v>44713</v>
      </c>
      <c r="R6" s="1239">
        <v>44743</v>
      </c>
      <c r="S6" s="1241">
        <v>44774</v>
      </c>
      <c r="T6" s="1209">
        <v>44805</v>
      </c>
      <c r="U6" s="1209">
        <v>44835</v>
      </c>
      <c r="V6" s="1209">
        <v>44866</v>
      </c>
      <c r="W6" s="1209">
        <v>44896</v>
      </c>
      <c r="X6" s="1209">
        <v>44927</v>
      </c>
      <c r="Y6" s="1209">
        <v>44958</v>
      </c>
      <c r="Z6" s="1209">
        <v>44986</v>
      </c>
      <c r="AA6" s="1209">
        <v>45017</v>
      </c>
      <c r="AB6" s="1209">
        <v>45047</v>
      </c>
      <c r="AC6" s="1209">
        <v>45078</v>
      </c>
      <c r="AD6" s="1209">
        <v>45108</v>
      </c>
      <c r="AE6" s="1209">
        <v>45139</v>
      </c>
      <c r="AF6" s="1209">
        <v>45170</v>
      </c>
      <c r="AG6" s="1209">
        <v>45200</v>
      </c>
      <c r="AH6" s="1209">
        <v>45231</v>
      </c>
      <c r="AI6" s="1209">
        <v>45261</v>
      </c>
      <c r="AJ6" s="1209">
        <v>45292</v>
      </c>
      <c r="AK6" s="1209">
        <v>45323</v>
      </c>
      <c r="AL6" s="1209">
        <v>45352</v>
      </c>
      <c r="AM6" s="1209">
        <v>45383</v>
      </c>
      <c r="AN6" s="1209">
        <v>45413</v>
      </c>
      <c r="AO6" s="1209">
        <v>45444</v>
      </c>
      <c r="AP6" s="1209">
        <v>45474</v>
      </c>
      <c r="AQ6" s="1209">
        <v>45505</v>
      </c>
      <c r="AR6" s="1209">
        <v>45536</v>
      </c>
      <c r="AS6" s="1209">
        <v>45566</v>
      </c>
      <c r="AT6" s="1209">
        <v>45597</v>
      </c>
      <c r="AU6" s="1209">
        <v>45627</v>
      </c>
      <c r="AV6" s="1209">
        <v>45658</v>
      </c>
      <c r="AW6" s="1209">
        <v>45689</v>
      </c>
      <c r="AX6" s="1209">
        <v>45717</v>
      </c>
      <c r="AY6" s="1209">
        <v>45748</v>
      </c>
      <c r="AZ6" s="1209">
        <v>45778</v>
      </c>
      <c r="BA6" s="1209">
        <v>45809</v>
      </c>
      <c r="BB6" s="1209">
        <v>45839</v>
      </c>
      <c r="BC6" s="1209">
        <v>45870</v>
      </c>
      <c r="BD6" s="1209">
        <v>45901</v>
      </c>
      <c r="BE6" s="1209">
        <v>45931</v>
      </c>
      <c r="BF6" s="1209">
        <v>45962</v>
      </c>
      <c r="BG6" s="1209">
        <v>45992</v>
      </c>
      <c r="BH6" s="1209">
        <v>46023</v>
      </c>
      <c r="BI6" s="1209">
        <v>46054</v>
      </c>
      <c r="BJ6" s="1209">
        <v>46082</v>
      </c>
      <c r="BK6" s="1209">
        <v>46113</v>
      </c>
      <c r="BL6" s="1209">
        <v>46143</v>
      </c>
      <c r="BM6" s="1209">
        <v>46174</v>
      </c>
      <c r="BN6" s="1209">
        <v>46204</v>
      </c>
      <c r="BO6" s="1209">
        <v>46235</v>
      </c>
      <c r="BP6" s="1209">
        <v>46266</v>
      </c>
      <c r="BQ6" s="1209">
        <v>46296</v>
      </c>
      <c r="BR6" s="1209">
        <v>46327</v>
      </c>
      <c r="BS6" s="1209">
        <v>46357</v>
      </c>
      <c r="BT6" s="1209">
        <v>46388</v>
      </c>
      <c r="BU6" s="1209">
        <v>46419</v>
      </c>
      <c r="BV6" s="1209">
        <v>46447</v>
      </c>
      <c r="BW6" s="1209">
        <v>46478</v>
      </c>
      <c r="BX6" s="1209">
        <v>46508</v>
      </c>
      <c r="BY6" s="1209">
        <v>46539</v>
      </c>
      <c r="BZ6" s="1209">
        <v>46569</v>
      </c>
      <c r="CA6" s="1209">
        <v>46600</v>
      </c>
      <c r="CB6" s="1209">
        <v>46631</v>
      </c>
      <c r="CC6" s="1209">
        <v>46661</v>
      </c>
      <c r="CD6" s="1209">
        <v>46692</v>
      </c>
      <c r="CE6" s="1209">
        <v>46722</v>
      </c>
      <c r="CF6" s="1209">
        <v>46753</v>
      </c>
      <c r="CG6" s="1209">
        <v>46784</v>
      </c>
      <c r="CH6" s="1209">
        <v>46813</v>
      </c>
      <c r="CI6" s="1209">
        <v>46844</v>
      </c>
      <c r="CJ6" s="1209">
        <v>46874</v>
      </c>
      <c r="CK6" s="1209">
        <v>46905</v>
      </c>
      <c r="CL6" s="1209">
        <v>46935</v>
      </c>
      <c r="CM6" s="1209">
        <v>46966</v>
      </c>
      <c r="CN6" s="1209">
        <v>46997</v>
      </c>
      <c r="CO6" s="1207">
        <v>44682</v>
      </c>
      <c r="CP6" s="1207">
        <v>44713</v>
      </c>
      <c r="CQ6" s="1207">
        <v>44743</v>
      </c>
      <c r="CR6" s="1207">
        <v>44774</v>
      </c>
      <c r="CS6" s="1207">
        <v>44805</v>
      </c>
      <c r="CT6" s="1207">
        <v>44835</v>
      </c>
      <c r="CU6" s="1207">
        <v>44866</v>
      </c>
      <c r="CV6" s="1207">
        <v>44896</v>
      </c>
      <c r="CW6" s="1207">
        <v>44927</v>
      </c>
      <c r="CX6" s="1207">
        <v>44958</v>
      </c>
      <c r="CY6" s="1207">
        <v>44986</v>
      </c>
      <c r="CZ6" s="1207">
        <v>45017</v>
      </c>
      <c r="DA6" s="1207">
        <v>45047</v>
      </c>
      <c r="DB6" s="1207">
        <v>45078</v>
      </c>
      <c r="DC6" s="1207">
        <v>45108</v>
      </c>
      <c r="DD6" s="1207">
        <v>45139</v>
      </c>
      <c r="DE6" s="1213">
        <v>45170</v>
      </c>
      <c r="DF6" s="1211">
        <v>45200</v>
      </c>
      <c r="DG6" s="1207">
        <v>45231</v>
      </c>
      <c r="DH6" s="1207">
        <v>45261</v>
      </c>
      <c r="DI6" s="1207">
        <v>45292</v>
      </c>
      <c r="DJ6" s="1207">
        <v>45323</v>
      </c>
      <c r="DK6" s="1207">
        <v>45352</v>
      </c>
      <c r="DL6" s="1207">
        <v>45383</v>
      </c>
      <c r="DM6" s="1207">
        <v>45413</v>
      </c>
      <c r="DN6" s="1207">
        <v>45444</v>
      </c>
      <c r="DO6" s="1207">
        <v>45474</v>
      </c>
      <c r="DP6" s="1207">
        <v>45505</v>
      </c>
      <c r="DQ6" s="1207">
        <v>45536</v>
      </c>
      <c r="DR6" s="1207">
        <v>45566</v>
      </c>
      <c r="DS6" s="1207">
        <v>45597</v>
      </c>
      <c r="DT6" s="1207">
        <v>45627</v>
      </c>
      <c r="DU6" s="1207">
        <v>45658</v>
      </c>
      <c r="DV6" s="1207">
        <v>45689</v>
      </c>
      <c r="DW6" s="1207">
        <v>45717</v>
      </c>
      <c r="DX6" s="1207">
        <v>45748</v>
      </c>
      <c r="DY6" s="1207">
        <v>45778</v>
      </c>
      <c r="DZ6" s="1207">
        <v>45809</v>
      </c>
      <c r="EA6" s="1207">
        <v>45839</v>
      </c>
      <c r="EB6" s="1207">
        <v>45870</v>
      </c>
      <c r="EC6" s="1207">
        <v>45901</v>
      </c>
      <c r="ED6" s="1207">
        <v>45931</v>
      </c>
      <c r="EE6" s="1207">
        <v>45962</v>
      </c>
      <c r="EF6" s="1207">
        <v>45992</v>
      </c>
      <c r="EG6" s="1207">
        <v>46023</v>
      </c>
      <c r="EH6" s="1207">
        <v>46054</v>
      </c>
      <c r="EI6" s="1207">
        <v>46082</v>
      </c>
      <c r="EJ6" s="1207">
        <v>46113</v>
      </c>
      <c r="EK6" s="1207">
        <v>46143</v>
      </c>
      <c r="EL6" s="1207">
        <v>46174</v>
      </c>
      <c r="EM6" s="1207">
        <v>46204</v>
      </c>
      <c r="EN6" s="1207">
        <v>46235</v>
      </c>
      <c r="EO6" s="1207">
        <v>46266</v>
      </c>
      <c r="EP6" s="1207">
        <v>46296</v>
      </c>
      <c r="EQ6" s="1207">
        <v>46327</v>
      </c>
      <c r="ER6" s="1207">
        <v>46357</v>
      </c>
      <c r="ES6" s="1207">
        <v>46388</v>
      </c>
      <c r="ET6" s="1207">
        <v>46419</v>
      </c>
      <c r="EU6" s="1207">
        <v>46447</v>
      </c>
      <c r="EV6" s="1207">
        <v>46478</v>
      </c>
      <c r="EW6" s="1207">
        <v>46508</v>
      </c>
      <c r="EX6" s="1207">
        <v>46539</v>
      </c>
      <c r="EY6" s="1207">
        <v>46569</v>
      </c>
      <c r="EZ6" s="1207">
        <v>46600</v>
      </c>
      <c r="FA6" s="1207">
        <v>46631</v>
      </c>
      <c r="FB6" s="1207">
        <v>46661</v>
      </c>
      <c r="FC6" s="1207">
        <v>46692</v>
      </c>
      <c r="FD6" s="1207">
        <v>46722</v>
      </c>
      <c r="FE6" s="1207">
        <v>46753</v>
      </c>
      <c r="FF6" s="1207">
        <v>46784</v>
      </c>
      <c r="FG6" s="1207">
        <v>46813</v>
      </c>
      <c r="FH6" s="1207">
        <v>46844</v>
      </c>
      <c r="FI6" s="1207">
        <v>46874</v>
      </c>
      <c r="FJ6" s="1207">
        <v>46905</v>
      </c>
      <c r="FK6" s="1207">
        <v>46935</v>
      </c>
      <c r="FL6" s="1207">
        <v>46966</v>
      </c>
      <c r="FM6" s="1207">
        <v>46997</v>
      </c>
      <c r="FN6" s="1207">
        <v>47027</v>
      </c>
      <c r="FO6" s="1207">
        <v>47058</v>
      </c>
    </row>
    <row r="7" spans="2:173" customFormat="1" ht="14.25" customHeight="1" thickBot="1">
      <c r="B7" s="1218"/>
      <c r="C7" s="1219"/>
      <c r="D7" s="1221"/>
      <c r="E7" s="1223"/>
      <c r="F7" s="1223"/>
      <c r="G7" s="1225"/>
      <c r="H7" s="1227"/>
      <c r="I7" s="1227"/>
      <c r="J7" s="1227"/>
      <c r="K7" s="1227"/>
      <c r="L7" s="1236"/>
      <c r="M7" s="1244"/>
      <c r="N7" s="516" t="s">
        <v>396</v>
      </c>
      <c r="O7" s="1223"/>
      <c r="P7" s="1244"/>
      <c r="Q7" s="1210"/>
      <c r="R7" s="1240"/>
      <c r="S7" s="1242"/>
      <c r="T7" s="1210"/>
      <c r="U7" s="1210"/>
      <c r="V7" s="1210"/>
      <c r="W7" s="1210"/>
      <c r="X7" s="1210"/>
      <c r="Y7" s="1210"/>
      <c r="Z7" s="1210"/>
      <c r="AA7" s="1210"/>
      <c r="AB7" s="1210"/>
      <c r="AC7" s="1210"/>
      <c r="AD7" s="1210"/>
      <c r="AE7" s="1210"/>
      <c r="AF7" s="1210"/>
      <c r="AG7" s="1210"/>
      <c r="AH7" s="1210"/>
      <c r="AI7" s="1210"/>
      <c r="AJ7" s="1210"/>
      <c r="AK7" s="1210"/>
      <c r="AL7" s="1210"/>
      <c r="AM7" s="1210"/>
      <c r="AN7" s="1210"/>
      <c r="AO7" s="1210"/>
      <c r="AP7" s="1210"/>
      <c r="AQ7" s="1210"/>
      <c r="AR7" s="1210"/>
      <c r="AS7" s="1210"/>
      <c r="AT7" s="1210"/>
      <c r="AU7" s="1210"/>
      <c r="AV7" s="1210"/>
      <c r="AW7" s="1210"/>
      <c r="AX7" s="1210"/>
      <c r="AY7" s="1210"/>
      <c r="AZ7" s="1210"/>
      <c r="BA7" s="1210"/>
      <c r="BB7" s="1210"/>
      <c r="BC7" s="1210"/>
      <c r="BD7" s="1210"/>
      <c r="BE7" s="1210"/>
      <c r="BF7" s="1210"/>
      <c r="BG7" s="1210"/>
      <c r="BH7" s="1210"/>
      <c r="BI7" s="1210"/>
      <c r="BJ7" s="1210"/>
      <c r="BK7" s="1210"/>
      <c r="BL7" s="1210"/>
      <c r="BM7" s="1210"/>
      <c r="BN7" s="1210"/>
      <c r="BO7" s="1210"/>
      <c r="BP7" s="1210"/>
      <c r="BQ7" s="1210"/>
      <c r="BR7" s="1210"/>
      <c r="BS7" s="1210"/>
      <c r="BT7" s="1210"/>
      <c r="BU7" s="1210"/>
      <c r="BV7" s="1210"/>
      <c r="BW7" s="1210"/>
      <c r="BX7" s="1210"/>
      <c r="BY7" s="1210"/>
      <c r="BZ7" s="1210"/>
      <c r="CA7" s="1210"/>
      <c r="CB7" s="1210"/>
      <c r="CC7" s="1210"/>
      <c r="CD7" s="1210"/>
      <c r="CE7" s="1210"/>
      <c r="CF7" s="1245"/>
      <c r="CG7" s="1245"/>
      <c r="CH7" s="1245"/>
      <c r="CI7" s="1245"/>
      <c r="CJ7" s="1245"/>
      <c r="CK7" s="1245"/>
      <c r="CL7" s="1245"/>
      <c r="CM7" s="1245"/>
      <c r="CN7" s="1245"/>
      <c r="CO7" s="1208"/>
      <c r="CP7" s="1208"/>
      <c r="CQ7" s="1208"/>
      <c r="CR7" s="1208"/>
      <c r="CS7" s="1208"/>
      <c r="CT7" s="1208"/>
      <c r="CU7" s="1208"/>
      <c r="CV7" s="1208"/>
      <c r="CW7" s="1208"/>
      <c r="CX7" s="1208"/>
      <c r="CY7" s="1208"/>
      <c r="CZ7" s="1208"/>
      <c r="DA7" s="1208"/>
      <c r="DB7" s="1208"/>
      <c r="DC7" s="1208"/>
      <c r="DD7" s="1208"/>
      <c r="DE7" s="1214"/>
      <c r="DF7" s="1212"/>
      <c r="DG7" s="1208"/>
      <c r="DH7" s="1208"/>
      <c r="DI7" s="1208"/>
      <c r="DJ7" s="1208"/>
      <c r="DK7" s="1208"/>
      <c r="DL7" s="1208"/>
      <c r="DM7" s="1208"/>
      <c r="DN7" s="1208"/>
      <c r="DO7" s="1208"/>
      <c r="DP7" s="1208"/>
      <c r="DQ7" s="1208"/>
      <c r="DR7" s="1208"/>
      <c r="DS7" s="1208"/>
      <c r="DT7" s="1208"/>
      <c r="DU7" s="1208"/>
      <c r="DV7" s="1208"/>
      <c r="DW7" s="1208"/>
      <c r="DX7" s="1208"/>
      <c r="DY7" s="1208"/>
      <c r="DZ7" s="1208"/>
      <c r="EA7" s="1208"/>
      <c r="EB7" s="1208"/>
      <c r="EC7" s="1208"/>
      <c r="ED7" s="1208"/>
      <c r="EE7" s="1208"/>
      <c r="EF7" s="1208"/>
      <c r="EG7" s="1208"/>
      <c r="EH7" s="1208"/>
      <c r="EI7" s="1208"/>
      <c r="EJ7" s="1208"/>
      <c r="EK7" s="1208"/>
      <c r="EL7" s="1208"/>
      <c r="EM7" s="1208"/>
      <c r="EN7" s="1208"/>
      <c r="EO7" s="1208"/>
      <c r="EP7" s="1208"/>
      <c r="EQ7" s="1208"/>
      <c r="ER7" s="1208"/>
      <c r="ES7" s="1208"/>
      <c r="ET7" s="1208"/>
      <c r="EU7" s="1208"/>
      <c r="EV7" s="1208"/>
      <c r="EW7" s="1208"/>
      <c r="EX7" s="1208"/>
      <c r="EY7" s="1208"/>
      <c r="EZ7" s="1208"/>
      <c r="FA7" s="1208"/>
      <c r="FB7" s="1208"/>
      <c r="FC7" s="1208"/>
      <c r="FD7" s="1208"/>
      <c r="FE7" s="1208"/>
      <c r="FF7" s="1208"/>
      <c r="FG7" s="1208"/>
      <c r="FH7" s="1208"/>
      <c r="FI7" s="1208"/>
      <c r="FJ7" s="1208"/>
      <c r="FK7" s="1208"/>
      <c r="FL7" s="1208"/>
      <c r="FM7" s="1208"/>
      <c r="FN7" s="1208"/>
      <c r="FO7" s="1208"/>
    </row>
    <row r="8" spans="2:173" s="524" customFormat="1" ht="13.8" customHeight="1">
      <c r="B8" s="225"/>
      <c r="C8" s="521"/>
      <c r="D8" s="522"/>
      <c r="E8" s="525"/>
      <c r="F8" s="525"/>
      <c r="G8" s="736"/>
      <c r="H8" s="737"/>
      <c r="I8" s="739"/>
      <c r="J8" s="943"/>
      <c r="K8" s="757"/>
      <c r="L8" s="726"/>
      <c r="M8" s="526"/>
      <c r="N8" s="527">
        <v>0.11749999999999999</v>
      </c>
      <c r="O8" s="226" t="s">
        <v>397</v>
      </c>
      <c r="P8" s="528" t="s">
        <v>588</v>
      </c>
      <c r="Q8" s="532"/>
      <c r="R8" s="532"/>
      <c r="S8" s="532"/>
      <c r="T8" s="529"/>
      <c r="U8" s="529"/>
      <c r="V8" s="529"/>
      <c r="W8" s="529"/>
      <c r="X8" s="529">
        <v>13166666.66</v>
      </c>
      <c r="Y8" s="529"/>
      <c r="Z8" s="530"/>
      <c r="AA8" s="529"/>
      <c r="AB8" s="529"/>
      <c r="AC8" s="529"/>
      <c r="AD8" s="529">
        <v>13166666.66</v>
      </c>
      <c r="AE8" s="529"/>
      <c r="AF8" s="529"/>
      <c r="AG8" s="529"/>
      <c r="AH8" s="529"/>
      <c r="AI8" s="529"/>
      <c r="AJ8" s="529">
        <v>13166666.66</v>
      </c>
      <c r="AK8" s="529"/>
      <c r="AL8" s="529"/>
      <c r="AM8" s="529"/>
      <c r="AN8" s="529"/>
      <c r="AO8" s="529"/>
      <c r="AP8" s="529">
        <v>13166666.66</v>
      </c>
      <c r="AQ8" s="529"/>
      <c r="AR8" s="529"/>
      <c r="AS8" s="529"/>
      <c r="AT8" s="529"/>
      <c r="AU8" s="529"/>
      <c r="AV8" s="529">
        <v>13166666.66</v>
      </c>
      <c r="AW8" s="529"/>
      <c r="AX8" s="529"/>
      <c r="AY8" s="529"/>
      <c r="AZ8" s="529"/>
      <c r="BA8" s="529"/>
      <c r="BB8" s="529">
        <v>13166666.66</v>
      </c>
      <c r="BC8" s="529"/>
      <c r="BD8" s="529"/>
      <c r="BE8" s="529"/>
      <c r="BF8" s="529"/>
      <c r="BG8" s="529"/>
      <c r="BH8" s="529"/>
      <c r="BI8" s="529"/>
      <c r="BJ8" s="529"/>
      <c r="BK8" s="529"/>
      <c r="BL8" s="529"/>
      <c r="BM8" s="529"/>
      <c r="BN8" s="529"/>
      <c r="BO8" s="529"/>
      <c r="BP8" s="529"/>
      <c r="BQ8" s="529"/>
      <c r="BR8" s="529"/>
      <c r="BS8" s="855"/>
      <c r="BT8" s="855"/>
      <c r="BU8" s="855"/>
      <c r="BV8" s="855"/>
      <c r="BW8" s="855"/>
      <c r="BX8" s="855"/>
      <c r="BY8" s="855"/>
      <c r="BZ8" s="855"/>
      <c r="CA8" s="855"/>
      <c r="CB8" s="855"/>
      <c r="CC8" s="855"/>
      <c r="CD8" s="855"/>
      <c r="CE8" s="855"/>
      <c r="CF8" s="1196"/>
      <c r="CG8" s="1196"/>
      <c r="CH8" s="1196"/>
      <c r="CI8" s="1196"/>
      <c r="CJ8" s="1196"/>
      <c r="CK8" s="1196"/>
      <c r="CL8" s="1196"/>
      <c r="CM8" s="1196"/>
      <c r="CN8" s="1196"/>
      <c r="CO8" s="532"/>
      <c r="CP8" s="529"/>
      <c r="CQ8" s="529"/>
      <c r="CR8" s="529"/>
      <c r="CS8" s="529"/>
      <c r="CT8" s="529"/>
      <c r="CU8" s="529"/>
      <c r="CV8" s="529"/>
      <c r="CW8" s="529">
        <v>4770173.33</v>
      </c>
      <c r="CX8" s="529"/>
      <c r="CY8" s="529"/>
      <c r="CZ8" s="529"/>
      <c r="DA8" s="529"/>
      <c r="DB8" s="529"/>
      <c r="DC8" s="529">
        <v>3889195.33</v>
      </c>
      <c r="DD8" s="529"/>
      <c r="DE8" s="531"/>
      <c r="DF8" s="529"/>
      <c r="DG8" s="529"/>
      <c r="DH8" s="529"/>
      <c r="DI8" s="529">
        <v>3162926.33</v>
      </c>
      <c r="DJ8" s="529"/>
      <c r="DK8" s="529"/>
      <c r="DL8" s="529"/>
      <c r="DM8" s="529"/>
      <c r="DN8" s="529"/>
      <c r="DO8" s="531">
        <v>2346409.33</v>
      </c>
      <c r="DP8" s="593"/>
      <c r="DQ8" s="529"/>
      <c r="DR8" s="529"/>
      <c r="DS8" s="529"/>
      <c r="DT8" s="529"/>
      <c r="DU8" s="529"/>
      <c r="DV8" s="529"/>
      <c r="DW8" s="529"/>
      <c r="DX8" s="529"/>
      <c r="DY8" s="514"/>
      <c r="DZ8" s="514"/>
      <c r="EA8" s="514"/>
      <c r="EB8" s="514"/>
      <c r="EC8" s="514"/>
      <c r="ED8" s="514"/>
      <c r="EE8" s="514"/>
      <c r="EF8" s="514"/>
      <c r="EG8" s="514"/>
      <c r="EH8" s="514"/>
      <c r="EI8" s="514"/>
      <c r="EJ8" s="514"/>
      <c r="EK8" s="514"/>
      <c r="EL8" s="514"/>
      <c r="EM8" s="514"/>
      <c r="EN8" s="514"/>
      <c r="EO8" s="514"/>
      <c r="EP8" s="514"/>
      <c r="EQ8" s="514"/>
      <c r="ER8" s="514"/>
      <c r="ES8" s="514"/>
      <c r="ET8" s="514"/>
      <c r="EU8" s="514"/>
      <c r="EV8" s="514"/>
      <c r="EW8" s="514"/>
      <c r="EX8" s="514"/>
      <c r="EY8" s="514"/>
      <c r="EZ8" s="514"/>
      <c r="FA8" s="514"/>
      <c r="FB8" s="514"/>
      <c r="FC8" s="514"/>
      <c r="FD8" s="514"/>
      <c r="FE8" s="514"/>
      <c r="FF8" s="514"/>
      <c r="FG8" s="514"/>
      <c r="FH8" s="514"/>
      <c r="FI8" s="514"/>
      <c r="FJ8" s="514"/>
      <c r="FK8" s="514"/>
      <c r="FL8" s="514"/>
      <c r="FM8" s="514"/>
      <c r="FN8" s="514"/>
      <c r="FO8" s="514"/>
      <c r="FP8" s="167"/>
      <c r="FQ8" s="167"/>
    </row>
    <row r="9" spans="2:173" customFormat="1" ht="14.25" customHeight="1">
      <c r="B9" s="225"/>
      <c r="C9" s="517"/>
      <c r="D9" s="616"/>
      <c r="E9" s="617"/>
      <c r="F9" s="525"/>
      <c r="G9" s="740"/>
      <c r="H9" s="741"/>
      <c r="I9" s="742"/>
      <c r="J9" s="944"/>
      <c r="K9" s="758"/>
      <c r="L9" s="727"/>
      <c r="M9" s="618"/>
      <c r="N9" s="619" t="s">
        <v>600</v>
      </c>
      <c r="O9" s="620" t="s">
        <v>397</v>
      </c>
      <c r="P9" s="621" t="s">
        <v>599</v>
      </c>
      <c r="Q9" s="519"/>
      <c r="R9" s="519"/>
      <c r="S9" s="615"/>
      <c r="T9" s="622"/>
      <c r="U9" s="622"/>
      <c r="V9" s="622"/>
      <c r="W9" s="622"/>
      <c r="X9" s="622"/>
      <c r="Y9" s="622"/>
      <c r="Z9" s="511"/>
      <c r="AA9" s="622"/>
      <c r="AB9" s="622"/>
      <c r="AC9" s="622"/>
      <c r="AD9" s="622"/>
      <c r="AE9" s="622"/>
      <c r="AF9" s="622"/>
      <c r="AG9" s="622"/>
      <c r="AH9" s="622"/>
      <c r="AI9" s="622"/>
      <c r="AJ9" s="622"/>
      <c r="AK9" s="622"/>
      <c r="AL9" s="622"/>
      <c r="AM9" s="622"/>
      <c r="AN9" s="622"/>
      <c r="AO9" s="622"/>
      <c r="AP9" s="622"/>
      <c r="AQ9" s="622"/>
      <c r="AR9" s="622"/>
      <c r="AS9" s="622">
        <v>43300000</v>
      </c>
      <c r="AT9" s="622"/>
      <c r="AU9" s="622"/>
      <c r="AV9" s="622"/>
      <c r="AW9" s="622"/>
      <c r="AX9" s="622"/>
      <c r="AY9" s="622"/>
      <c r="AZ9" s="622"/>
      <c r="BA9" s="622"/>
      <c r="BB9" s="622"/>
      <c r="BC9" s="622"/>
      <c r="BD9" s="622"/>
      <c r="BE9" s="622">
        <v>43300000</v>
      </c>
      <c r="BF9" s="622"/>
      <c r="BG9" s="622"/>
      <c r="BH9" s="622"/>
      <c r="BI9" s="622"/>
      <c r="BJ9" s="622"/>
      <c r="BK9" s="622"/>
      <c r="BL9" s="622"/>
      <c r="BM9" s="622"/>
      <c r="BN9" s="622"/>
      <c r="BO9" s="622"/>
      <c r="BP9" s="622"/>
      <c r="BQ9" s="622"/>
      <c r="BR9" s="622"/>
      <c r="BS9" s="856"/>
      <c r="BT9" s="856"/>
      <c r="BU9" s="856"/>
      <c r="BV9" s="856"/>
      <c r="BW9" s="856"/>
      <c r="BX9" s="856"/>
      <c r="BY9" s="856"/>
      <c r="BZ9" s="856"/>
      <c r="CA9" s="856"/>
      <c r="CB9" s="856"/>
      <c r="CC9" s="856"/>
      <c r="CD9" s="856"/>
      <c r="CE9" s="856"/>
      <c r="CF9" s="879"/>
      <c r="CG9" s="879"/>
      <c r="CH9" s="879"/>
      <c r="CI9" s="879"/>
      <c r="CJ9" s="879"/>
      <c r="CK9" s="879"/>
      <c r="CL9" s="879"/>
      <c r="CM9" s="879"/>
      <c r="CN9" s="879"/>
      <c r="CO9" s="615">
        <v>44760653.333333336</v>
      </c>
      <c r="CP9" s="622"/>
      <c r="CQ9" s="622"/>
      <c r="CR9" s="622"/>
      <c r="CS9" s="622"/>
      <c r="CT9" s="622"/>
      <c r="CU9" s="622"/>
      <c r="CV9" s="622"/>
      <c r="CW9" s="622">
        <v>2921306.666666667</v>
      </c>
      <c r="CX9" s="622"/>
      <c r="CY9" s="622"/>
      <c r="CZ9" s="622">
        <v>2826046.666666667</v>
      </c>
      <c r="DA9" s="622"/>
      <c r="DB9" s="622"/>
      <c r="DC9" s="622">
        <v>2921306.666666667</v>
      </c>
      <c r="DD9" s="622"/>
      <c r="DE9" s="623"/>
      <c r="DF9" s="622">
        <v>2921306.666666667</v>
      </c>
      <c r="DG9" s="622"/>
      <c r="DH9" s="622"/>
      <c r="DI9" s="622">
        <v>2921306.666666667</v>
      </c>
      <c r="DJ9" s="622"/>
      <c r="DK9" s="622"/>
      <c r="DL9" s="622">
        <v>2857800</v>
      </c>
      <c r="DM9" s="622"/>
      <c r="DN9" s="622"/>
      <c r="DO9" s="623">
        <v>2921306.666666667</v>
      </c>
      <c r="DP9" s="624"/>
      <c r="DQ9" s="622"/>
      <c r="DR9" s="622">
        <v>2921306.6666666642</v>
      </c>
      <c r="DS9" s="622"/>
      <c r="DT9" s="622"/>
      <c r="DU9" s="622">
        <v>1460653.3333333335</v>
      </c>
      <c r="DV9" s="622"/>
      <c r="DW9" s="622"/>
      <c r="DX9" s="622">
        <v>1413023.3333333335</v>
      </c>
      <c r="DY9" s="514"/>
      <c r="DZ9" s="514"/>
      <c r="EA9" s="514">
        <v>1460653.3333333335</v>
      </c>
      <c r="EB9" s="514"/>
      <c r="EC9" s="514"/>
      <c r="ED9" s="514"/>
      <c r="EE9" s="514"/>
      <c r="EF9" s="514"/>
      <c r="EG9" s="514"/>
      <c r="EH9" s="514"/>
      <c r="EI9" s="514"/>
      <c r="EJ9" s="514"/>
      <c r="EK9" s="514"/>
      <c r="EL9" s="514"/>
      <c r="EM9" s="514"/>
      <c r="EN9" s="514"/>
      <c r="EO9" s="514"/>
      <c r="EP9" s="514"/>
      <c r="EQ9" s="514"/>
      <c r="ER9" s="514"/>
      <c r="ES9" s="514"/>
      <c r="ET9" s="514"/>
      <c r="EU9" s="514"/>
      <c r="EV9" s="514"/>
      <c r="EW9" s="514"/>
      <c r="EX9" s="514"/>
      <c r="EY9" s="514"/>
      <c r="EZ9" s="514"/>
      <c r="FA9" s="514"/>
      <c r="FB9" s="514"/>
      <c r="FC9" s="514"/>
      <c r="FD9" s="514"/>
      <c r="FE9" s="514"/>
      <c r="FF9" s="514"/>
      <c r="FG9" s="514"/>
      <c r="FH9" s="514"/>
      <c r="FI9" s="514"/>
      <c r="FJ9" s="514"/>
      <c r="FK9" s="514"/>
      <c r="FL9" s="514"/>
      <c r="FM9" s="514"/>
      <c r="FN9" s="514"/>
      <c r="FO9" s="514"/>
      <c r="FP9" s="167"/>
      <c r="FQ9" s="167"/>
    </row>
    <row r="10" spans="2:173" s="524" customFormat="1" ht="14.25" customHeight="1">
      <c r="B10" s="225">
        <v>1</v>
      </c>
      <c r="C10" s="521" t="s">
        <v>608</v>
      </c>
      <c r="D10" s="518" t="s">
        <v>369</v>
      </c>
      <c r="E10" s="525">
        <f t="shared" ref="E10:E15" si="0">G10-F10</f>
        <v>50013440.218356162</v>
      </c>
      <c r="F10" s="525">
        <v>1514833.5616438356</v>
      </c>
      <c r="G10" s="736">
        <f>'Notes - Dec25'!C120</f>
        <v>51528273.780000001</v>
      </c>
      <c r="H10" s="737" t="s">
        <v>398</v>
      </c>
      <c r="I10" s="738">
        <f t="shared" ref="I10:I12" si="1">E10</f>
        <v>50013440.218356162</v>
      </c>
      <c r="J10" s="944">
        <f t="shared" ref="J10:J21" si="2">F10</f>
        <v>1514833.5616438356</v>
      </c>
      <c r="K10" s="756">
        <f t="shared" ref="K10:K19" si="3">SUM(I10:J10)</f>
        <v>51528273.780000001</v>
      </c>
      <c r="L10" s="726">
        <v>45009</v>
      </c>
      <c r="M10" s="526">
        <v>46094</v>
      </c>
      <c r="N10" s="527">
        <v>0.1205</v>
      </c>
      <c r="O10" s="226" t="s">
        <v>397</v>
      </c>
      <c r="P10" s="528" t="s">
        <v>662</v>
      </c>
      <c r="Q10" s="532"/>
      <c r="R10" s="532"/>
      <c r="S10" s="532"/>
      <c r="T10" s="529"/>
      <c r="U10" s="529"/>
      <c r="V10" s="529"/>
      <c r="W10" s="529"/>
      <c r="X10" s="529"/>
      <c r="Y10" s="529"/>
      <c r="Z10" s="530"/>
      <c r="AA10" s="529"/>
      <c r="AB10" s="529"/>
      <c r="AC10" s="529"/>
      <c r="AD10" s="529"/>
      <c r="AE10" s="529"/>
      <c r="AF10" s="529"/>
      <c r="AG10" s="529"/>
      <c r="AH10" s="529"/>
      <c r="AI10" s="529"/>
      <c r="AJ10" s="529"/>
      <c r="AK10" s="529"/>
      <c r="AL10" s="529"/>
      <c r="AM10" s="529"/>
      <c r="AN10" s="529"/>
      <c r="AO10" s="529"/>
      <c r="AP10" s="529"/>
      <c r="AQ10" s="529"/>
      <c r="AR10" s="529"/>
      <c r="AS10" s="529"/>
      <c r="AT10" s="529"/>
      <c r="AU10" s="529"/>
      <c r="AV10" s="529"/>
      <c r="AW10" s="529"/>
      <c r="AX10" s="529"/>
      <c r="AY10" s="529"/>
      <c r="AZ10" s="529"/>
      <c r="BA10" s="529"/>
      <c r="BB10" s="529"/>
      <c r="BC10" s="529"/>
      <c r="BD10" s="529">
        <v>49875000</v>
      </c>
      <c r="BE10" s="529"/>
      <c r="BF10" s="529"/>
      <c r="BG10" s="529"/>
      <c r="BH10" s="529"/>
      <c r="BI10" s="529"/>
      <c r="BJ10" s="529">
        <v>49875000</v>
      </c>
      <c r="BK10" s="529"/>
      <c r="BL10" s="529"/>
      <c r="BM10" s="529"/>
      <c r="BN10" s="529"/>
      <c r="BO10" s="529"/>
      <c r="BP10" s="529"/>
      <c r="BQ10" s="529"/>
      <c r="BR10" s="529"/>
      <c r="BS10" s="855"/>
      <c r="BT10" s="855"/>
      <c r="BU10" s="855"/>
      <c r="BV10" s="855"/>
      <c r="BW10" s="855"/>
      <c r="BX10" s="855"/>
      <c r="BY10" s="855"/>
      <c r="BZ10" s="855"/>
      <c r="CA10" s="855"/>
      <c r="CB10" s="855"/>
      <c r="CC10" s="855"/>
      <c r="CD10" s="855"/>
      <c r="CE10" s="855"/>
      <c r="CF10" s="1196"/>
      <c r="CG10" s="1196"/>
      <c r="CH10" s="1196"/>
      <c r="CI10" s="1196"/>
      <c r="CJ10" s="1196"/>
      <c r="CK10" s="1196"/>
      <c r="CL10" s="1196"/>
      <c r="CM10" s="1196"/>
      <c r="CN10" s="1196"/>
      <c r="CO10" s="532"/>
      <c r="CP10" s="529"/>
      <c r="CQ10" s="529"/>
      <c r="CR10" s="529"/>
      <c r="CS10" s="529"/>
      <c r="CT10" s="529"/>
      <c r="CU10" s="529"/>
      <c r="CV10" s="529"/>
      <c r="CW10" s="529"/>
      <c r="CX10" s="529"/>
      <c r="CY10" s="529"/>
      <c r="CZ10" s="529"/>
      <c r="DA10" s="529"/>
      <c r="DB10" s="529"/>
      <c r="DC10" s="529"/>
      <c r="DD10" s="529"/>
      <c r="DE10" s="531">
        <v>5762953.7699999996</v>
      </c>
      <c r="DF10" s="529"/>
      <c r="DG10" s="529"/>
      <c r="DH10" s="529"/>
      <c r="DI10" s="529"/>
      <c r="DJ10" s="529"/>
      <c r="DK10" s="529">
        <v>5993471.9199999999</v>
      </c>
      <c r="DL10" s="529"/>
      <c r="DM10" s="529"/>
      <c r="DN10" s="529"/>
      <c r="DO10" s="531"/>
      <c r="DP10" s="593"/>
      <c r="DQ10" s="529"/>
      <c r="DR10" s="529">
        <v>6059334.25</v>
      </c>
      <c r="DS10" s="529"/>
      <c r="DT10" s="529"/>
      <c r="DU10" s="529"/>
      <c r="DV10" s="529"/>
      <c r="DW10" s="529">
        <v>5960540.75</v>
      </c>
      <c r="DX10" s="529"/>
      <c r="DY10" s="514"/>
      <c r="DZ10" s="514"/>
      <c r="EA10" s="514"/>
      <c r="EB10" s="514"/>
      <c r="EC10" s="514"/>
      <c r="ED10" s="514"/>
      <c r="EE10" s="514"/>
      <c r="EF10" s="514"/>
      <c r="EG10" s="514"/>
      <c r="EH10" s="514"/>
      <c r="EI10" s="514">
        <f>52822339.21-BJ10</f>
        <v>2947339.2100000009</v>
      </c>
      <c r="EJ10" s="514"/>
      <c r="EK10" s="514"/>
      <c r="EL10" s="514"/>
      <c r="EM10" s="514">
        <v>2947339</v>
      </c>
      <c r="EN10" s="514"/>
      <c r="EO10" s="514"/>
      <c r="EP10" s="514"/>
      <c r="EQ10" s="514"/>
      <c r="ER10" s="514"/>
      <c r="ES10" s="514"/>
      <c r="ET10" s="514"/>
      <c r="EU10" s="514"/>
      <c r="EV10" s="514"/>
      <c r="EW10" s="514"/>
      <c r="EX10" s="514"/>
      <c r="EY10" s="514"/>
      <c r="EZ10" s="514"/>
      <c r="FA10" s="514"/>
      <c r="FB10" s="514"/>
      <c r="FC10" s="514"/>
      <c r="FD10" s="514"/>
      <c r="FE10" s="514"/>
      <c r="FF10" s="514"/>
      <c r="FG10" s="514"/>
      <c r="FH10" s="514"/>
      <c r="FI10" s="514"/>
      <c r="FJ10" s="514"/>
      <c r="FK10" s="514"/>
      <c r="FL10" s="514"/>
      <c r="FM10" s="514"/>
      <c r="FN10" s="514"/>
      <c r="FO10" s="514"/>
      <c r="FP10" s="167">
        <f>SUM(AS10:FE10)</f>
        <v>129420978.90000001</v>
      </c>
      <c r="FQ10" s="167">
        <f t="shared" ref="FQ10:FQ18" si="4">FP10-K10</f>
        <v>77892705.120000005</v>
      </c>
    </row>
    <row r="11" spans="2:173" s="524" customFormat="1" ht="14.25" customHeight="1">
      <c r="B11" s="513">
        <v>2</v>
      </c>
      <c r="C11" s="521" t="s">
        <v>674</v>
      </c>
      <c r="D11" s="518" t="s">
        <v>369</v>
      </c>
      <c r="E11" s="525">
        <f t="shared" si="0"/>
        <v>111981203.75</v>
      </c>
      <c r="F11" s="525">
        <v>0</v>
      </c>
      <c r="G11" s="736">
        <f>'Notes - Dec25'!C119</f>
        <v>111981203.75</v>
      </c>
      <c r="H11" s="737" t="s">
        <v>398</v>
      </c>
      <c r="I11" s="738">
        <f t="shared" si="1"/>
        <v>111981203.75</v>
      </c>
      <c r="J11" s="944">
        <f t="shared" si="2"/>
        <v>0</v>
      </c>
      <c r="K11" s="756">
        <f t="shared" si="3"/>
        <v>111981203.75</v>
      </c>
      <c r="L11" s="726">
        <v>45114</v>
      </c>
      <c r="M11" s="526">
        <v>46210</v>
      </c>
      <c r="N11" s="527">
        <v>0.1235</v>
      </c>
      <c r="O11" s="226" t="s">
        <v>397</v>
      </c>
      <c r="P11" s="528" t="s">
        <v>675</v>
      </c>
      <c r="Q11" s="532"/>
      <c r="R11" s="532"/>
      <c r="S11" s="532"/>
      <c r="T11" s="529"/>
      <c r="U11" s="529"/>
      <c r="V11" s="529"/>
      <c r="W11" s="529"/>
      <c r="X11" s="529"/>
      <c r="Y11" s="529"/>
      <c r="Z11" s="530"/>
      <c r="AA11" s="529"/>
      <c r="AB11" s="529"/>
      <c r="AC11" s="529"/>
      <c r="AD11" s="529"/>
      <c r="AE11" s="529"/>
      <c r="AF11" s="529"/>
      <c r="AG11" s="529"/>
      <c r="AH11" s="529"/>
      <c r="AI11" s="529"/>
      <c r="AJ11" s="529"/>
      <c r="AK11" s="529"/>
      <c r="AL11" s="529"/>
      <c r="AM11" s="529"/>
      <c r="AN11" s="529"/>
      <c r="AO11" s="529"/>
      <c r="AP11" s="529"/>
      <c r="AQ11" s="529"/>
      <c r="AR11" s="529"/>
      <c r="AS11" s="529"/>
      <c r="AT11" s="529"/>
      <c r="AU11" s="529"/>
      <c r="AV11" s="529"/>
      <c r="AW11" s="529"/>
      <c r="AX11" s="529"/>
      <c r="AY11" s="529"/>
      <c r="AZ11" s="529"/>
      <c r="BA11" s="529"/>
      <c r="BB11" s="529"/>
      <c r="BC11" s="529"/>
      <c r="BD11" s="529"/>
      <c r="BE11" s="529"/>
      <c r="BF11" s="529"/>
      <c r="BG11" s="529"/>
      <c r="BH11" s="529"/>
      <c r="BI11" s="529"/>
      <c r="BJ11" s="529"/>
      <c r="BK11" s="529"/>
      <c r="BL11" s="529"/>
      <c r="BM11" s="529"/>
      <c r="BN11" s="529">
        <v>112410240</v>
      </c>
      <c r="BO11" s="529"/>
      <c r="BP11" s="529"/>
      <c r="BQ11" s="529"/>
      <c r="BR11" s="529"/>
      <c r="BS11" s="855"/>
      <c r="BT11" s="855"/>
      <c r="BU11" s="855"/>
      <c r="BV11" s="855"/>
      <c r="BW11" s="855"/>
      <c r="BX11" s="855"/>
      <c r="BY11" s="855"/>
      <c r="BZ11" s="855"/>
      <c r="CA11" s="855"/>
      <c r="CB11" s="855"/>
      <c r="CC11" s="855"/>
      <c r="CD11" s="855"/>
      <c r="CE11" s="855"/>
      <c r="CF11" s="1196"/>
      <c r="CG11" s="1196"/>
      <c r="CH11" s="1196"/>
      <c r="CI11" s="1196"/>
      <c r="CJ11" s="1196"/>
      <c r="CK11" s="1196"/>
      <c r="CL11" s="1196"/>
      <c r="CM11" s="1196"/>
      <c r="CN11" s="1196"/>
      <c r="CO11" s="532"/>
      <c r="CP11" s="529"/>
      <c r="CQ11" s="529"/>
      <c r="CR11" s="529"/>
      <c r="CS11" s="529"/>
      <c r="CT11" s="529"/>
      <c r="CU11" s="529"/>
      <c r="CV11" s="529"/>
      <c r="CW11" s="529"/>
      <c r="CX11" s="529"/>
      <c r="CY11" s="529"/>
      <c r="CZ11" s="529"/>
      <c r="DA11" s="529"/>
      <c r="DB11" s="529"/>
      <c r="DC11" s="529"/>
      <c r="DD11" s="529"/>
      <c r="DE11" s="531">
        <v>2180655.9982465799</v>
      </c>
      <c r="DF11" s="529"/>
      <c r="DG11" s="529"/>
      <c r="DH11" s="529">
        <v>2332794.7888219198</v>
      </c>
      <c r="DI11" s="529"/>
      <c r="DJ11" s="529"/>
      <c r="DK11" s="529">
        <v>2307438.3237260301</v>
      </c>
      <c r="DL11" s="529"/>
      <c r="DM11" s="529"/>
      <c r="DN11" s="529">
        <v>2307438.3237260301</v>
      </c>
      <c r="DO11" s="531"/>
      <c r="DP11" s="593"/>
      <c r="DQ11" s="529">
        <v>2332794.7888219198</v>
      </c>
      <c r="DR11" s="529"/>
      <c r="DS11" s="529"/>
      <c r="DT11" s="529">
        <v>2332794.7888219198</v>
      </c>
      <c r="DU11" s="529"/>
      <c r="DV11" s="529"/>
      <c r="DW11" s="529">
        <v>2282081.8586301398</v>
      </c>
      <c r="DX11" s="529"/>
      <c r="DY11" s="514"/>
      <c r="DZ11" s="514">
        <v>2307438.3237260301</v>
      </c>
      <c r="EA11" s="514"/>
      <c r="EB11" s="804"/>
      <c r="EC11" s="804">
        <v>2332794.7888219198</v>
      </c>
      <c r="ED11" s="804"/>
      <c r="EE11" s="804"/>
      <c r="EF11" s="804">
        <v>2332794.7888219198</v>
      </c>
      <c r="EG11" s="804"/>
      <c r="EH11" s="804"/>
      <c r="EI11" s="804">
        <v>3423122.78794521</v>
      </c>
      <c r="EJ11" s="804"/>
      <c r="EK11" s="804"/>
      <c r="EL11" s="804"/>
      <c r="EM11" s="804">
        <v>3727400.3690958912</v>
      </c>
      <c r="EN11" s="514"/>
      <c r="EO11" s="514"/>
      <c r="EP11" s="514"/>
      <c r="EQ11" s="514"/>
      <c r="ER11" s="514"/>
      <c r="ES11" s="514"/>
      <c r="ET11" s="514"/>
      <c r="EU11" s="514"/>
      <c r="EV11" s="514"/>
      <c r="EW11" s="514"/>
      <c r="EX11" s="514"/>
      <c r="EY11" s="514"/>
      <c r="EZ11" s="514"/>
      <c r="FA11" s="514"/>
      <c r="FB11" s="514"/>
      <c r="FC11" s="514"/>
      <c r="FD11" s="514"/>
      <c r="FE11" s="514"/>
      <c r="FF11" s="514"/>
      <c r="FG11" s="514"/>
      <c r="FH11" s="514"/>
      <c r="FI11" s="514"/>
      <c r="FJ11" s="514"/>
      <c r="FK11" s="514"/>
      <c r="FL11" s="514"/>
      <c r="FM11" s="514"/>
      <c r="FN11" s="514"/>
      <c r="FO11" s="514"/>
      <c r="FP11" s="167">
        <f>SUM(AS11:FE11)</f>
        <v>142609789.92920551</v>
      </c>
      <c r="FQ11" s="167">
        <f t="shared" si="4"/>
        <v>30628586.179205507</v>
      </c>
    </row>
    <row r="12" spans="2:173" s="524" customFormat="1" ht="14.25" customHeight="1">
      <c r="B12" s="225">
        <v>3</v>
      </c>
      <c r="C12" s="521" t="s">
        <v>680</v>
      </c>
      <c r="D12" s="841" t="s">
        <v>369</v>
      </c>
      <c r="E12" s="525">
        <f t="shared" si="0"/>
        <v>119816433.93000001</v>
      </c>
      <c r="F12" s="525">
        <v>46954.41</v>
      </c>
      <c r="G12" s="736">
        <f>'Notes - Dec25'!C117</f>
        <v>119863388.34</v>
      </c>
      <c r="H12" s="799" t="s">
        <v>398</v>
      </c>
      <c r="I12" s="738">
        <f t="shared" si="1"/>
        <v>119816433.93000001</v>
      </c>
      <c r="J12" s="944">
        <f t="shared" si="2"/>
        <v>46954.41</v>
      </c>
      <c r="K12" s="756">
        <f t="shared" si="3"/>
        <v>119863388.34</v>
      </c>
      <c r="L12" s="726">
        <v>45180</v>
      </c>
      <c r="M12" s="726">
        <v>46276</v>
      </c>
      <c r="N12" s="726" t="s">
        <v>690</v>
      </c>
      <c r="O12" s="226" t="s">
        <v>397</v>
      </c>
      <c r="P12" s="528" t="s">
        <v>691</v>
      </c>
      <c r="Q12" s="523"/>
      <c r="R12" s="533"/>
      <c r="S12" s="800"/>
      <c r="T12" s="801"/>
      <c r="U12" s="801"/>
      <c r="V12" s="801"/>
      <c r="W12" s="801"/>
      <c r="X12" s="801"/>
      <c r="Y12" s="801"/>
      <c r="Z12" s="802"/>
      <c r="AA12" s="801"/>
      <c r="AB12" s="801"/>
      <c r="AC12" s="801"/>
      <c r="AD12" s="801"/>
      <c r="AE12" s="801"/>
      <c r="AF12" s="801"/>
      <c r="AG12" s="801"/>
      <c r="AH12" s="801"/>
      <c r="AI12" s="801"/>
      <c r="AJ12" s="801"/>
      <c r="AK12" s="801"/>
      <c r="AL12" s="801"/>
      <c r="AM12" s="801"/>
      <c r="AN12" s="801"/>
      <c r="AO12" s="801"/>
      <c r="AP12" s="801"/>
      <c r="AQ12" s="801"/>
      <c r="AR12" s="801"/>
      <c r="AS12" s="801"/>
      <c r="AT12" s="801"/>
      <c r="AU12" s="801"/>
      <c r="AV12" s="801"/>
      <c r="AW12" s="801"/>
      <c r="AX12" s="801">
        <v>38347201</v>
      </c>
      <c r="AY12" s="801"/>
      <c r="AZ12" s="801"/>
      <c r="BA12" s="801"/>
      <c r="BB12" s="801"/>
      <c r="BC12" s="801"/>
      <c r="BD12" s="801">
        <f>22500000+37500000</f>
        <v>60000000</v>
      </c>
      <c r="BE12" s="801"/>
      <c r="BF12" s="801"/>
      <c r="BG12" s="801"/>
      <c r="BH12" s="801"/>
      <c r="BI12" s="801"/>
      <c r="BJ12" s="801">
        <v>60000000</v>
      </c>
      <c r="BK12" s="801"/>
      <c r="BL12" s="801"/>
      <c r="BM12" s="801"/>
      <c r="BN12" s="801"/>
      <c r="BO12" s="801"/>
      <c r="BP12" s="801">
        <v>60000000</v>
      </c>
      <c r="BQ12" s="801"/>
      <c r="BR12" s="801"/>
      <c r="BS12" s="857"/>
      <c r="BT12" s="857"/>
      <c r="BU12" s="857"/>
      <c r="BV12" s="857"/>
      <c r="BW12" s="857"/>
      <c r="BX12" s="857"/>
      <c r="BY12" s="857"/>
      <c r="BZ12" s="857"/>
      <c r="CA12" s="857"/>
      <c r="CB12" s="857"/>
      <c r="CC12" s="857"/>
      <c r="CD12" s="857"/>
      <c r="CE12" s="857"/>
      <c r="CF12" s="1196"/>
      <c r="CG12" s="1196"/>
      <c r="CH12" s="1196"/>
      <c r="CI12" s="1196"/>
      <c r="CJ12" s="1196"/>
      <c r="CK12" s="1196"/>
      <c r="CL12" s="1196"/>
      <c r="CM12" s="1196"/>
      <c r="CN12" s="1196"/>
      <c r="CO12" s="800"/>
      <c r="CP12" s="801"/>
      <c r="CQ12" s="801"/>
      <c r="CR12" s="801"/>
      <c r="CS12" s="801"/>
      <c r="CT12" s="801"/>
      <c r="CU12" s="801"/>
      <c r="CV12" s="801"/>
      <c r="CW12" s="801"/>
      <c r="CX12" s="801"/>
      <c r="CY12" s="801"/>
      <c r="CZ12" s="801"/>
      <c r="DA12" s="801"/>
      <c r="DB12" s="801"/>
      <c r="DC12" s="801"/>
      <c r="DD12" s="801"/>
      <c r="DE12" s="803"/>
      <c r="DF12" s="801"/>
      <c r="DG12" s="801"/>
      <c r="DH12" s="801">
        <v>5055429</v>
      </c>
      <c r="DI12" s="801"/>
      <c r="DJ12" s="801"/>
      <c r="DK12" s="801">
        <v>5055429</v>
      </c>
      <c r="DL12" s="801"/>
      <c r="DM12" s="801"/>
      <c r="DN12" s="801">
        <v>5110983</v>
      </c>
      <c r="DO12" s="803"/>
      <c r="DP12" s="801"/>
      <c r="DQ12" s="801">
        <v>5110983</v>
      </c>
      <c r="DR12" s="801"/>
      <c r="DS12" s="801"/>
      <c r="DT12" s="801">
        <v>5055429</v>
      </c>
      <c r="DU12" s="801"/>
      <c r="DV12" s="801"/>
      <c r="DW12" s="801">
        <v>4152673.96</v>
      </c>
      <c r="DX12" s="801"/>
      <c r="DY12" s="801"/>
      <c r="DZ12" s="801">
        <v>3833237.5</v>
      </c>
      <c r="EA12" s="803"/>
      <c r="EB12" s="878"/>
      <c r="EC12" s="878">
        <v>3416581.25</v>
      </c>
      <c r="ED12" s="878"/>
      <c r="EE12" s="878"/>
      <c r="EF12" s="878">
        <v>3611241.51</v>
      </c>
      <c r="EG12" s="878"/>
      <c r="EH12" s="878"/>
      <c r="EI12" s="878">
        <v>3780066.75</v>
      </c>
      <c r="EJ12" s="878"/>
      <c r="EK12" s="878"/>
      <c r="EL12" s="878">
        <v>1820000</v>
      </c>
      <c r="EM12" s="878"/>
      <c r="EN12" s="876"/>
      <c r="EO12" s="514">
        <v>1860000</v>
      </c>
      <c r="EP12" s="514"/>
      <c r="EQ12" s="514"/>
      <c r="ER12" s="514"/>
      <c r="ES12" s="514"/>
      <c r="ET12" s="514"/>
      <c r="EU12" s="514"/>
      <c r="EV12" s="514"/>
      <c r="EW12" s="514"/>
      <c r="EX12" s="514"/>
      <c r="EY12" s="514"/>
      <c r="EZ12" s="514"/>
      <c r="FA12" s="514"/>
      <c r="FB12" s="514"/>
      <c r="FC12" s="514"/>
      <c r="FD12" s="514"/>
      <c r="FE12" s="514"/>
      <c r="FF12" s="514"/>
      <c r="FG12" s="514"/>
      <c r="FH12" s="514"/>
      <c r="FI12" s="514"/>
      <c r="FJ12" s="514"/>
      <c r="FK12" s="514"/>
      <c r="FL12" s="514"/>
      <c r="FM12" s="514"/>
      <c r="FN12" s="514"/>
      <c r="FO12" s="514"/>
      <c r="FP12" s="167">
        <f>SUM(AS12:FE12)</f>
        <v>266209254.97</v>
      </c>
      <c r="FQ12" s="167">
        <f t="shared" si="4"/>
        <v>146345866.63</v>
      </c>
    </row>
    <row r="13" spans="2:173" s="524" customFormat="1" ht="14.25" customHeight="1">
      <c r="B13" s="225">
        <v>4</v>
      </c>
      <c r="C13" s="521" t="s">
        <v>705</v>
      </c>
      <c r="D13" s="841" t="s">
        <v>369</v>
      </c>
      <c r="E13" s="525">
        <f t="shared" si="0"/>
        <v>35709277.413333334</v>
      </c>
      <c r="F13" s="525">
        <v>208216.66666666666</v>
      </c>
      <c r="G13" s="736">
        <f>'Notes - Dec25'!C96</f>
        <v>35917494.079999998</v>
      </c>
      <c r="H13" s="799" t="s">
        <v>398</v>
      </c>
      <c r="I13" s="738">
        <f t="shared" ref="I13:I23" si="5">E13</f>
        <v>35709277.413333334</v>
      </c>
      <c r="J13" s="944">
        <f t="shared" si="2"/>
        <v>208216.66666666666</v>
      </c>
      <c r="K13" s="756">
        <f t="shared" si="3"/>
        <v>35917494.079999998</v>
      </c>
      <c r="L13" s="726">
        <v>45355</v>
      </c>
      <c r="M13" s="726">
        <v>46096</v>
      </c>
      <c r="N13" s="527">
        <v>0.13</v>
      </c>
      <c r="O13" s="903" t="s">
        <v>397</v>
      </c>
      <c r="P13" s="528" t="s">
        <v>711</v>
      </c>
      <c r="Q13" s="523"/>
      <c r="R13" s="533"/>
      <c r="S13" s="800"/>
      <c r="T13" s="801"/>
      <c r="U13" s="801"/>
      <c r="V13" s="801"/>
      <c r="W13" s="801"/>
      <c r="X13" s="801"/>
      <c r="Y13" s="801"/>
      <c r="Z13" s="802"/>
      <c r="AA13" s="801"/>
      <c r="AB13" s="801"/>
      <c r="AC13" s="801"/>
      <c r="AD13" s="801"/>
      <c r="AE13" s="801"/>
      <c r="AF13" s="801"/>
      <c r="AG13" s="801"/>
      <c r="AH13" s="801"/>
      <c r="AI13" s="801"/>
      <c r="AJ13" s="801"/>
      <c r="AK13" s="801"/>
      <c r="AL13" s="801"/>
      <c r="AM13" s="801"/>
      <c r="AN13" s="801"/>
      <c r="AO13" s="801"/>
      <c r="AP13" s="801"/>
      <c r="AQ13" s="801"/>
      <c r="AR13" s="801">
        <v>36037500</v>
      </c>
      <c r="AS13" s="801"/>
      <c r="AT13" s="801"/>
      <c r="AU13" s="801"/>
      <c r="AV13" s="801"/>
      <c r="AW13" s="801"/>
      <c r="AX13" s="801">
        <v>36037500</v>
      </c>
      <c r="AY13" s="801"/>
      <c r="AZ13" s="801"/>
      <c r="BA13" s="801"/>
      <c r="BB13" s="801"/>
      <c r="BC13" s="801"/>
      <c r="BD13" s="801">
        <f>23544500+12493000</f>
        <v>36037500</v>
      </c>
      <c r="BE13" s="801"/>
      <c r="BF13" s="801"/>
      <c r="BG13" s="801"/>
      <c r="BH13" s="801"/>
      <c r="BI13" s="801"/>
      <c r="BJ13" s="801">
        <v>36037500</v>
      </c>
      <c r="BK13" s="801"/>
      <c r="BL13" s="801"/>
      <c r="BM13" s="801"/>
      <c r="BN13" s="801"/>
      <c r="BO13" s="801"/>
      <c r="BP13" s="801"/>
      <c r="BQ13" s="801"/>
      <c r="BR13" s="801"/>
      <c r="BS13" s="857"/>
      <c r="BT13" s="857"/>
      <c r="BU13" s="857"/>
      <c r="BV13" s="857"/>
      <c r="BW13" s="857"/>
      <c r="BX13" s="857"/>
      <c r="BY13" s="857"/>
      <c r="BZ13" s="857"/>
      <c r="CA13" s="857"/>
      <c r="CB13" s="857"/>
      <c r="CC13" s="857"/>
      <c r="CD13" s="857"/>
      <c r="CE13" s="857"/>
      <c r="CF13" s="1196"/>
      <c r="CG13" s="1196"/>
      <c r="CH13" s="1196"/>
      <c r="CI13" s="1196"/>
      <c r="CJ13" s="1196"/>
      <c r="CK13" s="1196"/>
      <c r="CL13" s="1196"/>
      <c r="CM13" s="1196"/>
      <c r="CN13" s="1196"/>
      <c r="CO13" s="800"/>
      <c r="CP13" s="801"/>
      <c r="CQ13" s="801"/>
      <c r="CR13" s="801"/>
      <c r="CS13" s="801"/>
      <c r="CT13" s="801"/>
      <c r="CU13" s="801"/>
      <c r="CV13" s="801"/>
      <c r="CW13" s="801"/>
      <c r="CX13" s="801"/>
      <c r="CY13" s="801"/>
      <c r="CZ13" s="801"/>
      <c r="DA13" s="801"/>
      <c r="DB13" s="801"/>
      <c r="DC13" s="801"/>
      <c r="DD13" s="801"/>
      <c r="DE13" s="803"/>
      <c r="DF13" s="801"/>
      <c r="DG13" s="801"/>
      <c r="DH13" s="801"/>
      <c r="DI13" s="801"/>
      <c r="DJ13" s="801"/>
      <c r="DK13" s="801"/>
      <c r="DL13" s="801"/>
      <c r="DM13" s="801"/>
      <c r="DN13" s="801">
        <v>4164333.3333333302</v>
      </c>
      <c r="DO13" s="803"/>
      <c r="DP13" s="801"/>
      <c r="DQ13" s="801">
        <v>4788983</v>
      </c>
      <c r="DR13" s="801"/>
      <c r="DS13" s="801"/>
      <c r="DT13" s="801">
        <v>3552696.875</v>
      </c>
      <c r="DU13" s="801"/>
      <c r="DV13" s="801"/>
      <c r="DW13" s="801">
        <v>3513656</v>
      </c>
      <c r="DX13" s="801"/>
      <c r="DY13" s="801"/>
      <c r="DZ13" s="801">
        <v>2368464.5833333302</v>
      </c>
      <c r="EA13" s="803"/>
      <c r="EB13" s="879"/>
      <c r="EC13" s="879">
        <v>2589695</v>
      </c>
      <c r="ED13" s="879"/>
      <c r="EE13" s="879"/>
      <c r="EF13" s="879">
        <v>1184232.29166667</v>
      </c>
      <c r="EG13" s="879"/>
      <c r="EH13" s="879"/>
      <c r="EI13" s="879">
        <v>1171219</v>
      </c>
      <c r="EJ13" s="879"/>
      <c r="EK13" s="879"/>
      <c r="EL13" s="879"/>
      <c r="EM13" s="879"/>
      <c r="EN13" s="877"/>
      <c r="EO13" s="858"/>
      <c r="EP13" s="858"/>
      <c r="EQ13" s="858"/>
      <c r="ER13" s="858"/>
      <c r="ES13" s="858"/>
      <c r="ET13" s="858"/>
      <c r="EU13" s="858"/>
      <c r="EV13" s="858"/>
      <c r="EW13" s="858"/>
      <c r="EX13" s="858"/>
      <c r="EY13" s="858"/>
      <c r="EZ13" s="858"/>
      <c r="FA13" s="858"/>
      <c r="FB13" s="858"/>
      <c r="FC13" s="858"/>
      <c r="FD13" s="858"/>
      <c r="FE13" s="858"/>
      <c r="FF13" s="858"/>
      <c r="FG13" s="858"/>
      <c r="FH13" s="858"/>
      <c r="FI13" s="858"/>
      <c r="FJ13" s="858"/>
      <c r="FK13" s="858"/>
      <c r="FL13" s="858"/>
      <c r="FM13" s="858"/>
      <c r="FN13" s="858"/>
      <c r="FO13" s="858"/>
      <c r="FP13" s="167">
        <f>SUM(AS13:FE13)</f>
        <v>131445780.08333333</v>
      </c>
      <c r="FQ13" s="167">
        <f t="shared" si="4"/>
        <v>95528286.00333333</v>
      </c>
    </row>
    <row r="14" spans="2:173" s="524" customFormat="1" ht="14.25" customHeight="1">
      <c r="B14" s="513">
        <v>5</v>
      </c>
      <c r="C14" s="521" t="s">
        <v>319</v>
      </c>
      <c r="D14" s="841" t="s">
        <v>369</v>
      </c>
      <c r="E14" s="525">
        <f t="shared" si="0"/>
        <v>167967790.78904107</v>
      </c>
      <c r="F14" s="525">
        <v>817490.41095890407</v>
      </c>
      <c r="G14" s="736">
        <f>'Notes - Dec25'!C113</f>
        <v>168785281.19999999</v>
      </c>
      <c r="H14" s="799" t="s">
        <v>398</v>
      </c>
      <c r="I14" s="738">
        <f>E14</f>
        <v>167967790.78904107</v>
      </c>
      <c r="J14" s="944">
        <f t="shared" si="2"/>
        <v>817490.41095890407</v>
      </c>
      <c r="K14" s="756">
        <f t="shared" si="3"/>
        <v>168785281.19999999</v>
      </c>
      <c r="L14" s="726" t="s">
        <v>764</v>
      </c>
      <c r="M14" s="726" t="s">
        <v>765</v>
      </c>
      <c r="N14" s="726" t="s">
        <v>763</v>
      </c>
      <c r="O14" s="903" t="s">
        <v>397</v>
      </c>
      <c r="P14" s="528" t="s">
        <v>767</v>
      </c>
      <c r="Q14" s="523"/>
      <c r="R14" s="533"/>
      <c r="S14" s="800"/>
      <c r="T14" s="801"/>
      <c r="U14" s="801"/>
      <c r="V14" s="801"/>
      <c r="W14" s="801"/>
      <c r="X14" s="801"/>
      <c r="Y14" s="801"/>
      <c r="Z14" s="802"/>
      <c r="AA14" s="801"/>
      <c r="AB14" s="801"/>
      <c r="AC14" s="801"/>
      <c r="AD14" s="801"/>
      <c r="AE14" s="801"/>
      <c r="AF14" s="801"/>
      <c r="AG14" s="801"/>
      <c r="AH14" s="801"/>
      <c r="AI14" s="801"/>
      <c r="AJ14" s="801"/>
      <c r="AK14" s="801"/>
      <c r="AL14" s="801"/>
      <c r="AM14" s="801"/>
      <c r="AN14" s="801"/>
      <c r="AO14" s="801"/>
      <c r="AP14" s="801"/>
      <c r="AQ14" s="801"/>
      <c r="AR14" s="801"/>
      <c r="AS14" s="801"/>
      <c r="AT14" s="801"/>
      <c r="AU14" s="801"/>
      <c r="AV14" s="801"/>
      <c r="AW14" s="801"/>
      <c r="AX14" s="801"/>
      <c r="AY14" s="801"/>
      <c r="AZ14" s="801"/>
      <c r="BA14" s="801"/>
      <c r="BB14" s="801"/>
      <c r="BC14" s="801"/>
      <c r="BD14" s="801"/>
      <c r="BE14" s="801"/>
      <c r="BF14" s="801"/>
      <c r="BG14" s="801"/>
      <c r="BH14" s="801"/>
      <c r="BI14" s="801"/>
      <c r="BJ14" s="801"/>
      <c r="BK14" s="801"/>
      <c r="BL14" s="801"/>
      <c r="BM14" s="801"/>
      <c r="BN14" s="801"/>
      <c r="BO14" s="801"/>
      <c r="BP14" s="801">
        <v>34000000</v>
      </c>
      <c r="BQ14" s="801"/>
      <c r="BR14" s="801"/>
      <c r="BS14" s="857"/>
      <c r="BT14" s="857"/>
      <c r="BU14" s="801">
        <v>34000000</v>
      </c>
      <c r="BV14" s="857"/>
      <c r="BW14" s="857"/>
      <c r="BX14" s="857"/>
      <c r="BY14" s="857"/>
      <c r="BZ14" s="857"/>
      <c r="CA14" s="857"/>
      <c r="CB14" s="801">
        <v>34000000</v>
      </c>
      <c r="CC14" s="857"/>
      <c r="CD14" s="857"/>
      <c r="CE14" s="857"/>
      <c r="CF14" s="1196"/>
      <c r="CG14" s="1196">
        <v>34000000</v>
      </c>
      <c r="CH14" s="1196"/>
      <c r="CI14" s="1196"/>
      <c r="CJ14" s="1196"/>
      <c r="CK14" s="1196"/>
      <c r="CL14" s="1196"/>
      <c r="CM14" s="1196"/>
      <c r="CN14" s="1196">
        <v>34000000</v>
      </c>
      <c r="CO14" s="800"/>
      <c r="CP14" s="801"/>
      <c r="CQ14" s="801"/>
      <c r="CR14" s="801"/>
      <c r="CS14" s="801"/>
      <c r="CT14" s="801"/>
      <c r="CU14" s="801"/>
      <c r="CV14" s="801"/>
      <c r="CW14" s="801"/>
      <c r="CX14" s="801"/>
      <c r="CY14" s="801"/>
      <c r="CZ14" s="801"/>
      <c r="DA14" s="801"/>
      <c r="DB14" s="801"/>
      <c r="DC14" s="801"/>
      <c r="DD14" s="801"/>
      <c r="DE14" s="803"/>
      <c r="DF14" s="801"/>
      <c r="DG14" s="801"/>
      <c r="DH14" s="801"/>
      <c r="DI14" s="801"/>
      <c r="DJ14" s="801"/>
      <c r="DK14" s="801"/>
      <c r="DL14" s="801"/>
      <c r="DM14" s="801"/>
      <c r="DN14" s="801"/>
      <c r="DO14" s="803"/>
      <c r="DP14" s="801"/>
      <c r="DQ14" s="801"/>
      <c r="DR14" s="801"/>
      <c r="DS14" s="801"/>
      <c r="DT14" s="801"/>
      <c r="DU14" s="801"/>
      <c r="DV14" s="801"/>
      <c r="DW14" s="801"/>
      <c r="DX14" s="801"/>
      <c r="DY14" s="801"/>
      <c r="DZ14" s="801"/>
      <c r="EA14" s="803"/>
      <c r="EB14" s="879"/>
      <c r="EC14" s="879"/>
      <c r="ED14" s="879"/>
      <c r="EE14" s="879"/>
      <c r="EF14" s="879"/>
      <c r="EG14" s="879"/>
      <c r="EH14" s="879"/>
      <c r="EI14" s="879">
        <v>4598383.5616438398</v>
      </c>
      <c r="EJ14" s="879"/>
      <c r="EK14" s="879"/>
      <c r="EL14" s="879">
        <v>4700569.8630136997</v>
      </c>
      <c r="EM14" s="879"/>
      <c r="EN14" s="877"/>
      <c r="EO14" s="858">
        <f>38700569.8630137-34000000</f>
        <v>4700569.8630136997</v>
      </c>
      <c r="EP14" s="858"/>
      <c r="EQ14" s="858"/>
      <c r="ER14" s="858">
        <v>3719581.36986301</v>
      </c>
      <c r="ES14" s="858"/>
      <c r="ET14" s="858"/>
      <c r="EU14" s="858">
        <v>3678706.8493150701</v>
      </c>
      <c r="EV14" s="858"/>
      <c r="EW14" s="858"/>
      <c r="EX14" s="858">
        <v>2820341.9178082198</v>
      </c>
      <c r="EY14" s="858"/>
      <c r="EZ14" s="858"/>
      <c r="FA14" s="858">
        <v>2820341.9178082198</v>
      </c>
      <c r="FB14" s="858"/>
      <c r="FC14" s="858"/>
      <c r="FD14" s="858">
        <v>1859790.6849315099</v>
      </c>
      <c r="FE14" s="858"/>
      <c r="FF14" s="858"/>
      <c r="FG14" s="858">
        <v>1859790.6849315099</v>
      </c>
      <c r="FH14" s="858"/>
      <c r="FI14" s="858"/>
      <c r="FJ14" s="858">
        <v>940113.97260274005</v>
      </c>
      <c r="FK14" s="858"/>
      <c r="FL14" s="858"/>
      <c r="FM14" s="858">
        <f>35093393.4246575-34000000</f>
        <v>1093393.4246575013</v>
      </c>
      <c r="FN14" s="858"/>
      <c r="FO14" s="858"/>
      <c r="FP14" s="167">
        <f>SUM(AS14:FC14)</f>
        <v>197038495.34246576</v>
      </c>
      <c r="FQ14" s="167">
        <f t="shared" si="4"/>
        <v>28253214.14246577</v>
      </c>
    </row>
    <row r="15" spans="2:173" s="524" customFormat="1" ht="14.25" customHeight="1">
      <c r="B15" s="225">
        <v>6</v>
      </c>
      <c r="C15" s="521" t="s">
        <v>808</v>
      </c>
      <c r="D15" s="841" t="s">
        <v>369</v>
      </c>
      <c r="E15" s="525">
        <f t="shared" si="0"/>
        <v>175786675.91452056</v>
      </c>
      <c r="F15" s="525">
        <f>SUM([1]Interest!$DK$189,[1]Interest!$DL$188:$DM$188)</f>
        <v>4853865.2054794515</v>
      </c>
      <c r="G15" s="736">
        <f>'Notes - Dec25'!C114</f>
        <v>180640541.12</v>
      </c>
      <c r="H15" s="799" t="s">
        <v>398</v>
      </c>
      <c r="I15" s="738">
        <f>E15</f>
        <v>175786675.91452056</v>
      </c>
      <c r="J15" s="944">
        <f t="shared" si="2"/>
        <v>4853865.2054794515</v>
      </c>
      <c r="K15" s="756">
        <f t="shared" si="3"/>
        <v>180640541.12</v>
      </c>
      <c r="L15" s="726">
        <v>45595</v>
      </c>
      <c r="M15" s="726">
        <v>46675</v>
      </c>
      <c r="N15" s="726">
        <v>12.8</v>
      </c>
      <c r="O15" s="903" t="s">
        <v>397</v>
      </c>
      <c r="P15" s="528" t="s">
        <v>807</v>
      </c>
      <c r="Q15" s="523"/>
      <c r="R15" s="533"/>
      <c r="S15" s="800"/>
      <c r="T15" s="801"/>
      <c r="U15" s="801"/>
      <c r="V15" s="801"/>
      <c r="W15" s="801"/>
      <c r="X15" s="801"/>
      <c r="Y15" s="801"/>
      <c r="Z15" s="802"/>
      <c r="AA15" s="801"/>
      <c r="AB15" s="801"/>
      <c r="AC15" s="801"/>
      <c r="AD15" s="801"/>
      <c r="AE15" s="801"/>
      <c r="AF15" s="801"/>
      <c r="AG15" s="801"/>
      <c r="AH15" s="801"/>
      <c r="AI15" s="801"/>
      <c r="AJ15" s="801"/>
      <c r="AK15" s="801"/>
      <c r="AL15" s="801"/>
      <c r="AM15" s="801"/>
      <c r="AN15" s="801"/>
      <c r="AO15" s="801"/>
      <c r="AP15" s="801"/>
      <c r="AQ15" s="801"/>
      <c r="AR15" s="801"/>
      <c r="AS15" s="801"/>
      <c r="AT15" s="801"/>
      <c r="AU15" s="801"/>
      <c r="AV15" s="801"/>
      <c r="AW15" s="801"/>
      <c r="AX15" s="801"/>
      <c r="AY15" s="801"/>
      <c r="AZ15" s="801"/>
      <c r="BA15" s="801"/>
      <c r="BB15" s="801"/>
      <c r="BC15" s="801"/>
      <c r="BD15" s="801"/>
      <c r="BE15" s="801"/>
      <c r="BF15" s="801"/>
      <c r="BG15" s="801"/>
      <c r="BH15" s="801"/>
      <c r="BI15" s="801"/>
      <c r="BJ15" s="801"/>
      <c r="BK15" s="801">
        <v>44362500</v>
      </c>
      <c r="BL15" s="801"/>
      <c r="BM15" s="801"/>
      <c r="BN15" s="801"/>
      <c r="BO15" s="801"/>
      <c r="BP15" s="801"/>
      <c r="BQ15" s="801">
        <v>44362500</v>
      </c>
      <c r="BR15" s="801"/>
      <c r="BS15" s="857"/>
      <c r="BT15" s="857"/>
      <c r="BU15" s="857"/>
      <c r="BV15" s="857"/>
      <c r="BW15" s="857">
        <v>44362500</v>
      </c>
      <c r="BX15" s="857"/>
      <c r="BY15" s="857"/>
      <c r="BZ15" s="803"/>
      <c r="CA15" s="857"/>
      <c r="CB15" s="857"/>
      <c r="CC15" s="857">
        <v>44362500</v>
      </c>
      <c r="CD15" s="857"/>
      <c r="CE15" s="857"/>
      <c r="CF15" s="1196"/>
      <c r="CG15" s="1196"/>
      <c r="CH15" s="1196"/>
      <c r="CI15" s="1196"/>
      <c r="CJ15" s="1196"/>
      <c r="CK15" s="1196"/>
      <c r="CL15" s="1196"/>
      <c r="CM15" s="1196"/>
      <c r="CN15" s="1196"/>
      <c r="CO15" s="800"/>
      <c r="CP15" s="801"/>
      <c r="CQ15" s="801"/>
      <c r="CR15" s="801"/>
      <c r="CS15" s="801"/>
      <c r="CT15" s="801"/>
      <c r="CU15" s="801"/>
      <c r="CV15" s="801"/>
      <c r="CW15" s="801"/>
      <c r="CX15" s="801"/>
      <c r="CY15" s="801"/>
      <c r="CZ15" s="801"/>
      <c r="DA15" s="801"/>
      <c r="DB15" s="801"/>
      <c r="DC15" s="801"/>
      <c r="DD15" s="801"/>
      <c r="DE15" s="803"/>
      <c r="DF15" s="801"/>
      <c r="DG15" s="801"/>
      <c r="DH15" s="801"/>
      <c r="DI15" s="801"/>
      <c r="DJ15" s="801"/>
      <c r="DK15" s="801"/>
      <c r="DL15" s="801"/>
      <c r="DM15" s="801"/>
      <c r="DN15" s="801"/>
      <c r="DO15" s="803"/>
      <c r="DP15" s="801"/>
      <c r="DQ15" s="801"/>
      <c r="DR15" s="801"/>
      <c r="DS15" s="801"/>
      <c r="DT15" s="801"/>
      <c r="DU15" s="801"/>
      <c r="DV15" s="801"/>
      <c r="DW15" s="801"/>
      <c r="DX15" s="801">
        <v>10392249.8630137</v>
      </c>
      <c r="DY15" s="801"/>
      <c r="DZ15" s="801"/>
      <c r="EA15" s="803"/>
      <c r="EB15" s="879"/>
      <c r="EC15" s="879"/>
      <c r="ED15" s="879">
        <v>11387914.5205479</v>
      </c>
      <c r="EE15" s="879"/>
      <c r="EF15" s="879"/>
      <c r="EG15" s="879"/>
      <c r="EH15" s="879"/>
      <c r="EI15" s="879"/>
      <c r="EJ15" s="879">
        <v>11387914.5205479</v>
      </c>
      <c r="EK15" s="879"/>
      <c r="EL15" s="879"/>
      <c r="EM15" s="879"/>
      <c r="EN15" s="877"/>
      <c r="EO15" s="858"/>
      <c r="EP15" s="858">
        <v>8774294.7945205495</v>
      </c>
      <c r="EQ15" s="858"/>
      <c r="ER15" s="858"/>
      <c r="ES15" s="858"/>
      <c r="ET15" s="858"/>
      <c r="EU15" s="858"/>
      <c r="EV15" s="858">
        <v>5631728.2191780796</v>
      </c>
      <c r="EW15" s="858"/>
      <c r="EX15" s="858"/>
      <c r="EY15" s="858"/>
      <c r="EZ15" s="858"/>
      <c r="FA15" s="858"/>
      <c r="FB15" s="858">
        <v>2846978.63013699</v>
      </c>
      <c r="FC15" s="858"/>
      <c r="FD15" s="858"/>
      <c r="FE15" s="858"/>
      <c r="FF15" s="858"/>
      <c r="FG15" s="858"/>
      <c r="FH15" s="858"/>
      <c r="FI15" s="858"/>
      <c r="FJ15" s="858"/>
      <c r="FK15" s="858"/>
      <c r="FL15" s="858"/>
      <c r="FM15" s="858"/>
      <c r="FN15" s="858"/>
      <c r="FO15" s="858"/>
      <c r="FP15" s="167">
        <f>SUM(AS15:FE15)</f>
        <v>227871080.54794511</v>
      </c>
      <c r="FQ15" s="167">
        <f t="shared" si="4"/>
        <v>47230539.427945107</v>
      </c>
    </row>
    <row r="16" spans="2:173" s="524" customFormat="1" ht="14.25" customHeight="1">
      <c r="B16" s="225">
        <v>7</v>
      </c>
      <c r="C16" s="521" t="s">
        <v>758</v>
      </c>
      <c r="D16" s="841" t="s">
        <v>369</v>
      </c>
      <c r="E16" s="525">
        <f t="shared" ref="E16:E24" si="6">G16-F16</f>
        <v>61674156.57</v>
      </c>
      <c r="F16" s="525">
        <v>3746547</v>
      </c>
      <c r="G16" s="736">
        <f>'Notes - Dec25'!C116</f>
        <v>65420703.57</v>
      </c>
      <c r="H16" s="799" t="s">
        <v>398</v>
      </c>
      <c r="I16" s="738">
        <f t="shared" si="5"/>
        <v>61674156.57</v>
      </c>
      <c r="J16" s="944">
        <f t="shared" si="2"/>
        <v>3746547</v>
      </c>
      <c r="K16" s="756">
        <f t="shared" si="3"/>
        <v>65420703.57</v>
      </c>
      <c r="L16" s="726">
        <v>45447</v>
      </c>
      <c r="M16" s="726">
        <v>46584</v>
      </c>
      <c r="N16" s="527">
        <v>0.129</v>
      </c>
      <c r="O16" s="903" t="s">
        <v>397</v>
      </c>
      <c r="P16" s="528" t="s">
        <v>768</v>
      </c>
      <c r="Q16" s="523"/>
      <c r="R16" s="533"/>
      <c r="S16" s="800"/>
      <c r="T16" s="801"/>
      <c r="U16" s="801"/>
      <c r="V16" s="801"/>
      <c r="W16" s="801"/>
      <c r="X16" s="801"/>
      <c r="Y16" s="801"/>
      <c r="Z16" s="802"/>
      <c r="AA16" s="801"/>
      <c r="AB16" s="801"/>
      <c r="AC16" s="801"/>
      <c r="AD16" s="801"/>
      <c r="AE16" s="801"/>
      <c r="AF16" s="801"/>
      <c r="AG16" s="801"/>
      <c r="AH16" s="801"/>
      <c r="AI16" s="801"/>
      <c r="AJ16" s="801"/>
      <c r="AK16" s="801"/>
      <c r="AL16" s="801"/>
      <c r="AM16" s="801"/>
      <c r="AN16" s="801"/>
      <c r="AO16" s="801"/>
      <c r="AP16" s="801"/>
      <c r="AQ16" s="801"/>
      <c r="AR16" s="801"/>
      <c r="AS16" s="801"/>
      <c r="AT16" s="801"/>
      <c r="AU16" s="801"/>
      <c r="AV16" s="801"/>
      <c r="AW16" s="801"/>
      <c r="AX16" s="801"/>
      <c r="AY16" s="801"/>
      <c r="AZ16" s="801"/>
      <c r="BA16" s="801"/>
      <c r="BB16" s="801">
        <v>31117500</v>
      </c>
      <c r="BC16" s="801"/>
      <c r="BD16" s="801"/>
      <c r="BE16" s="801"/>
      <c r="BF16" s="801"/>
      <c r="BG16" s="801"/>
      <c r="BH16" s="801"/>
      <c r="BI16" s="801"/>
      <c r="BJ16" s="801"/>
      <c r="BK16" s="801"/>
      <c r="BL16" s="801"/>
      <c r="BM16" s="801"/>
      <c r="BN16" s="801">
        <v>31117500</v>
      </c>
      <c r="BO16" s="801"/>
      <c r="BP16" s="801"/>
      <c r="BQ16" s="801"/>
      <c r="BR16" s="801"/>
      <c r="BS16" s="857"/>
      <c r="BT16" s="857"/>
      <c r="BU16" s="857"/>
      <c r="BV16" s="857"/>
      <c r="BW16" s="857"/>
      <c r="BX16" s="857"/>
      <c r="BY16" s="857"/>
      <c r="BZ16" s="801">
        <v>31117500</v>
      </c>
      <c r="CA16" s="857"/>
      <c r="CB16" s="857"/>
      <c r="CC16" s="857"/>
      <c r="CD16" s="857"/>
      <c r="CE16" s="857"/>
      <c r="CF16" s="1196"/>
      <c r="CG16" s="1196"/>
      <c r="CH16" s="1196"/>
      <c r="CI16" s="1196"/>
      <c r="CJ16" s="1196"/>
      <c r="CK16" s="1196"/>
      <c r="CL16" s="1196"/>
      <c r="CM16" s="1196"/>
      <c r="CN16" s="1196"/>
      <c r="CO16" s="800"/>
      <c r="CP16" s="801"/>
      <c r="CQ16" s="801"/>
      <c r="CR16" s="801"/>
      <c r="CS16" s="801"/>
      <c r="CT16" s="801"/>
      <c r="CU16" s="801"/>
      <c r="CV16" s="801"/>
      <c r="CW16" s="801"/>
      <c r="CX16" s="801"/>
      <c r="CY16" s="801"/>
      <c r="CZ16" s="801"/>
      <c r="DA16" s="801"/>
      <c r="DB16" s="801"/>
      <c r="DC16" s="801"/>
      <c r="DD16" s="801"/>
      <c r="DE16" s="803"/>
      <c r="DF16" s="801"/>
      <c r="DG16" s="801"/>
      <c r="DH16" s="801"/>
      <c r="DI16" s="801"/>
      <c r="DJ16" s="801"/>
      <c r="DK16" s="801"/>
      <c r="DL16" s="801"/>
      <c r="DM16" s="801"/>
      <c r="DN16" s="801"/>
      <c r="DO16" s="803"/>
      <c r="DP16" s="801"/>
      <c r="DQ16" s="801"/>
      <c r="DR16" s="801"/>
      <c r="DS16" s="801"/>
      <c r="DT16" s="801"/>
      <c r="DU16" s="801">
        <v>7158580.875</v>
      </c>
      <c r="DV16" s="801"/>
      <c r="DW16" s="801"/>
      <c r="DX16" s="801"/>
      <c r="DY16" s="801"/>
      <c r="DZ16" s="801"/>
      <c r="EA16" s="803">
        <v>6054688</v>
      </c>
      <c r="EB16" s="879"/>
      <c r="EC16" s="879"/>
      <c r="ED16" s="879"/>
      <c r="EE16" s="879"/>
      <c r="EF16" s="879"/>
      <c r="EG16" s="879">
        <v>4103361</v>
      </c>
      <c r="EH16" s="879"/>
      <c r="EI16" s="879"/>
      <c r="EJ16" s="879"/>
      <c r="EK16" s="879"/>
      <c r="EL16" s="879"/>
      <c r="EM16" s="879">
        <v>4036458</v>
      </c>
      <c r="EN16" s="877"/>
      <c r="EO16" s="858"/>
      <c r="EP16" s="858"/>
      <c r="EQ16" s="858"/>
      <c r="ER16" s="858"/>
      <c r="ES16" s="858">
        <v>2051680.5</v>
      </c>
      <c r="ET16" s="858"/>
      <c r="EU16" s="858"/>
      <c r="EV16" s="858"/>
      <c r="EW16" s="858"/>
      <c r="EX16" s="858"/>
      <c r="EY16" s="858">
        <v>2018229</v>
      </c>
      <c r="EZ16" s="858"/>
      <c r="FA16" s="858"/>
      <c r="FB16" s="858"/>
      <c r="FC16" s="858"/>
      <c r="FD16" s="858"/>
      <c r="FE16" s="858"/>
      <c r="FF16" s="858"/>
      <c r="FG16" s="858"/>
      <c r="FH16" s="858"/>
      <c r="FI16" s="858"/>
      <c r="FJ16" s="858"/>
      <c r="FK16" s="858"/>
      <c r="FL16" s="858"/>
      <c r="FM16" s="858"/>
      <c r="FN16" s="858"/>
      <c r="FO16" s="858"/>
      <c r="FP16" s="167">
        <f>SUM(AS16:FE16)</f>
        <v>118775497.375</v>
      </c>
      <c r="FQ16" s="167">
        <f t="shared" si="4"/>
        <v>53354793.805</v>
      </c>
    </row>
    <row r="17" spans="2:173" s="524" customFormat="1" ht="14.25" customHeight="1">
      <c r="B17" s="513">
        <v>8</v>
      </c>
      <c r="C17" s="521" t="s">
        <v>760</v>
      </c>
      <c r="D17" s="841" t="s">
        <v>369</v>
      </c>
      <c r="E17" s="525">
        <f t="shared" si="6"/>
        <v>37407539.534444444</v>
      </c>
      <c r="F17" s="525">
        <v>411062.75555555557</v>
      </c>
      <c r="G17" s="736">
        <f>'Notes - Dec25'!C122</f>
        <v>37818602.289999999</v>
      </c>
      <c r="H17" s="799" t="s">
        <v>398</v>
      </c>
      <c r="I17" s="738">
        <f t="shared" si="5"/>
        <v>37407539.534444444</v>
      </c>
      <c r="J17" s="944">
        <f t="shared" si="2"/>
        <v>411062.75555555557</v>
      </c>
      <c r="K17" s="756">
        <f t="shared" si="3"/>
        <v>37818602.289999999</v>
      </c>
      <c r="L17" s="726">
        <v>45425</v>
      </c>
      <c r="M17" s="726">
        <v>46155</v>
      </c>
      <c r="N17" s="527">
        <v>0.128</v>
      </c>
      <c r="O17" s="903" t="s">
        <v>397</v>
      </c>
      <c r="P17" s="528" t="s">
        <v>761</v>
      </c>
      <c r="Q17" s="523"/>
      <c r="R17" s="533"/>
      <c r="S17" s="800"/>
      <c r="T17" s="801"/>
      <c r="U17" s="801"/>
      <c r="V17" s="801"/>
      <c r="W17" s="801"/>
      <c r="X17" s="801"/>
      <c r="Y17" s="801"/>
      <c r="Z17" s="802"/>
      <c r="AA17" s="801"/>
      <c r="AB17" s="801"/>
      <c r="AC17" s="801"/>
      <c r="AD17" s="801"/>
      <c r="AE17" s="801"/>
      <c r="AF17" s="801"/>
      <c r="AG17" s="801"/>
      <c r="AH17" s="801"/>
      <c r="AI17" s="801"/>
      <c r="AJ17" s="801"/>
      <c r="AK17" s="801"/>
      <c r="AL17" s="801"/>
      <c r="AM17" s="801"/>
      <c r="AN17" s="801"/>
      <c r="AO17" s="801"/>
      <c r="AP17" s="801"/>
      <c r="AQ17" s="801"/>
      <c r="AR17" s="801"/>
      <c r="AS17" s="801"/>
      <c r="AT17" s="801"/>
      <c r="AU17" s="801"/>
      <c r="AV17" s="801"/>
      <c r="AW17" s="801"/>
      <c r="AX17" s="801"/>
      <c r="AY17" s="801"/>
      <c r="AZ17" s="801">
        <v>37294000</v>
      </c>
      <c r="BA17" s="801"/>
      <c r="BB17" s="801"/>
      <c r="BC17" s="801"/>
      <c r="BD17" s="801"/>
      <c r="BE17" s="801"/>
      <c r="BF17" s="801">
        <v>37256706</v>
      </c>
      <c r="BG17" s="801"/>
      <c r="BH17" s="801"/>
      <c r="BI17" s="801"/>
      <c r="BJ17" s="801"/>
      <c r="BK17" s="801"/>
      <c r="BL17" s="801">
        <v>37368588</v>
      </c>
      <c r="BM17" s="801"/>
      <c r="BN17" s="801"/>
      <c r="BO17" s="801"/>
      <c r="BP17" s="801"/>
      <c r="BQ17" s="801"/>
      <c r="BR17" s="801"/>
      <c r="BS17" s="857"/>
      <c r="BT17" s="857"/>
      <c r="BU17" s="857"/>
      <c r="BV17" s="857"/>
      <c r="BW17" s="857"/>
      <c r="BX17" s="857"/>
      <c r="BY17" s="857"/>
      <c r="BZ17" s="857"/>
      <c r="CA17" s="857"/>
      <c r="CB17" s="857"/>
      <c r="CC17" s="857"/>
      <c r="CD17" s="857"/>
      <c r="CE17" s="857"/>
      <c r="CF17" s="1196"/>
      <c r="CG17" s="1196"/>
      <c r="CH17" s="1196"/>
      <c r="CI17" s="1196"/>
      <c r="CJ17" s="1196"/>
      <c r="CK17" s="1196"/>
      <c r="CL17" s="1196"/>
      <c r="CM17" s="1196"/>
      <c r="CN17" s="1196"/>
      <c r="CO17" s="800"/>
      <c r="CP17" s="801"/>
      <c r="CQ17" s="801"/>
      <c r="CR17" s="801"/>
      <c r="CS17" s="801"/>
      <c r="CT17" s="801"/>
      <c r="CU17" s="801"/>
      <c r="CV17" s="801"/>
      <c r="CW17" s="801"/>
      <c r="CX17" s="801"/>
      <c r="CY17" s="801"/>
      <c r="CZ17" s="801"/>
      <c r="DA17" s="801"/>
      <c r="DB17" s="801"/>
      <c r="DC17" s="801"/>
      <c r="DD17" s="801"/>
      <c r="DE17" s="803"/>
      <c r="DF17" s="801"/>
      <c r="DG17" s="801"/>
      <c r="DH17" s="801"/>
      <c r="DI17" s="801"/>
      <c r="DJ17" s="801"/>
      <c r="DK17" s="801"/>
      <c r="DL17" s="801"/>
      <c r="DM17" s="801"/>
      <c r="DN17" s="801"/>
      <c r="DO17" s="803"/>
      <c r="DP17" s="801"/>
      <c r="DQ17" s="801"/>
      <c r="DR17" s="801"/>
      <c r="DS17" s="801">
        <v>7359349.3333333302</v>
      </c>
      <c r="DT17" s="801"/>
      <c r="DU17" s="801"/>
      <c r="DV17" s="801"/>
      <c r="DW17" s="801"/>
      <c r="DX17" s="801"/>
      <c r="DY17" s="801">
        <v>7162934.2699999996</v>
      </c>
      <c r="DZ17" s="801"/>
      <c r="EA17" s="803"/>
      <c r="EB17" s="879"/>
      <c r="EC17" s="879"/>
      <c r="ED17" s="879"/>
      <c r="EE17" s="879">
        <v>4842419</v>
      </c>
      <c r="EF17" s="879"/>
      <c r="EG17" s="879"/>
      <c r="EH17" s="879"/>
      <c r="EI17" s="879"/>
      <c r="EJ17" s="879"/>
      <c r="EK17" s="879">
        <v>2474664</v>
      </c>
      <c r="EL17" s="879"/>
      <c r="EM17" s="879"/>
      <c r="EN17" s="877"/>
      <c r="EO17" s="858"/>
      <c r="EP17" s="858"/>
      <c r="EQ17" s="858"/>
      <c r="ER17" s="858"/>
      <c r="ES17" s="858"/>
      <c r="ET17" s="858"/>
      <c r="EU17" s="858"/>
      <c r="EV17" s="858"/>
      <c r="EW17" s="858"/>
      <c r="EX17" s="858"/>
      <c r="EY17" s="858"/>
      <c r="EZ17" s="858"/>
      <c r="FA17" s="858"/>
      <c r="FB17" s="858"/>
      <c r="FC17" s="858"/>
      <c r="FD17" s="858"/>
      <c r="FE17" s="858"/>
      <c r="FF17" s="858"/>
      <c r="FG17" s="858"/>
      <c r="FH17" s="858"/>
      <c r="FI17" s="858"/>
      <c r="FJ17" s="858"/>
      <c r="FK17" s="858"/>
      <c r="FL17" s="858"/>
      <c r="FM17" s="858"/>
      <c r="FN17" s="858"/>
      <c r="FO17" s="858"/>
      <c r="FP17" s="167">
        <f>SUM(AS17:FE17)</f>
        <v>133758660.60333332</v>
      </c>
      <c r="FQ17" s="167">
        <f t="shared" si="4"/>
        <v>95940058.313333333</v>
      </c>
    </row>
    <row r="18" spans="2:173" s="524" customFormat="1" ht="14.25" customHeight="1">
      <c r="B18" s="225">
        <v>9</v>
      </c>
      <c r="C18" s="521" t="s">
        <v>759</v>
      </c>
      <c r="D18" s="841" t="s">
        <v>369</v>
      </c>
      <c r="E18" s="525">
        <f t="shared" si="6"/>
        <v>111218714.61545454</v>
      </c>
      <c r="F18" s="525">
        <v>1258515.7645454544</v>
      </c>
      <c r="G18" s="736">
        <f>'Notes - Dec25'!C121</f>
        <v>112477230.38</v>
      </c>
      <c r="H18" s="799" t="s">
        <v>398</v>
      </c>
      <c r="I18" s="738">
        <f t="shared" si="5"/>
        <v>111218714.61545454</v>
      </c>
      <c r="J18" s="944">
        <f t="shared" si="2"/>
        <v>1258515.7645454544</v>
      </c>
      <c r="K18" s="756">
        <f t="shared" si="3"/>
        <v>112477230.38</v>
      </c>
      <c r="L18" s="726">
        <v>45446</v>
      </c>
      <c r="M18" s="726">
        <v>46541</v>
      </c>
      <c r="N18" s="726" t="s">
        <v>690</v>
      </c>
      <c r="O18" s="903" t="s">
        <v>397</v>
      </c>
      <c r="P18" s="1198" t="s">
        <v>766</v>
      </c>
      <c r="Q18" s="523"/>
      <c r="R18" s="533"/>
      <c r="S18" s="800"/>
      <c r="T18" s="801"/>
      <c r="U18" s="801"/>
      <c r="V18" s="801"/>
      <c r="W18" s="801"/>
      <c r="X18" s="801"/>
      <c r="Y18" s="801"/>
      <c r="Z18" s="802"/>
      <c r="AA18" s="801"/>
      <c r="AB18" s="801"/>
      <c r="AC18" s="801"/>
      <c r="AD18" s="801"/>
      <c r="AE18" s="801"/>
      <c r="AF18" s="801"/>
      <c r="AG18" s="801"/>
      <c r="AH18" s="801"/>
      <c r="AI18" s="801"/>
      <c r="AJ18" s="801"/>
      <c r="AK18" s="801"/>
      <c r="AL18" s="801"/>
      <c r="AM18" s="801"/>
      <c r="AN18" s="801"/>
      <c r="AO18" s="801"/>
      <c r="AP18" s="801"/>
      <c r="AQ18" s="801"/>
      <c r="AR18" s="801"/>
      <c r="AS18" s="801"/>
      <c r="AT18" s="801"/>
      <c r="AU18" s="801"/>
      <c r="AV18" s="801"/>
      <c r="AW18" s="801">
        <v>16159909.09</v>
      </c>
      <c r="AX18" s="801"/>
      <c r="AY18" s="801"/>
      <c r="AZ18" s="801">
        <v>16159909.09</v>
      </c>
      <c r="BA18" s="801"/>
      <c r="BB18" s="801"/>
      <c r="BC18" s="801">
        <v>16159909.09</v>
      </c>
      <c r="BD18" s="801"/>
      <c r="BE18" s="801"/>
      <c r="BF18" s="801">
        <v>16159909.09</v>
      </c>
      <c r="BG18" s="801"/>
      <c r="BH18" s="801"/>
      <c r="BI18" s="801">
        <v>16159909.09</v>
      </c>
      <c r="BJ18" s="801"/>
      <c r="BK18" s="801"/>
      <c r="BL18" s="801">
        <v>16159909.09</v>
      </c>
      <c r="BM18" s="801"/>
      <c r="BN18" s="801"/>
      <c r="BO18" s="801">
        <v>16159909.09</v>
      </c>
      <c r="BP18" s="801"/>
      <c r="BQ18" s="801"/>
      <c r="BR18" s="801">
        <v>16159909.09</v>
      </c>
      <c r="BS18" s="857"/>
      <c r="BT18" s="857"/>
      <c r="BU18" s="801">
        <v>16159909.09</v>
      </c>
      <c r="BV18" s="857"/>
      <c r="BW18" s="857"/>
      <c r="BX18" s="801">
        <v>16159909.09</v>
      </c>
      <c r="BY18" s="801">
        <v>16159909.09</v>
      </c>
      <c r="BZ18" s="857"/>
      <c r="CA18" s="857"/>
      <c r="CB18" s="857"/>
      <c r="CC18" s="857"/>
      <c r="CD18" s="857"/>
      <c r="CE18" s="857"/>
      <c r="CF18" s="1196"/>
      <c r="CG18" s="1196"/>
      <c r="CH18" s="1196"/>
      <c r="CI18" s="1196"/>
      <c r="CJ18" s="1196"/>
      <c r="CK18" s="1196"/>
      <c r="CL18" s="1196"/>
      <c r="CM18" s="1196"/>
      <c r="CN18" s="1196"/>
      <c r="CO18" s="800"/>
      <c r="CP18" s="801"/>
      <c r="CQ18" s="801"/>
      <c r="CR18" s="801"/>
      <c r="CS18" s="801"/>
      <c r="CT18" s="801"/>
      <c r="CU18" s="801"/>
      <c r="CV18" s="801"/>
      <c r="CW18" s="801"/>
      <c r="CX18" s="801"/>
      <c r="CY18" s="801"/>
      <c r="CZ18" s="801"/>
      <c r="DA18" s="801"/>
      <c r="DB18" s="801"/>
      <c r="DC18" s="801"/>
      <c r="DD18" s="801"/>
      <c r="DE18" s="803"/>
      <c r="DF18" s="801"/>
      <c r="DG18" s="801"/>
      <c r="DH18" s="801"/>
      <c r="DI18" s="801"/>
      <c r="DJ18" s="801"/>
      <c r="DK18" s="801"/>
      <c r="DL18" s="801"/>
      <c r="DM18" s="801"/>
      <c r="DN18" s="801"/>
      <c r="DO18" s="803"/>
      <c r="DP18" s="801"/>
      <c r="DQ18" s="801"/>
      <c r="DR18" s="801"/>
      <c r="DS18" s="801"/>
      <c r="DT18" s="801"/>
      <c r="DU18" s="801"/>
      <c r="DV18" s="801">
        <v>12020063.580909099</v>
      </c>
      <c r="DW18" s="801"/>
      <c r="DX18" s="801"/>
      <c r="DY18" s="801">
        <v>5285502.2668181797</v>
      </c>
      <c r="DZ18" s="801"/>
      <c r="EA18" s="803"/>
      <c r="EB18" s="879">
        <v>4917298.7381818201</v>
      </c>
      <c r="EC18" s="879"/>
      <c r="ED18" s="879"/>
      <c r="EE18" s="879">
        <v>4370932.21181818</v>
      </c>
      <c r="EF18" s="879"/>
      <c r="EG18" s="879"/>
      <c r="EH18" s="879">
        <v>3824565.6854545502</v>
      </c>
      <c r="EI18" s="879"/>
      <c r="EJ18" s="879"/>
      <c r="EK18" s="879">
        <v>3171301.36045455</v>
      </c>
      <c r="EL18" s="879"/>
      <c r="EM18" s="879"/>
      <c r="EN18" s="877">
        <v>2731832.63272727</v>
      </c>
      <c r="EO18" s="858"/>
      <c r="EP18" s="858"/>
      <c r="EQ18" s="858">
        <v>2185466.1063636402</v>
      </c>
      <c r="ER18" s="858"/>
      <c r="ES18" s="858"/>
      <c r="ET18" s="858">
        <v>1639099.58</v>
      </c>
      <c r="EU18" s="858"/>
      <c r="EV18" s="858"/>
      <c r="EW18" s="858">
        <v>1057100.45409091</v>
      </c>
      <c r="EX18" s="858"/>
      <c r="EY18" s="858"/>
      <c r="EZ18" s="858">
        <v>570121.59363636398</v>
      </c>
      <c r="FA18" s="858"/>
      <c r="FB18" s="858"/>
      <c r="FC18" s="858"/>
      <c r="FD18" s="858"/>
      <c r="FE18" s="858"/>
      <c r="FF18" s="858"/>
      <c r="FG18" s="858"/>
      <c r="FH18" s="858"/>
      <c r="FI18" s="858"/>
      <c r="FJ18" s="858"/>
      <c r="FK18" s="858"/>
      <c r="FL18" s="858"/>
      <c r="FM18" s="858"/>
      <c r="FN18" s="858"/>
      <c r="FO18" s="858"/>
      <c r="FP18" s="167">
        <f>SUM(AS18:FE18)</f>
        <v>219532284.20045462</v>
      </c>
      <c r="FQ18" s="167">
        <f t="shared" si="4"/>
        <v>107055053.82045463</v>
      </c>
    </row>
    <row r="19" spans="2:173" s="524" customFormat="1" ht="14.25" customHeight="1">
      <c r="B19" s="225">
        <v>10</v>
      </c>
      <c r="C19" s="521" t="s">
        <v>823</v>
      </c>
      <c r="D19" s="841" t="s">
        <v>369</v>
      </c>
      <c r="E19" s="525">
        <f t="shared" ref="E19:E20" si="7">G19-F19</f>
        <v>-314110.01</v>
      </c>
      <c r="F19" s="525">
        <v>0</v>
      </c>
      <c r="G19" s="736">
        <f>'Notes - Dec25'!C118</f>
        <v>-314110.01</v>
      </c>
      <c r="H19" s="799" t="s">
        <v>398</v>
      </c>
      <c r="I19" s="738">
        <f t="shared" ref="I19:I20" si="8">E19</f>
        <v>-314110.01</v>
      </c>
      <c r="J19" s="944">
        <f t="shared" si="2"/>
        <v>0</v>
      </c>
      <c r="K19" s="756">
        <f t="shared" si="3"/>
        <v>-314110.01</v>
      </c>
      <c r="L19" s="726"/>
      <c r="M19" s="726"/>
      <c r="N19" s="726"/>
      <c r="O19" s="903"/>
      <c r="P19" s="1013"/>
      <c r="Q19" s="523"/>
      <c r="R19" s="533"/>
      <c r="S19" s="800"/>
      <c r="T19" s="801"/>
      <c r="U19" s="801"/>
      <c r="V19" s="801"/>
      <c r="W19" s="801"/>
      <c r="X19" s="801"/>
      <c r="Y19" s="801"/>
      <c r="Z19" s="802"/>
      <c r="AA19" s="801"/>
      <c r="AB19" s="801"/>
      <c r="AC19" s="801"/>
      <c r="AD19" s="801"/>
      <c r="AE19" s="801"/>
      <c r="AF19" s="801"/>
      <c r="AG19" s="801"/>
      <c r="AH19" s="801"/>
      <c r="AI19" s="801"/>
      <c r="AJ19" s="801"/>
      <c r="AK19" s="801"/>
      <c r="AL19" s="801"/>
      <c r="AM19" s="801"/>
      <c r="AN19" s="801"/>
      <c r="AO19" s="801"/>
      <c r="AP19" s="801"/>
      <c r="AQ19" s="801"/>
      <c r="AR19" s="801"/>
      <c r="AS19" s="801"/>
      <c r="AT19" s="801"/>
      <c r="AU19" s="801"/>
      <c r="AV19" s="801"/>
      <c r="AW19" s="801"/>
      <c r="AX19" s="801"/>
      <c r="AY19" s="801"/>
      <c r="AZ19" s="801"/>
      <c r="BA19" s="801"/>
      <c r="BB19" s="801"/>
      <c r="BC19" s="801"/>
      <c r="BD19" s="801"/>
      <c r="BE19" s="801"/>
      <c r="BF19" s="801"/>
      <c r="BG19" s="801"/>
      <c r="BH19" s="801"/>
      <c r="BI19" s="801"/>
      <c r="BJ19" s="801"/>
      <c r="BK19" s="801"/>
      <c r="BL19" s="801"/>
      <c r="BM19" s="801"/>
      <c r="BN19" s="801"/>
      <c r="BO19" s="801"/>
      <c r="BP19" s="801"/>
      <c r="BQ19" s="801"/>
      <c r="BR19" s="801"/>
      <c r="BS19" s="857"/>
      <c r="BT19" s="857"/>
      <c r="BU19" s="857"/>
      <c r="BV19" s="857"/>
      <c r="BW19" s="857"/>
      <c r="BX19" s="857"/>
      <c r="BY19" s="857"/>
      <c r="BZ19" s="857"/>
      <c r="CA19" s="857"/>
      <c r="CB19" s="857"/>
      <c r="CC19" s="857"/>
      <c r="CD19" s="857"/>
      <c r="CE19" s="857"/>
      <c r="CF19" s="1196"/>
      <c r="CG19" s="1196"/>
      <c r="CH19" s="1196"/>
      <c r="CI19" s="1196"/>
      <c r="CJ19" s="1196"/>
      <c r="CK19" s="1196"/>
      <c r="CL19" s="1196"/>
      <c r="CM19" s="1196"/>
      <c r="CN19" s="1196"/>
      <c r="CO19" s="800"/>
      <c r="CP19" s="801"/>
      <c r="CQ19" s="801"/>
      <c r="CR19" s="801"/>
      <c r="CS19" s="801"/>
      <c r="CT19" s="801"/>
      <c r="CU19" s="801"/>
      <c r="CV19" s="801"/>
      <c r="CW19" s="801"/>
      <c r="CX19" s="801"/>
      <c r="CY19" s="801"/>
      <c r="CZ19" s="801"/>
      <c r="DA19" s="801"/>
      <c r="DB19" s="801"/>
      <c r="DC19" s="801"/>
      <c r="DD19" s="801"/>
      <c r="DE19" s="803"/>
      <c r="DF19" s="801"/>
      <c r="DG19" s="801"/>
      <c r="DH19" s="801"/>
      <c r="DI19" s="801"/>
      <c r="DJ19" s="801"/>
      <c r="DK19" s="801"/>
      <c r="DL19" s="801"/>
      <c r="DM19" s="801"/>
      <c r="DN19" s="801"/>
      <c r="DO19" s="803"/>
      <c r="DP19" s="801"/>
      <c r="DQ19" s="801"/>
      <c r="DR19" s="801"/>
      <c r="DS19" s="801"/>
      <c r="DT19" s="801"/>
      <c r="DU19" s="801"/>
      <c r="DV19" s="801"/>
      <c r="DW19" s="801"/>
      <c r="DX19" s="801"/>
      <c r="DY19" s="801"/>
      <c r="DZ19" s="801"/>
      <c r="EA19" s="803"/>
      <c r="EB19" s="879"/>
      <c r="EC19" s="879"/>
      <c r="ED19" s="879"/>
      <c r="EE19" s="879"/>
      <c r="EF19" s="879"/>
      <c r="EG19" s="879"/>
      <c r="EH19" s="879"/>
      <c r="EI19" s="879"/>
      <c r="EJ19" s="879"/>
      <c r="EK19" s="879"/>
      <c r="EL19" s="879"/>
      <c r="EM19" s="879"/>
      <c r="EN19" s="877"/>
      <c r="EO19" s="858"/>
      <c r="EP19" s="858"/>
      <c r="EQ19" s="858"/>
      <c r="ER19" s="858"/>
      <c r="ES19" s="858"/>
      <c r="ET19" s="858"/>
      <c r="EU19" s="858"/>
      <c r="EV19" s="858"/>
      <c r="EW19" s="858"/>
      <c r="EX19" s="858"/>
      <c r="EY19" s="858"/>
      <c r="EZ19" s="858"/>
      <c r="FA19" s="858"/>
      <c r="FB19" s="858"/>
      <c r="FC19" s="858"/>
      <c r="FD19" s="858"/>
      <c r="FE19" s="858"/>
      <c r="FF19" s="858"/>
      <c r="FG19" s="858"/>
      <c r="FH19" s="858"/>
      <c r="FI19" s="858"/>
      <c r="FJ19" s="858"/>
      <c r="FK19" s="858"/>
      <c r="FL19" s="858"/>
      <c r="FM19" s="858"/>
      <c r="FN19" s="858"/>
      <c r="FO19" s="858"/>
      <c r="FP19" s="167"/>
      <c r="FQ19" s="167"/>
    </row>
    <row r="20" spans="2:173" s="524" customFormat="1" ht="14.25" customHeight="1">
      <c r="B20" s="513">
        <v>11</v>
      </c>
      <c r="C20" s="521" t="s">
        <v>853</v>
      </c>
      <c r="D20" s="841" t="s">
        <v>369</v>
      </c>
      <c r="E20" s="525">
        <f t="shared" si="7"/>
        <v>91085839.639863014</v>
      </c>
      <c r="F20" s="525">
        <v>453698.63013698632</v>
      </c>
      <c r="G20" s="736">
        <f>'Notes - Dec25'!C123</f>
        <v>91539538.269999996</v>
      </c>
      <c r="H20" s="799" t="s">
        <v>398</v>
      </c>
      <c r="I20" s="738">
        <f t="shared" si="8"/>
        <v>91085839.639863014</v>
      </c>
      <c r="J20" s="944">
        <f t="shared" si="2"/>
        <v>453698.63013698632</v>
      </c>
      <c r="K20" s="756">
        <f t="shared" ref="K20:K21" si="9">SUM(I20:J20)</f>
        <v>91539538.269999996</v>
      </c>
      <c r="L20" s="726"/>
      <c r="M20" s="726"/>
      <c r="N20" s="726"/>
      <c r="O20" s="903"/>
      <c r="P20" s="1013"/>
      <c r="Q20" s="523"/>
      <c r="R20" s="533"/>
      <c r="S20" s="800"/>
      <c r="T20" s="801"/>
      <c r="U20" s="801"/>
      <c r="V20" s="801"/>
      <c r="W20" s="801"/>
      <c r="X20" s="801"/>
      <c r="Y20" s="801"/>
      <c r="Z20" s="802"/>
      <c r="AA20" s="801"/>
      <c r="AB20" s="801"/>
      <c r="AC20" s="801"/>
      <c r="AD20" s="801"/>
      <c r="AE20" s="801"/>
      <c r="AF20" s="801"/>
      <c r="AG20" s="801"/>
      <c r="AH20" s="801"/>
      <c r="AI20" s="801"/>
      <c r="AJ20" s="801"/>
      <c r="AK20" s="801"/>
      <c r="AL20" s="801"/>
      <c r="AM20" s="801"/>
      <c r="AN20" s="801"/>
      <c r="AO20" s="801"/>
      <c r="AP20" s="801"/>
      <c r="AQ20" s="801"/>
      <c r="AR20" s="801"/>
      <c r="AS20" s="801"/>
      <c r="AT20" s="801"/>
      <c r="AU20" s="801"/>
      <c r="AV20" s="801"/>
      <c r="AW20" s="801"/>
      <c r="AX20" s="801"/>
      <c r="AY20" s="801"/>
      <c r="AZ20" s="801"/>
      <c r="BA20" s="801"/>
      <c r="BB20" s="801"/>
      <c r="BC20" s="801"/>
      <c r="BD20" s="801"/>
      <c r="BE20" s="801"/>
      <c r="BF20" s="801"/>
      <c r="BG20" s="801"/>
      <c r="BH20" s="801"/>
      <c r="BI20" s="801"/>
      <c r="BJ20" s="801"/>
      <c r="BK20" s="801"/>
      <c r="BL20" s="801"/>
      <c r="BM20" s="801"/>
      <c r="BN20" s="801"/>
      <c r="BO20" s="801"/>
      <c r="BP20" s="801"/>
      <c r="BQ20" s="801"/>
      <c r="BR20" s="801"/>
      <c r="BS20" s="857"/>
      <c r="BT20" s="857"/>
      <c r="BU20" s="857"/>
      <c r="BV20" s="857"/>
      <c r="BW20" s="857"/>
      <c r="BX20" s="857"/>
      <c r="BY20" s="857"/>
      <c r="BZ20" s="857"/>
      <c r="CA20" s="857"/>
      <c r="CB20" s="857"/>
      <c r="CC20" s="857"/>
      <c r="CD20" s="857"/>
      <c r="CE20" s="857"/>
      <c r="CF20" s="1196"/>
      <c r="CG20" s="1196"/>
      <c r="CH20" s="1196"/>
      <c r="CI20" s="1196"/>
      <c r="CJ20" s="1196"/>
      <c r="CK20" s="1196"/>
      <c r="CL20" s="1196"/>
      <c r="CM20" s="1196"/>
      <c r="CN20" s="1196"/>
      <c r="CO20" s="800"/>
      <c r="CP20" s="801"/>
      <c r="CQ20" s="801"/>
      <c r="CR20" s="801"/>
      <c r="CS20" s="801"/>
      <c r="CT20" s="801"/>
      <c r="CU20" s="801"/>
      <c r="CV20" s="801"/>
      <c r="CW20" s="801"/>
      <c r="CX20" s="801"/>
      <c r="CY20" s="801"/>
      <c r="CZ20" s="801"/>
      <c r="DA20" s="801"/>
      <c r="DB20" s="801"/>
      <c r="DC20" s="801"/>
      <c r="DD20" s="801"/>
      <c r="DE20" s="803"/>
      <c r="DF20" s="801"/>
      <c r="DG20" s="801"/>
      <c r="DH20" s="801"/>
      <c r="DI20" s="801"/>
      <c r="DJ20" s="801"/>
      <c r="DK20" s="801"/>
      <c r="DL20" s="801"/>
      <c r="DM20" s="801"/>
      <c r="DN20" s="801"/>
      <c r="DO20" s="803"/>
      <c r="DP20" s="801"/>
      <c r="DQ20" s="801"/>
      <c r="DR20" s="801"/>
      <c r="DS20" s="801"/>
      <c r="DT20" s="801"/>
      <c r="DU20" s="801"/>
      <c r="DV20" s="801"/>
      <c r="DW20" s="801"/>
      <c r="DX20" s="801"/>
      <c r="DY20" s="801"/>
      <c r="DZ20" s="801"/>
      <c r="EA20" s="803"/>
      <c r="EB20" s="879"/>
      <c r="EC20" s="879"/>
      <c r="ED20" s="879"/>
      <c r="EE20" s="879"/>
      <c r="EF20" s="879"/>
      <c r="EG20" s="879"/>
      <c r="EH20" s="879"/>
      <c r="EI20" s="879"/>
      <c r="EJ20" s="879"/>
      <c r="EK20" s="879"/>
      <c r="EL20" s="879"/>
      <c r="EM20" s="879"/>
      <c r="EN20" s="877"/>
      <c r="EO20" s="858"/>
      <c r="EP20" s="858"/>
      <c r="EQ20" s="858"/>
      <c r="ER20" s="858"/>
      <c r="ES20" s="858"/>
      <c r="ET20" s="858"/>
      <c r="EU20" s="858"/>
      <c r="EV20" s="858"/>
      <c r="EW20" s="858"/>
      <c r="EX20" s="858"/>
      <c r="EY20" s="858"/>
      <c r="EZ20" s="858"/>
      <c r="FA20" s="858"/>
      <c r="FB20" s="858"/>
      <c r="FC20" s="858"/>
      <c r="FD20" s="858"/>
      <c r="FE20" s="858"/>
      <c r="FF20" s="858"/>
      <c r="FG20" s="858"/>
      <c r="FH20" s="858"/>
      <c r="FI20" s="858"/>
      <c r="FJ20" s="858"/>
      <c r="FK20" s="858"/>
      <c r="FL20" s="858"/>
      <c r="FM20" s="858"/>
      <c r="FN20" s="858"/>
      <c r="FO20" s="858"/>
      <c r="FP20" s="167"/>
      <c r="FQ20" s="167"/>
    </row>
    <row r="21" spans="2:173" s="524" customFormat="1" ht="14.25" customHeight="1">
      <c r="B21" s="225">
        <v>12</v>
      </c>
      <c r="C21" s="521" t="s">
        <v>699</v>
      </c>
      <c r="D21" s="841" t="s">
        <v>369</v>
      </c>
      <c r="E21" s="525">
        <f>G21-F21</f>
        <v>37440616.299999997</v>
      </c>
      <c r="F21" s="525">
        <v>120963.84000000001</v>
      </c>
      <c r="G21" s="736">
        <f>'Notes - Dec25'!C124</f>
        <v>37561580.140000001</v>
      </c>
      <c r="H21" s="799" t="s">
        <v>398</v>
      </c>
      <c r="I21" s="738">
        <f t="shared" si="5"/>
        <v>37440616.299999997</v>
      </c>
      <c r="J21" s="944">
        <f t="shared" si="2"/>
        <v>120963.84000000001</v>
      </c>
      <c r="K21" s="756">
        <f t="shared" si="9"/>
        <v>37561580.140000001</v>
      </c>
      <c r="L21" s="726">
        <v>45280</v>
      </c>
      <c r="M21" s="726">
        <v>46376</v>
      </c>
      <c r="N21" s="527">
        <v>0.128</v>
      </c>
      <c r="O21" s="226" t="s">
        <v>397</v>
      </c>
      <c r="P21" s="528" t="s">
        <v>701</v>
      </c>
      <c r="Q21" s="523"/>
      <c r="R21" s="533"/>
      <c r="S21" s="800"/>
      <c r="T21" s="801"/>
      <c r="U21" s="801"/>
      <c r="V21" s="801"/>
      <c r="W21" s="801"/>
      <c r="X21" s="801"/>
      <c r="Y21" s="801"/>
      <c r="Z21" s="802"/>
      <c r="AA21" s="801"/>
      <c r="AB21" s="801"/>
      <c r="AC21" s="801"/>
      <c r="AD21" s="801"/>
      <c r="AE21" s="801"/>
      <c r="AF21" s="801"/>
      <c r="AG21" s="801"/>
      <c r="AH21" s="801"/>
      <c r="AI21" s="801"/>
      <c r="AJ21" s="801"/>
      <c r="AK21" s="801"/>
      <c r="AL21" s="801"/>
      <c r="AM21" s="801"/>
      <c r="AN21" s="801"/>
      <c r="AO21" s="801"/>
      <c r="AP21" s="801"/>
      <c r="AQ21" s="801"/>
      <c r="AR21" s="801"/>
      <c r="AS21" s="801"/>
      <c r="AT21" s="801"/>
      <c r="AU21" s="801">
        <v>37084706.670000002</v>
      </c>
      <c r="AV21" s="801"/>
      <c r="AW21" s="801"/>
      <c r="AX21" s="801"/>
      <c r="AY21" s="801"/>
      <c r="AZ21" s="801"/>
      <c r="BA21" s="801"/>
      <c r="BB21" s="801"/>
      <c r="BC21" s="801"/>
      <c r="BD21" s="801"/>
      <c r="BE21" s="801"/>
      <c r="BF21" s="801"/>
      <c r="BG21" s="801">
        <v>36689400</v>
      </c>
      <c r="BH21" s="801"/>
      <c r="BI21" s="801"/>
      <c r="BJ21" s="801"/>
      <c r="BK21" s="801"/>
      <c r="BL21" s="801"/>
      <c r="BM21" s="801"/>
      <c r="BN21" s="801"/>
      <c r="BO21" s="801"/>
      <c r="BP21" s="801"/>
      <c r="BQ21" s="801"/>
      <c r="BR21" s="801"/>
      <c r="BS21" s="857">
        <v>37801200</v>
      </c>
      <c r="BT21" s="857"/>
      <c r="BU21" s="857"/>
      <c r="BV21" s="857"/>
      <c r="BW21" s="857"/>
      <c r="BX21" s="857"/>
      <c r="BY21" s="857"/>
      <c r="BZ21" s="857"/>
      <c r="CA21" s="857"/>
      <c r="CB21" s="857"/>
      <c r="CC21" s="857"/>
      <c r="CD21" s="857"/>
      <c r="CE21" s="857"/>
      <c r="CF21" s="1196"/>
      <c r="CG21" s="1196"/>
      <c r="CH21" s="1196"/>
      <c r="CI21" s="1196"/>
      <c r="CJ21" s="1196"/>
      <c r="CK21" s="1196"/>
      <c r="CL21" s="1196"/>
      <c r="CM21" s="1196"/>
      <c r="CN21" s="1196"/>
      <c r="CO21" s="800"/>
      <c r="CP21" s="801"/>
      <c r="CQ21" s="801"/>
      <c r="CR21" s="801"/>
      <c r="CS21" s="801"/>
      <c r="CT21" s="801"/>
      <c r="CU21" s="801"/>
      <c r="CV21" s="801"/>
      <c r="CW21" s="801"/>
      <c r="CX21" s="801"/>
      <c r="CY21" s="801"/>
      <c r="CZ21" s="801"/>
      <c r="DA21" s="801"/>
      <c r="DB21" s="801"/>
      <c r="DC21" s="801"/>
      <c r="DD21" s="801"/>
      <c r="DE21" s="803"/>
      <c r="DF21" s="801"/>
      <c r="DG21" s="801"/>
      <c r="DH21" s="801"/>
      <c r="DI21" s="801"/>
      <c r="DJ21" s="801"/>
      <c r="DK21" s="801"/>
      <c r="DL21" s="801"/>
      <c r="DM21" s="801"/>
      <c r="DN21" s="801">
        <v>7273642.6666666698</v>
      </c>
      <c r="DO21" s="803"/>
      <c r="DP21" s="801"/>
      <c r="DQ21" s="801"/>
      <c r="DR21" s="801"/>
      <c r="DS21" s="801"/>
      <c r="DT21" s="801">
        <v>6838805.3300000001</v>
      </c>
      <c r="DU21" s="801"/>
      <c r="DV21" s="801"/>
      <c r="DW21" s="801"/>
      <c r="DX21" s="801"/>
      <c r="DY21" s="801"/>
      <c r="DZ21" s="801">
        <v>4820369.4933333304</v>
      </c>
      <c r="EA21" s="803"/>
      <c r="EB21" s="879"/>
      <c r="EC21" s="879"/>
      <c r="ED21" s="879"/>
      <c r="EE21" s="879"/>
      <c r="EF21" s="879">
        <v>4873340.59</v>
      </c>
      <c r="EG21" s="879"/>
      <c r="EH21" s="879"/>
      <c r="EI21" s="879"/>
      <c r="EJ21" s="879"/>
      <c r="EK21" s="879"/>
      <c r="EL21" s="879">
        <v>2446157.6533333301</v>
      </c>
      <c r="EM21" s="879"/>
      <c r="EN21" s="877"/>
      <c r="EO21" s="858"/>
      <c r="EP21" s="858"/>
      <c r="EQ21" s="858"/>
      <c r="ER21" s="858">
        <v>2473038.5099999998</v>
      </c>
      <c r="ES21" s="858"/>
      <c r="ET21" s="858"/>
      <c r="EU21" s="858"/>
      <c r="EV21" s="858"/>
      <c r="EW21" s="858"/>
      <c r="EX21" s="858"/>
      <c r="EY21" s="858"/>
      <c r="EZ21" s="858"/>
      <c r="FA21" s="858"/>
      <c r="FB21" s="858"/>
      <c r="FC21" s="858"/>
      <c r="FD21" s="858"/>
      <c r="FE21" s="858"/>
      <c r="FF21" s="858"/>
      <c r="FG21" s="858"/>
      <c r="FH21" s="858"/>
      <c r="FI21" s="858"/>
      <c r="FJ21" s="858"/>
      <c r="FK21" s="858"/>
      <c r="FL21" s="858"/>
      <c r="FM21" s="858"/>
      <c r="FN21" s="858"/>
      <c r="FO21" s="858"/>
      <c r="FP21" s="167">
        <f>SUM(AS21:FE21)</f>
        <v>140300660.91333333</v>
      </c>
      <c r="FQ21" s="167">
        <f>FP21-K21</f>
        <v>102739080.77333333</v>
      </c>
    </row>
    <row r="22" spans="2:173" s="524" customFormat="1" ht="14.25" customHeight="1">
      <c r="B22" s="225">
        <v>13</v>
      </c>
      <c r="C22" s="521" t="s">
        <v>841</v>
      </c>
      <c r="D22" s="841" t="s">
        <v>842</v>
      </c>
      <c r="E22" s="525">
        <v>15000001</v>
      </c>
      <c r="F22" s="525">
        <f>G22-E22</f>
        <v>559589.08150685206</v>
      </c>
      <c r="G22" s="525">
        <v>15559590.081506852</v>
      </c>
      <c r="H22" s="799" t="s">
        <v>843</v>
      </c>
      <c r="I22" s="738">
        <f>K22-J22</f>
        <v>250162527.63083044</v>
      </c>
      <c r="J22" s="944">
        <v>7744648.2391695576</v>
      </c>
      <c r="K22" s="756">
        <f>'Notes - Dec25'!C126</f>
        <v>257907175.87</v>
      </c>
      <c r="L22" s="726">
        <v>45727</v>
      </c>
      <c r="M22" s="726">
        <v>46477</v>
      </c>
      <c r="N22" s="527"/>
      <c r="O22" s="226"/>
      <c r="P22" s="528"/>
      <c r="Q22" s="523"/>
      <c r="R22" s="533"/>
      <c r="S22" s="800"/>
      <c r="T22" s="801"/>
      <c r="U22" s="801"/>
      <c r="V22" s="801"/>
      <c r="W22" s="801"/>
      <c r="X22" s="801"/>
      <c r="Y22" s="801"/>
      <c r="Z22" s="802"/>
      <c r="AA22" s="801"/>
      <c r="AB22" s="801"/>
      <c r="AC22" s="801"/>
      <c r="AD22" s="801"/>
      <c r="AE22" s="801"/>
      <c r="AF22" s="801"/>
      <c r="AG22" s="801"/>
      <c r="AH22" s="801"/>
      <c r="AI22" s="801"/>
      <c r="AJ22" s="801"/>
      <c r="AK22" s="801"/>
      <c r="AL22" s="801"/>
      <c r="AM22" s="801"/>
      <c r="AN22" s="801"/>
      <c r="AO22" s="801"/>
      <c r="AP22" s="801"/>
      <c r="AQ22" s="801"/>
      <c r="AR22" s="801"/>
      <c r="AS22" s="801"/>
      <c r="AT22" s="801"/>
      <c r="AU22" s="801"/>
      <c r="AV22" s="801"/>
      <c r="AW22" s="801"/>
      <c r="AX22" s="801"/>
      <c r="AY22" s="801"/>
      <c r="AZ22" s="801"/>
      <c r="BA22" s="801"/>
      <c r="BB22" s="801"/>
      <c r="BC22" s="801"/>
      <c r="BD22" s="801"/>
      <c r="BE22" s="801"/>
      <c r="BF22" s="801"/>
      <c r="BG22" s="801"/>
      <c r="BH22" s="801"/>
      <c r="BI22" s="801"/>
      <c r="BJ22" s="801"/>
      <c r="BK22" s="801"/>
      <c r="BL22" s="801"/>
      <c r="BM22" s="801"/>
      <c r="BN22" s="801"/>
      <c r="BO22" s="801"/>
      <c r="BP22" s="801"/>
      <c r="BQ22" s="801"/>
      <c r="BR22" s="801"/>
      <c r="BS22" s="857"/>
      <c r="BT22" s="857"/>
      <c r="BU22" s="857"/>
      <c r="BV22" s="857"/>
      <c r="BW22" s="857"/>
      <c r="BX22" s="857"/>
      <c r="BY22" s="857"/>
      <c r="BZ22" s="857"/>
      <c r="CA22" s="857"/>
      <c r="CB22" s="857"/>
      <c r="CC22" s="857"/>
      <c r="CD22" s="857"/>
      <c r="CE22" s="857"/>
      <c r="CF22" s="1196"/>
      <c r="CG22" s="1196"/>
      <c r="CH22" s="1196"/>
      <c r="CI22" s="1196"/>
      <c r="CJ22" s="1196"/>
      <c r="CK22" s="1196"/>
      <c r="CL22" s="1196"/>
      <c r="CM22" s="1196"/>
      <c r="CN22" s="1196"/>
      <c r="CO22" s="800"/>
      <c r="CP22" s="801"/>
      <c r="CQ22" s="801"/>
      <c r="CR22" s="801"/>
      <c r="CS22" s="801"/>
      <c r="CT22" s="801"/>
      <c r="CU22" s="801"/>
      <c r="CV22" s="801"/>
      <c r="CW22" s="801"/>
      <c r="CX22" s="801"/>
      <c r="CY22" s="801"/>
      <c r="CZ22" s="801"/>
      <c r="DA22" s="801"/>
      <c r="DB22" s="801"/>
      <c r="DC22" s="801"/>
      <c r="DD22" s="801"/>
      <c r="DE22" s="803"/>
      <c r="DF22" s="801"/>
      <c r="DG22" s="801"/>
      <c r="DH22" s="801"/>
      <c r="DI22" s="801"/>
      <c r="DJ22" s="801"/>
      <c r="DK22" s="801"/>
      <c r="DL22" s="801"/>
      <c r="DM22" s="801"/>
      <c r="DN22" s="801"/>
      <c r="DO22" s="803"/>
      <c r="DP22" s="801"/>
      <c r="DQ22" s="801"/>
      <c r="DR22" s="801"/>
      <c r="DS22" s="801"/>
      <c r="DT22" s="801"/>
      <c r="DU22" s="801"/>
      <c r="DV22" s="801"/>
      <c r="DW22" s="801"/>
      <c r="DX22" s="801"/>
      <c r="DY22" s="801"/>
      <c r="DZ22" s="801"/>
      <c r="EA22" s="803"/>
      <c r="EB22" s="879"/>
      <c r="EC22" s="879"/>
      <c r="ED22" s="879"/>
      <c r="EE22" s="879"/>
      <c r="EF22" s="879"/>
      <c r="EG22" s="879"/>
      <c r="EH22" s="879"/>
      <c r="EI22" s="879"/>
      <c r="EJ22" s="879"/>
      <c r="EK22" s="879"/>
      <c r="EL22" s="879"/>
      <c r="EM22" s="879"/>
      <c r="EN22" s="877"/>
      <c r="EO22" s="858"/>
      <c r="EP22" s="858"/>
      <c r="EQ22" s="858"/>
      <c r="ER22" s="858"/>
      <c r="ES22" s="858"/>
      <c r="ET22" s="858"/>
      <c r="EU22" s="858"/>
      <c r="EV22" s="858"/>
      <c r="EW22" s="858"/>
      <c r="EX22" s="858"/>
      <c r="EY22" s="858"/>
      <c r="EZ22" s="858"/>
      <c r="FA22" s="858"/>
      <c r="FB22" s="858"/>
      <c r="FC22" s="858"/>
      <c r="FD22" s="858"/>
      <c r="FE22" s="858"/>
      <c r="FF22" s="858"/>
      <c r="FG22" s="858"/>
      <c r="FH22" s="858"/>
      <c r="FI22" s="858"/>
      <c r="FJ22" s="858"/>
      <c r="FK22" s="858"/>
      <c r="FL22" s="858"/>
      <c r="FM22" s="858"/>
      <c r="FN22" s="858"/>
      <c r="FO22" s="858"/>
      <c r="FP22" s="167"/>
      <c r="FQ22" s="167"/>
    </row>
    <row r="23" spans="2:173" s="524" customFormat="1" ht="14.25" customHeight="1">
      <c r="B23" s="513">
        <v>14</v>
      </c>
      <c r="C23" s="521" t="s">
        <v>700</v>
      </c>
      <c r="D23" s="841" t="s">
        <v>369</v>
      </c>
      <c r="E23" s="525">
        <f t="shared" si="6"/>
        <v>37838162.233333334</v>
      </c>
      <c r="F23" s="525">
        <v>1602472.6666666665</v>
      </c>
      <c r="G23" s="736">
        <f>'Notes - Dec25'!C125</f>
        <v>39440634.899999999</v>
      </c>
      <c r="H23" s="799" t="s">
        <v>398</v>
      </c>
      <c r="I23" s="738">
        <f t="shared" si="5"/>
        <v>37838162.233333334</v>
      </c>
      <c r="J23" s="944">
        <f t="shared" ref="J23:J24" si="10">F23</f>
        <v>1602472.6666666665</v>
      </c>
      <c r="K23" s="756">
        <f>SUM(I23:J23)</f>
        <v>39440634.899999999</v>
      </c>
      <c r="L23" s="726">
        <v>45273</v>
      </c>
      <c r="M23" s="726">
        <v>46279</v>
      </c>
      <c r="N23" s="527">
        <v>0.13250000000000001</v>
      </c>
      <c r="O23" s="226" t="s">
        <v>397</v>
      </c>
      <c r="P23" s="528" t="s">
        <v>702</v>
      </c>
      <c r="Q23" s="523"/>
      <c r="R23" s="533"/>
      <c r="S23" s="800"/>
      <c r="T23" s="801"/>
      <c r="U23" s="801"/>
      <c r="V23" s="801"/>
      <c r="W23" s="801"/>
      <c r="X23" s="801"/>
      <c r="Y23" s="801"/>
      <c r="Z23" s="802"/>
      <c r="AA23" s="801"/>
      <c r="AB23" s="801"/>
      <c r="AC23" s="801"/>
      <c r="AD23" s="801"/>
      <c r="AE23" s="801"/>
      <c r="AF23" s="801"/>
      <c r="AG23" s="801"/>
      <c r="AH23" s="801"/>
      <c r="AI23" s="801"/>
      <c r="AJ23" s="801"/>
      <c r="AK23" s="801"/>
      <c r="AL23" s="801"/>
      <c r="AM23" s="801"/>
      <c r="AN23" s="801"/>
      <c r="AO23" s="801"/>
      <c r="AP23" s="801"/>
      <c r="AQ23" s="801"/>
      <c r="AR23" s="801"/>
      <c r="AS23" s="801"/>
      <c r="AT23" s="801"/>
      <c r="AU23" s="801"/>
      <c r="AV23" s="801"/>
      <c r="AW23" s="801"/>
      <c r="AX23" s="801">
        <v>38782384.560000002</v>
      </c>
      <c r="AY23" s="801"/>
      <c r="AZ23" s="801"/>
      <c r="BA23" s="801"/>
      <c r="BB23" s="801"/>
      <c r="BC23" s="801"/>
      <c r="BD23" s="801"/>
      <c r="BE23" s="801"/>
      <c r="BF23" s="801"/>
      <c r="BG23" s="801"/>
      <c r="BH23" s="801"/>
      <c r="BI23" s="801"/>
      <c r="BJ23" s="801"/>
      <c r="BK23" s="801"/>
      <c r="BL23" s="801"/>
      <c r="BM23" s="801"/>
      <c r="BN23" s="801"/>
      <c r="BO23" s="801"/>
      <c r="BP23" s="801">
        <v>38192000</v>
      </c>
      <c r="BQ23" s="801"/>
      <c r="BR23" s="801"/>
      <c r="BS23" s="857"/>
      <c r="BT23" s="857"/>
      <c r="BU23" s="857"/>
      <c r="BV23" s="857"/>
      <c r="BW23" s="857"/>
      <c r="BX23" s="857"/>
      <c r="BY23" s="857"/>
      <c r="BZ23" s="857"/>
      <c r="CA23" s="857"/>
      <c r="CB23" s="857"/>
      <c r="CC23" s="857"/>
      <c r="CD23" s="857"/>
      <c r="CE23" s="857"/>
      <c r="CF23" s="1196"/>
      <c r="CG23" s="1196"/>
      <c r="CH23" s="1196"/>
      <c r="CI23" s="1196"/>
      <c r="CJ23" s="1196"/>
      <c r="CK23" s="1196"/>
      <c r="CL23" s="1196"/>
      <c r="CM23" s="1196"/>
      <c r="CN23" s="1196"/>
      <c r="CO23" s="800"/>
      <c r="CP23" s="801"/>
      <c r="CQ23" s="801"/>
      <c r="CR23" s="801"/>
      <c r="CS23" s="801"/>
      <c r="CT23" s="801"/>
      <c r="CU23" s="801"/>
      <c r="CV23" s="801"/>
      <c r="CW23" s="801"/>
      <c r="CX23" s="801"/>
      <c r="CY23" s="801"/>
      <c r="CZ23" s="801"/>
      <c r="DA23" s="801"/>
      <c r="DB23" s="801"/>
      <c r="DC23" s="801"/>
      <c r="DD23" s="801"/>
      <c r="DE23" s="803"/>
      <c r="DF23" s="801"/>
      <c r="DG23" s="801"/>
      <c r="DH23" s="801"/>
      <c r="DI23" s="801"/>
      <c r="DJ23" s="801"/>
      <c r="DK23" s="801">
        <v>2445879.3333333302</v>
      </c>
      <c r="DL23" s="801"/>
      <c r="DM23" s="801"/>
      <c r="DN23" s="801"/>
      <c r="DO23" s="803"/>
      <c r="DP23" s="801"/>
      <c r="DQ23" s="801">
        <v>5201007.7777777798</v>
      </c>
      <c r="DR23" s="801"/>
      <c r="DS23" s="801"/>
      <c r="DT23" s="801"/>
      <c r="DU23" s="801"/>
      <c r="DV23" s="801"/>
      <c r="DW23" s="801">
        <v>4526282.4400000004</v>
      </c>
      <c r="DX23" s="801"/>
      <c r="DY23" s="801"/>
      <c r="DZ23" s="801"/>
      <c r="EA23" s="803"/>
      <c r="EB23" s="879"/>
      <c r="EC23" s="879">
        <v>2558333.5555555602</v>
      </c>
      <c r="ED23" s="879"/>
      <c r="EE23" s="879"/>
      <c r="EF23" s="879"/>
      <c r="EG23" s="879"/>
      <c r="EH23" s="879"/>
      <c r="EI23" s="879">
        <v>2558333.5555555602</v>
      </c>
      <c r="EJ23" s="879"/>
      <c r="EK23" s="879"/>
      <c r="EL23" s="879"/>
      <c r="EM23" s="879"/>
      <c r="EN23" s="877"/>
      <c r="EO23" s="858">
        <v>2347481.89</v>
      </c>
      <c r="EP23" s="858"/>
      <c r="EQ23" s="858"/>
      <c r="ER23" s="858"/>
      <c r="ES23" s="858"/>
      <c r="ET23" s="858"/>
      <c r="EU23" s="858"/>
      <c r="EV23" s="858"/>
      <c r="EW23" s="858"/>
      <c r="EX23" s="858"/>
      <c r="EY23" s="858"/>
      <c r="EZ23" s="858"/>
      <c r="FA23" s="858"/>
      <c r="FB23" s="858"/>
      <c r="FC23" s="858"/>
      <c r="FD23" s="858"/>
      <c r="FE23" s="858"/>
      <c r="FF23" s="858"/>
      <c r="FG23" s="858"/>
      <c r="FH23" s="858"/>
      <c r="FI23" s="858"/>
      <c r="FJ23" s="858"/>
      <c r="FK23" s="858"/>
      <c r="FL23" s="858"/>
      <c r="FM23" s="858"/>
      <c r="FN23" s="858"/>
      <c r="FO23" s="858"/>
      <c r="FP23" s="167">
        <f>SUM(AS23:FE23)</f>
        <v>96611703.112222239</v>
      </c>
      <c r="FQ23" s="167">
        <f>FP23-K23</f>
        <v>57171068.212222241</v>
      </c>
    </row>
    <row r="24" spans="2:173" s="524" customFormat="1" ht="14.25" customHeight="1">
      <c r="B24" s="225">
        <v>15</v>
      </c>
      <c r="C24" s="521" t="s">
        <v>858</v>
      </c>
      <c r="D24" s="841" t="s">
        <v>369</v>
      </c>
      <c r="E24" s="525">
        <f t="shared" si="6"/>
        <v>117016387.22082192</v>
      </c>
      <c r="F24" s="1189">
        <v>894527.21917808219</v>
      </c>
      <c r="G24" s="736">
        <f>'Notes - Dec25'!C98</f>
        <v>117910914.44</v>
      </c>
      <c r="H24" s="799"/>
      <c r="I24" s="738">
        <f>E24</f>
        <v>117016387.22082192</v>
      </c>
      <c r="J24" s="944">
        <f t="shared" si="10"/>
        <v>894527.21917808219</v>
      </c>
      <c r="K24" s="756">
        <f t="shared" ref="K24:K25" si="11">SUM(I24:J24)</f>
        <v>117910914.44</v>
      </c>
      <c r="L24" s="1185"/>
      <c r="M24" s="1185"/>
      <c r="N24" s="1186"/>
      <c r="O24" s="620"/>
      <c r="P24" s="1187"/>
      <c r="Q24" s="523"/>
      <c r="R24" s="533"/>
      <c r="S24" s="800"/>
      <c r="T24" s="801"/>
      <c r="U24" s="801"/>
      <c r="V24" s="801"/>
      <c r="W24" s="801"/>
      <c r="X24" s="801"/>
      <c r="Y24" s="801"/>
      <c r="Z24" s="802"/>
      <c r="AA24" s="801"/>
      <c r="AB24" s="801"/>
      <c r="AC24" s="801"/>
      <c r="AD24" s="801"/>
      <c r="AE24" s="801"/>
      <c r="AF24" s="801"/>
      <c r="AG24" s="801"/>
      <c r="AH24" s="801"/>
      <c r="AI24" s="801"/>
      <c r="AJ24" s="801"/>
      <c r="AK24" s="801"/>
      <c r="AL24" s="801"/>
      <c r="AM24" s="801"/>
      <c r="AN24" s="801"/>
      <c r="AO24" s="801"/>
      <c r="AP24" s="801"/>
      <c r="AQ24" s="801"/>
      <c r="AR24" s="801"/>
      <c r="AS24" s="801"/>
      <c r="AT24" s="801"/>
      <c r="AU24" s="801"/>
      <c r="AV24" s="801"/>
      <c r="AW24" s="801"/>
      <c r="AX24" s="801"/>
      <c r="AY24" s="801"/>
      <c r="AZ24" s="801"/>
      <c r="BA24" s="801"/>
      <c r="BB24" s="801"/>
      <c r="BC24" s="801"/>
      <c r="BD24" s="801"/>
      <c r="BE24" s="801"/>
      <c r="BF24" s="801"/>
      <c r="BG24" s="801"/>
      <c r="BH24" s="801"/>
      <c r="BI24" s="801"/>
      <c r="BJ24" s="801"/>
      <c r="BK24" s="801"/>
      <c r="BL24" s="801"/>
      <c r="BM24" s="801"/>
      <c r="BN24" s="801"/>
      <c r="BO24" s="801"/>
      <c r="BP24" s="801"/>
      <c r="BQ24" s="801"/>
      <c r="BR24" s="801"/>
      <c r="BS24" s="857"/>
      <c r="BT24" s="857"/>
      <c r="BU24" s="857"/>
      <c r="BV24" s="857"/>
      <c r="BW24" s="857"/>
      <c r="BX24" s="857"/>
      <c r="BY24" s="857"/>
      <c r="BZ24" s="857"/>
      <c r="CA24" s="857"/>
      <c r="CB24" s="857"/>
      <c r="CC24" s="857"/>
      <c r="CD24" s="857"/>
      <c r="CE24" s="857"/>
      <c r="CF24" s="1196"/>
      <c r="CG24" s="1196"/>
      <c r="CH24" s="1196"/>
      <c r="CI24" s="1196"/>
      <c r="CJ24" s="1196"/>
      <c r="CK24" s="1196"/>
      <c r="CL24" s="1196"/>
      <c r="CM24" s="1196"/>
      <c r="CN24" s="1196"/>
      <c r="CO24" s="800"/>
      <c r="CP24" s="801"/>
      <c r="CQ24" s="801"/>
      <c r="CR24" s="801"/>
      <c r="CS24" s="801"/>
      <c r="CT24" s="801"/>
      <c r="CU24" s="801"/>
      <c r="CV24" s="801"/>
      <c r="CW24" s="801"/>
      <c r="CX24" s="801"/>
      <c r="CY24" s="801"/>
      <c r="CZ24" s="801"/>
      <c r="DA24" s="801"/>
      <c r="DB24" s="801"/>
      <c r="DC24" s="801"/>
      <c r="DD24" s="801"/>
      <c r="DE24" s="803"/>
      <c r="DF24" s="801"/>
      <c r="DG24" s="801"/>
      <c r="DH24" s="801"/>
      <c r="DI24" s="801"/>
      <c r="DJ24" s="801"/>
      <c r="DK24" s="801"/>
      <c r="DL24" s="801"/>
      <c r="DM24" s="801"/>
      <c r="DN24" s="801"/>
      <c r="DO24" s="803"/>
      <c r="DP24" s="801"/>
      <c r="DQ24" s="801"/>
      <c r="DR24" s="801"/>
      <c r="DS24" s="801"/>
      <c r="DT24" s="801"/>
      <c r="DU24" s="801"/>
      <c r="DV24" s="801"/>
      <c r="DW24" s="801"/>
      <c r="DX24" s="801"/>
      <c r="DY24" s="801"/>
      <c r="DZ24" s="801"/>
      <c r="EA24" s="803"/>
      <c r="EB24" s="1188"/>
      <c r="EC24" s="1188"/>
      <c r="ED24" s="1188"/>
      <c r="EE24" s="1188"/>
      <c r="EF24" s="1188"/>
      <c r="EG24" s="1188"/>
      <c r="EH24" s="1188"/>
      <c r="EI24" s="1188"/>
      <c r="EJ24" s="1188"/>
      <c r="EK24" s="1188"/>
      <c r="EL24" s="1188"/>
      <c r="EM24" s="1188"/>
      <c r="EN24" s="877"/>
      <c r="EO24" s="858"/>
      <c r="EP24" s="858"/>
      <c r="EQ24" s="858"/>
      <c r="ER24" s="858"/>
      <c r="ES24" s="858"/>
      <c r="ET24" s="858"/>
      <c r="EU24" s="858"/>
      <c r="EV24" s="858"/>
      <c r="EW24" s="858"/>
      <c r="EX24" s="858"/>
      <c r="EY24" s="858"/>
      <c r="EZ24" s="858"/>
      <c r="FA24" s="858"/>
      <c r="FB24" s="858"/>
      <c r="FC24" s="858"/>
      <c r="FD24" s="858"/>
      <c r="FE24" s="858"/>
      <c r="FF24" s="858"/>
      <c r="FG24" s="858"/>
      <c r="FH24" s="858"/>
      <c r="FI24" s="858"/>
      <c r="FJ24" s="858"/>
      <c r="FK24" s="858"/>
      <c r="FL24" s="858"/>
      <c r="FM24" s="858"/>
      <c r="FN24" s="858"/>
      <c r="FO24" s="858"/>
      <c r="FP24" s="167"/>
      <c r="FQ24" s="167"/>
    </row>
    <row r="25" spans="2:173" s="524" customFormat="1" ht="14.25" customHeight="1" thickBot="1">
      <c r="B25" s="225">
        <v>16</v>
      </c>
      <c r="C25" s="805" t="s">
        <v>678</v>
      </c>
      <c r="D25" s="583" t="s">
        <v>369</v>
      </c>
      <c r="E25" s="744">
        <f>G25-F25</f>
        <v>23939835.899999999</v>
      </c>
      <c r="F25" s="744">
        <v>1098219.6000000001</v>
      </c>
      <c r="G25" s="797">
        <f>'Notes - Dec25'!C115</f>
        <v>25038055.5</v>
      </c>
      <c r="H25" s="798" t="s">
        <v>398</v>
      </c>
      <c r="I25" s="738">
        <f>E25</f>
        <v>23939835.899999999</v>
      </c>
      <c r="J25" s="944">
        <f>F25</f>
        <v>1098219.6000000001</v>
      </c>
      <c r="K25" s="756">
        <f t="shared" si="11"/>
        <v>25038055.5</v>
      </c>
      <c r="L25" s="745">
        <v>45149</v>
      </c>
      <c r="M25" s="746">
        <v>46245</v>
      </c>
      <c r="N25" s="747">
        <v>0.13500000000000001</v>
      </c>
      <c r="O25" s="793" t="s">
        <v>397</v>
      </c>
      <c r="P25" s="748" t="s">
        <v>679</v>
      </c>
      <c r="Q25" s="749"/>
      <c r="R25" s="750"/>
      <c r="S25" s="751"/>
      <c r="T25" s="752"/>
      <c r="U25" s="752"/>
      <c r="V25" s="752"/>
      <c r="W25" s="752"/>
      <c r="X25" s="752"/>
      <c r="Y25" s="752"/>
      <c r="Z25" s="753"/>
      <c r="AA25" s="752"/>
      <c r="AB25" s="752"/>
      <c r="AC25" s="752"/>
      <c r="AD25" s="752"/>
      <c r="AE25" s="752"/>
      <c r="AF25" s="752"/>
      <c r="AG25" s="752"/>
      <c r="AH25" s="752"/>
      <c r="AI25" s="752"/>
      <c r="AJ25" s="752"/>
      <c r="AK25" s="752"/>
      <c r="AL25" s="752"/>
      <c r="AM25" s="752"/>
      <c r="AN25" s="752"/>
      <c r="AO25" s="752"/>
      <c r="AP25" s="752"/>
      <c r="AQ25" s="752">
        <v>24000000</v>
      </c>
      <c r="AR25" s="752"/>
      <c r="AS25" s="752"/>
      <c r="AT25" s="752"/>
      <c r="AU25" s="752"/>
      <c r="AV25" s="752"/>
      <c r="AW25" s="752"/>
      <c r="AX25" s="752"/>
      <c r="AY25" s="752"/>
      <c r="AZ25" s="752"/>
      <c r="BA25" s="752"/>
      <c r="BB25" s="752"/>
      <c r="BC25" s="752">
        <v>23997600</v>
      </c>
      <c r="BD25" s="752"/>
      <c r="BE25" s="752"/>
      <c r="BF25" s="752"/>
      <c r="BG25" s="752"/>
      <c r="BH25" s="752"/>
      <c r="BI25" s="752"/>
      <c r="BJ25" s="752"/>
      <c r="BK25" s="752"/>
      <c r="BL25" s="752"/>
      <c r="BM25" s="752"/>
      <c r="BN25" s="752"/>
      <c r="BO25" s="752">
        <v>24004800</v>
      </c>
      <c r="BP25" s="752"/>
      <c r="BQ25" s="752"/>
      <c r="BR25" s="752"/>
      <c r="BS25" s="750"/>
      <c r="BT25" s="750"/>
      <c r="BU25" s="750"/>
      <c r="BV25" s="750"/>
      <c r="BW25" s="750"/>
      <c r="BX25" s="750"/>
      <c r="BY25" s="750"/>
      <c r="BZ25" s="750"/>
      <c r="CA25" s="750"/>
      <c r="CB25" s="750"/>
      <c r="CC25" s="750"/>
      <c r="CD25" s="750"/>
      <c r="CE25" s="750"/>
      <c r="CF25" s="1196"/>
      <c r="CG25" s="1196"/>
      <c r="CH25" s="1196"/>
      <c r="CI25" s="1196"/>
      <c r="CJ25" s="1196"/>
      <c r="CK25" s="1196"/>
      <c r="CL25" s="1196"/>
      <c r="CM25" s="1196"/>
      <c r="CN25" s="1196"/>
      <c r="CO25" s="751"/>
      <c r="CP25" s="752"/>
      <c r="CQ25" s="752"/>
      <c r="CR25" s="752"/>
      <c r="CS25" s="752"/>
      <c r="CT25" s="752"/>
      <c r="CU25" s="752"/>
      <c r="CV25" s="752"/>
      <c r="CW25" s="752"/>
      <c r="CX25" s="752"/>
      <c r="CY25" s="752"/>
      <c r="CZ25" s="752"/>
      <c r="DA25" s="752"/>
      <c r="DB25" s="752"/>
      <c r="DC25" s="752"/>
      <c r="DD25" s="752"/>
      <c r="DE25" s="752"/>
      <c r="DF25" s="752"/>
      <c r="DG25" s="752"/>
      <c r="DH25" s="752"/>
      <c r="DI25" s="752"/>
      <c r="DJ25" s="752">
        <v>4968000</v>
      </c>
      <c r="DK25" s="752"/>
      <c r="DL25" s="752"/>
      <c r="DM25" s="752"/>
      <c r="DN25" s="752"/>
      <c r="DO25" s="752"/>
      <c r="DP25" s="752">
        <f>28911600-24000000</f>
        <v>4911600</v>
      </c>
      <c r="DQ25" s="752"/>
      <c r="DR25" s="752"/>
      <c r="DS25" s="752"/>
      <c r="DT25" s="752"/>
      <c r="DU25" s="752"/>
      <c r="DV25" s="752">
        <v>3312165.6</v>
      </c>
      <c r="DW25" s="752"/>
      <c r="DX25" s="752"/>
      <c r="DY25" s="752"/>
      <c r="DZ25" s="752"/>
      <c r="EA25" s="752"/>
      <c r="EB25" s="752">
        <f>27255762.9-24000000</f>
        <v>3255762.8999999985</v>
      </c>
      <c r="EC25" s="752"/>
      <c r="ED25" s="752"/>
      <c r="EE25" s="752"/>
      <c r="EF25" s="752"/>
      <c r="EG25" s="752"/>
      <c r="EH25" s="752">
        <v>1656331.2</v>
      </c>
      <c r="EI25" s="752"/>
      <c r="EJ25" s="754"/>
      <c r="EK25" s="754"/>
      <c r="EL25" s="754"/>
      <c r="EM25" s="754"/>
      <c r="EN25" s="754">
        <f>25634125.8-24000000</f>
        <v>1634125.8000000007</v>
      </c>
      <c r="EO25" s="754"/>
      <c r="EP25" s="754"/>
      <c r="EQ25" s="754"/>
      <c r="ER25" s="754"/>
      <c r="ES25" s="754"/>
      <c r="ET25" s="754"/>
      <c r="EU25" s="754"/>
      <c r="EV25" s="754"/>
      <c r="EW25" s="754"/>
      <c r="EX25" s="754"/>
      <c r="EY25" s="754"/>
      <c r="EZ25" s="754"/>
      <c r="FA25" s="754"/>
      <c r="FB25" s="754"/>
      <c r="FC25" s="754"/>
      <c r="FD25" s="754"/>
      <c r="FE25" s="754"/>
      <c r="FF25" s="754"/>
      <c r="FG25" s="754"/>
      <c r="FH25" s="754"/>
      <c r="FI25" s="754"/>
      <c r="FJ25" s="754"/>
      <c r="FK25" s="754"/>
      <c r="FL25" s="754"/>
      <c r="FM25" s="754"/>
      <c r="FN25" s="754"/>
      <c r="FO25" s="754"/>
      <c r="FP25" s="167">
        <f>SUM(AS25:FE25)</f>
        <v>67740385.5</v>
      </c>
      <c r="FQ25" s="167">
        <f>FP25-K25</f>
        <v>42702330</v>
      </c>
    </row>
    <row r="26" spans="2:173" customFormat="1" ht="14.25" customHeight="1" thickBot="1">
      <c r="B26" s="1237" t="s">
        <v>399</v>
      </c>
      <c r="C26" s="1238"/>
      <c r="D26" s="511"/>
      <c r="E26" s="1199"/>
      <c r="F26" s="511"/>
      <c r="G26" s="511"/>
      <c r="H26" s="511"/>
      <c r="I26" s="1200">
        <f>SUM(I8:I25)</f>
        <v>1428744491.6499989</v>
      </c>
      <c r="J26" s="1201">
        <f>SUM(J8:J25)</f>
        <v>24772015.970001161</v>
      </c>
      <c r="K26" s="1202">
        <f>SUM(K8:K25)</f>
        <v>1453516507.6200001</v>
      </c>
      <c r="L26" s="511"/>
      <c r="M26" s="511"/>
      <c r="N26" s="511"/>
      <c r="O26" s="511"/>
      <c r="P26" s="511"/>
      <c r="Q26" s="1203">
        <f>SUM(Q8:Q8)</f>
        <v>0</v>
      </c>
      <c r="R26" s="1203">
        <f>SUM(R8:R8)</f>
        <v>0</v>
      </c>
      <c r="S26" s="1203">
        <f>SUM(S8:S8)</f>
        <v>0</v>
      </c>
      <c r="T26" s="1203">
        <f>SUM(T8:T8)</f>
        <v>0</v>
      </c>
      <c r="U26" s="1203">
        <f>SUM(U8:U8)</f>
        <v>0</v>
      </c>
      <c r="V26" s="1203">
        <f>SUM(V8:V9)</f>
        <v>0</v>
      </c>
      <c r="W26" s="1203">
        <f>SUM(W8:W9)</f>
        <v>0</v>
      </c>
      <c r="X26" s="1203">
        <f>SUM(X8:X9)</f>
        <v>13166666.66</v>
      </c>
      <c r="Y26" s="1203">
        <f>SUM(Y8:Y9)</f>
        <v>0</v>
      </c>
      <c r="Z26" s="1203">
        <f>SUM(Z8:Z9)</f>
        <v>0</v>
      </c>
      <c r="AA26" s="1203">
        <f>SUM(AA8:AA10)</f>
        <v>0</v>
      </c>
      <c r="AB26" s="1203">
        <f>SUM(AB8:AB10)</f>
        <v>0</v>
      </c>
      <c r="AC26" s="1203">
        <f>SUM(AC8:AC10)</f>
        <v>0</v>
      </c>
      <c r="AD26" s="1203">
        <f>SUM(AD8:AD11)</f>
        <v>13166666.66</v>
      </c>
      <c r="AE26" s="1203">
        <f t="shared" ref="AE26:BJ26" si="12">SUM(AE8:AE25)</f>
        <v>0</v>
      </c>
      <c r="AF26" s="1203">
        <f t="shared" si="12"/>
        <v>0</v>
      </c>
      <c r="AG26" s="1203">
        <f t="shared" si="12"/>
        <v>0</v>
      </c>
      <c r="AH26" s="1203">
        <f t="shared" si="12"/>
        <v>0</v>
      </c>
      <c r="AI26" s="1203">
        <f t="shared" si="12"/>
        <v>0</v>
      </c>
      <c r="AJ26" s="1203">
        <f t="shared" si="12"/>
        <v>13166666.66</v>
      </c>
      <c r="AK26" s="1203">
        <f t="shared" si="12"/>
        <v>0</v>
      </c>
      <c r="AL26" s="1203">
        <f t="shared" si="12"/>
        <v>0</v>
      </c>
      <c r="AM26" s="1203">
        <f t="shared" si="12"/>
        <v>0</v>
      </c>
      <c r="AN26" s="1203">
        <f t="shared" si="12"/>
        <v>0</v>
      </c>
      <c r="AO26" s="1203">
        <f t="shared" si="12"/>
        <v>0</v>
      </c>
      <c r="AP26" s="1203">
        <f t="shared" si="12"/>
        <v>13166666.66</v>
      </c>
      <c r="AQ26" s="1203">
        <f t="shared" si="12"/>
        <v>24000000</v>
      </c>
      <c r="AR26" s="1203">
        <f t="shared" si="12"/>
        <v>36037500</v>
      </c>
      <c r="AS26" s="1203">
        <f t="shared" si="12"/>
        <v>43300000</v>
      </c>
      <c r="AT26" s="1203">
        <f t="shared" si="12"/>
        <v>0</v>
      </c>
      <c r="AU26" s="1203">
        <f t="shared" si="12"/>
        <v>37084706.670000002</v>
      </c>
      <c r="AV26" s="1203">
        <f t="shared" si="12"/>
        <v>13166666.66</v>
      </c>
      <c r="AW26" s="1203">
        <f t="shared" si="12"/>
        <v>16159909.09</v>
      </c>
      <c r="AX26" s="1203">
        <f t="shared" si="12"/>
        <v>113167085.56</v>
      </c>
      <c r="AY26" s="1203">
        <f t="shared" si="12"/>
        <v>0</v>
      </c>
      <c r="AZ26" s="1203">
        <f t="shared" si="12"/>
        <v>53453909.090000004</v>
      </c>
      <c r="BA26" s="1203">
        <f t="shared" si="12"/>
        <v>0</v>
      </c>
      <c r="BB26" s="1203">
        <f t="shared" si="12"/>
        <v>44284166.659999996</v>
      </c>
      <c r="BC26" s="1203">
        <f t="shared" si="12"/>
        <v>40157509.090000004</v>
      </c>
      <c r="BD26" s="1203">
        <f t="shared" si="12"/>
        <v>145912500</v>
      </c>
      <c r="BE26" s="1203">
        <f t="shared" si="12"/>
        <v>43300000</v>
      </c>
      <c r="BF26" s="1203">
        <f t="shared" si="12"/>
        <v>53416615.090000004</v>
      </c>
      <c r="BG26" s="1203">
        <f t="shared" si="12"/>
        <v>36689400</v>
      </c>
      <c r="BH26" s="1203">
        <f t="shared" si="12"/>
        <v>0</v>
      </c>
      <c r="BI26" s="1203">
        <f t="shared" si="12"/>
        <v>16159909.09</v>
      </c>
      <c r="BJ26" s="1203">
        <f t="shared" si="12"/>
        <v>145912500</v>
      </c>
      <c r="BK26" s="1203">
        <f t="shared" ref="BK26:CE26" si="13">SUM(BK8:BK25)</f>
        <v>44362500</v>
      </c>
      <c r="BL26" s="1203">
        <f t="shared" si="13"/>
        <v>53528497.090000004</v>
      </c>
      <c r="BM26" s="1203">
        <f t="shared" si="13"/>
        <v>0</v>
      </c>
      <c r="BN26" s="1203">
        <f t="shared" si="13"/>
        <v>143527740</v>
      </c>
      <c r="BO26" s="1203">
        <f t="shared" si="13"/>
        <v>40164709.090000004</v>
      </c>
      <c r="BP26" s="1203">
        <f t="shared" si="13"/>
        <v>132192000</v>
      </c>
      <c r="BQ26" s="1203">
        <f t="shared" si="13"/>
        <v>44362500</v>
      </c>
      <c r="BR26" s="1203">
        <f t="shared" si="13"/>
        <v>16159909.09</v>
      </c>
      <c r="BS26" s="1203">
        <f t="shared" si="13"/>
        <v>37801200</v>
      </c>
      <c r="BT26" s="1203">
        <f t="shared" si="13"/>
        <v>0</v>
      </c>
      <c r="BU26" s="1203">
        <f t="shared" si="13"/>
        <v>50159909.090000004</v>
      </c>
      <c r="BV26" s="1203">
        <f t="shared" si="13"/>
        <v>0</v>
      </c>
      <c r="BW26" s="1203">
        <f t="shared" si="13"/>
        <v>44362500</v>
      </c>
      <c r="BX26" s="1203">
        <f t="shared" si="13"/>
        <v>16159909.09</v>
      </c>
      <c r="BY26" s="1203">
        <f t="shared" si="13"/>
        <v>16159909.09</v>
      </c>
      <c r="BZ26" s="1203">
        <f t="shared" si="13"/>
        <v>31117500</v>
      </c>
      <c r="CA26" s="1203">
        <f t="shared" si="13"/>
        <v>0</v>
      </c>
      <c r="CB26" s="1203">
        <f t="shared" si="13"/>
        <v>34000000</v>
      </c>
      <c r="CC26" s="1203">
        <f t="shared" si="13"/>
        <v>44362500</v>
      </c>
      <c r="CD26" s="1203">
        <f t="shared" si="13"/>
        <v>0</v>
      </c>
      <c r="CE26" s="1203">
        <f t="shared" si="13"/>
        <v>0</v>
      </c>
      <c r="CF26" s="1203">
        <f t="shared" ref="CF26:CN26" si="14">SUM(CF8:CF25)</f>
        <v>0</v>
      </c>
      <c r="CG26" s="1203">
        <f t="shared" si="14"/>
        <v>34000000</v>
      </c>
      <c r="CH26" s="1203">
        <f t="shared" si="14"/>
        <v>0</v>
      </c>
      <c r="CI26" s="1203">
        <f t="shared" si="14"/>
        <v>0</v>
      </c>
      <c r="CJ26" s="1203">
        <f t="shared" si="14"/>
        <v>0</v>
      </c>
      <c r="CK26" s="1203">
        <f t="shared" si="14"/>
        <v>0</v>
      </c>
      <c r="CL26" s="1203">
        <f t="shared" si="14"/>
        <v>0</v>
      </c>
      <c r="CM26" s="1203">
        <f t="shared" si="14"/>
        <v>0</v>
      </c>
      <c r="CN26" s="1203">
        <f t="shared" si="14"/>
        <v>34000000</v>
      </c>
      <c r="CO26" s="1203">
        <f t="shared" ref="CO26:DT26" si="15">SUM(CO8:CO25)</f>
        <v>44760653.333333336</v>
      </c>
      <c r="CP26" s="1203">
        <f t="shared" si="15"/>
        <v>0</v>
      </c>
      <c r="CQ26" s="1203">
        <f t="shared" si="15"/>
        <v>0</v>
      </c>
      <c r="CR26" s="1203">
        <f t="shared" si="15"/>
        <v>0</v>
      </c>
      <c r="CS26" s="1203">
        <f t="shared" si="15"/>
        <v>0</v>
      </c>
      <c r="CT26" s="1203">
        <f t="shared" si="15"/>
        <v>0</v>
      </c>
      <c r="CU26" s="1203">
        <f t="shared" si="15"/>
        <v>0</v>
      </c>
      <c r="CV26" s="1203">
        <f t="shared" si="15"/>
        <v>0</v>
      </c>
      <c r="CW26" s="1203">
        <f t="shared" si="15"/>
        <v>7691479.9966666671</v>
      </c>
      <c r="CX26" s="1203">
        <f t="shared" si="15"/>
        <v>0</v>
      </c>
      <c r="CY26" s="1203">
        <f t="shared" si="15"/>
        <v>0</v>
      </c>
      <c r="CZ26" s="1203">
        <f t="shared" si="15"/>
        <v>2826046.666666667</v>
      </c>
      <c r="DA26" s="1203">
        <f t="shared" si="15"/>
        <v>0</v>
      </c>
      <c r="DB26" s="1203">
        <f t="shared" si="15"/>
        <v>0</v>
      </c>
      <c r="DC26" s="1203">
        <f t="shared" si="15"/>
        <v>6810501.9966666671</v>
      </c>
      <c r="DD26" s="1203">
        <f t="shared" si="15"/>
        <v>0</v>
      </c>
      <c r="DE26" s="1203">
        <f t="shared" si="15"/>
        <v>7943609.7682465799</v>
      </c>
      <c r="DF26" s="1203">
        <f t="shared" si="15"/>
        <v>2921306.666666667</v>
      </c>
      <c r="DG26" s="1203">
        <f t="shared" si="15"/>
        <v>0</v>
      </c>
      <c r="DH26" s="1203">
        <f t="shared" si="15"/>
        <v>7388223.7888219198</v>
      </c>
      <c r="DI26" s="1203">
        <f t="shared" si="15"/>
        <v>6084232.9966666671</v>
      </c>
      <c r="DJ26" s="1203">
        <f t="shared" si="15"/>
        <v>4968000</v>
      </c>
      <c r="DK26" s="1203">
        <f t="shared" si="15"/>
        <v>15802218.57705936</v>
      </c>
      <c r="DL26" s="1203">
        <f t="shared" si="15"/>
        <v>2857800</v>
      </c>
      <c r="DM26" s="1203">
        <f t="shared" si="15"/>
        <v>0</v>
      </c>
      <c r="DN26" s="1203">
        <f t="shared" si="15"/>
        <v>18856397.323726028</v>
      </c>
      <c r="DO26" s="1203">
        <f t="shared" si="15"/>
        <v>5267715.9966666671</v>
      </c>
      <c r="DP26" s="1203">
        <f t="shared" si="15"/>
        <v>4911600</v>
      </c>
      <c r="DQ26" s="1203">
        <f t="shared" si="15"/>
        <v>17433768.566599701</v>
      </c>
      <c r="DR26" s="1203">
        <f t="shared" si="15"/>
        <v>8980640.9166666642</v>
      </c>
      <c r="DS26" s="1203">
        <f t="shared" si="15"/>
        <v>7359349.3333333302</v>
      </c>
      <c r="DT26" s="1203">
        <f t="shared" si="15"/>
        <v>17779725.993821919</v>
      </c>
      <c r="DU26" s="1203">
        <f t="shared" ref="DU26:EZ26" si="16">SUM(DU8:DU25)</f>
        <v>8619234.208333334</v>
      </c>
      <c r="DV26" s="1203">
        <f t="shared" si="16"/>
        <v>15332229.180909099</v>
      </c>
      <c r="DW26" s="1203">
        <f t="shared" si="16"/>
        <v>20435235.008630142</v>
      </c>
      <c r="DX26" s="1203">
        <f t="shared" si="16"/>
        <v>11805273.196347034</v>
      </c>
      <c r="DY26" s="1203">
        <f t="shared" si="16"/>
        <v>12448436.53681818</v>
      </c>
      <c r="DZ26" s="1203">
        <f t="shared" si="16"/>
        <v>13329509.900392691</v>
      </c>
      <c r="EA26" s="1203">
        <f t="shared" si="16"/>
        <v>7515341.333333334</v>
      </c>
      <c r="EB26" s="1203">
        <f t="shared" si="16"/>
        <v>8173061.6381818186</v>
      </c>
      <c r="EC26" s="1203">
        <f t="shared" si="16"/>
        <v>10897404.59437748</v>
      </c>
      <c r="ED26" s="1203">
        <f t="shared" si="16"/>
        <v>11387914.5205479</v>
      </c>
      <c r="EE26" s="1203">
        <f t="shared" si="16"/>
        <v>9213351.211818181</v>
      </c>
      <c r="EF26" s="1203">
        <f t="shared" si="16"/>
        <v>12001609.18048859</v>
      </c>
      <c r="EG26" s="1203">
        <f t="shared" si="16"/>
        <v>4103361</v>
      </c>
      <c r="EH26" s="1203">
        <f t="shared" si="16"/>
        <v>5480896.8854545504</v>
      </c>
      <c r="EI26" s="1203">
        <f t="shared" si="16"/>
        <v>18478464.86514461</v>
      </c>
      <c r="EJ26" s="1203">
        <f t="shared" si="16"/>
        <v>11387914.5205479</v>
      </c>
      <c r="EK26" s="1203">
        <f t="shared" si="16"/>
        <v>5645965.36045455</v>
      </c>
      <c r="EL26" s="1203">
        <f t="shared" si="16"/>
        <v>8966727.5163470302</v>
      </c>
      <c r="EM26" s="1203">
        <f t="shared" si="16"/>
        <v>10711197.369095892</v>
      </c>
      <c r="EN26" s="1203">
        <f t="shared" si="16"/>
        <v>4365958.4327272708</v>
      </c>
      <c r="EO26" s="1203">
        <f t="shared" si="16"/>
        <v>8908051.7530137002</v>
      </c>
      <c r="EP26" s="1203">
        <f t="shared" si="16"/>
        <v>8774294.7945205495</v>
      </c>
      <c r="EQ26" s="1203">
        <f t="shared" si="16"/>
        <v>2185466.1063636402</v>
      </c>
      <c r="ER26" s="1203">
        <f t="shared" si="16"/>
        <v>6192619.8798630098</v>
      </c>
      <c r="ES26" s="1203">
        <f t="shared" si="16"/>
        <v>2051680.5</v>
      </c>
      <c r="ET26" s="1203">
        <f t="shared" si="16"/>
        <v>1639099.58</v>
      </c>
      <c r="EU26" s="1203">
        <f t="shared" si="16"/>
        <v>3678706.8493150701</v>
      </c>
      <c r="EV26" s="1203">
        <f t="shared" si="16"/>
        <v>5631728.2191780796</v>
      </c>
      <c r="EW26" s="1203">
        <f t="shared" si="16"/>
        <v>1057100.45409091</v>
      </c>
      <c r="EX26" s="1203">
        <f t="shared" si="16"/>
        <v>2820341.9178082198</v>
      </c>
      <c r="EY26" s="1203">
        <f t="shared" si="16"/>
        <v>2018229</v>
      </c>
      <c r="EZ26" s="1203">
        <f t="shared" si="16"/>
        <v>570121.59363636398</v>
      </c>
      <c r="FA26" s="1203">
        <f t="shared" ref="FA26:FO26" si="17">SUM(FA8:FA25)</f>
        <v>2820341.9178082198</v>
      </c>
      <c r="FB26" s="1203">
        <f t="shared" si="17"/>
        <v>2846978.63013699</v>
      </c>
      <c r="FC26" s="1203">
        <f t="shared" si="17"/>
        <v>0</v>
      </c>
      <c r="FD26" s="1203">
        <f t="shared" si="17"/>
        <v>1859790.6849315099</v>
      </c>
      <c r="FE26" s="1203">
        <f t="shared" si="17"/>
        <v>0</v>
      </c>
      <c r="FF26" s="1203">
        <f t="shared" si="17"/>
        <v>0</v>
      </c>
      <c r="FG26" s="1203">
        <f t="shared" si="17"/>
        <v>1859790.6849315099</v>
      </c>
      <c r="FH26" s="1203">
        <f t="shared" si="17"/>
        <v>0</v>
      </c>
      <c r="FI26" s="1203">
        <f t="shared" si="17"/>
        <v>0</v>
      </c>
      <c r="FJ26" s="1203">
        <f t="shared" si="17"/>
        <v>940113.97260274005</v>
      </c>
      <c r="FK26" s="1203">
        <f t="shared" si="17"/>
        <v>0</v>
      </c>
      <c r="FL26" s="1203">
        <f t="shared" si="17"/>
        <v>0</v>
      </c>
      <c r="FM26" s="1203">
        <f t="shared" si="17"/>
        <v>1093393.4246575013</v>
      </c>
      <c r="FN26" s="1203">
        <f t="shared" si="17"/>
        <v>0</v>
      </c>
      <c r="FO26" s="1203">
        <f t="shared" si="17"/>
        <v>0</v>
      </c>
    </row>
    <row r="27" spans="2:173" ht="14.25" customHeight="1">
      <c r="B27" s="453"/>
      <c r="C27" s="401"/>
      <c r="D27" s="410"/>
      <c r="E27" s="625"/>
      <c r="F27" s="511"/>
      <c r="G27" s="859"/>
      <c r="H27" s="511"/>
      <c r="I27" s="511"/>
      <c r="J27" s="511"/>
      <c r="K27" s="511"/>
      <c r="L27" s="511"/>
      <c r="M27" s="410"/>
      <c r="N27" s="410"/>
      <c r="O27" s="410"/>
      <c r="P27" s="410"/>
      <c r="Q27" s="410"/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410"/>
      <c r="AV27" s="410"/>
      <c r="AW27" s="410"/>
      <c r="AX27" s="410"/>
      <c r="AY27" s="410"/>
      <c r="AZ27" s="410"/>
      <c r="BA27" s="410"/>
      <c r="BB27" s="410"/>
      <c r="BC27" s="410"/>
      <c r="BD27" s="410"/>
      <c r="BE27" s="410"/>
      <c r="BF27" s="410"/>
      <c r="BG27" s="410"/>
      <c r="BH27" s="410"/>
      <c r="BI27" s="410"/>
      <c r="BJ27" s="410"/>
      <c r="BK27" s="410"/>
      <c r="BL27" s="410"/>
      <c r="BM27" s="410"/>
      <c r="BN27" s="410"/>
      <c r="BO27" s="410"/>
      <c r="BP27" s="410"/>
      <c r="BQ27" s="410"/>
      <c r="BR27" s="410"/>
      <c r="BS27" s="410"/>
      <c r="BT27" s="410"/>
      <c r="BU27" s="410"/>
      <c r="BV27" s="410"/>
      <c r="BW27" s="410"/>
      <c r="BX27" s="410"/>
      <c r="BY27" s="410"/>
      <c r="BZ27" s="410"/>
      <c r="CA27" s="410"/>
      <c r="CB27" s="410"/>
      <c r="CC27" s="410"/>
      <c r="CD27" s="410"/>
      <c r="CE27" s="410"/>
      <c r="CF27" s="410"/>
      <c r="CG27" s="410"/>
      <c r="CH27" s="410"/>
      <c r="CI27" s="410"/>
      <c r="CJ27" s="410"/>
      <c r="CK27" s="410"/>
      <c r="CL27" s="410"/>
      <c r="CM27" s="410"/>
      <c r="CN27" s="410"/>
      <c r="CO27" s="410"/>
      <c r="CP27" s="410"/>
      <c r="CQ27" s="410"/>
      <c r="CR27" s="410"/>
      <c r="CS27" s="410"/>
      <c r="CT27" s="410"/>
      <c r="CU27" s="410"/>
      <c r="CV27" s="410"/>
      <c r="CW27" s="410"/>
      <c r="CX27" s="410"/>
      <c r="CY27" s="410"/>
      <c r="CZ27" s="410"/>
      <c r="DA27" s="410"/>
      <c r="DB27" s="410"/>
      <c r="DC27" s="410"/>
      <c r="DD27" s="410"/>
      <c r="DE27" s="410"/>
      <c r="DF27" s="410"/>
      <c r="DG27" s="410"/>
      <c r="DH27" s="410"/>
      <c r="DI27" s="410"/>
      <c r="DJ27" s="410"/>
      <c r="DK27" s="410"/>
      <c r="DL27" s="410"/>
      <c r="DM27" s="410"/>
      <c r="DN27" s="410"/>
      <c r="DO27" s="410"/>
      <c r="DR27" s="592"/>
    </row>
    <row r="28" spans="2:173" ht="14.25" customHeight="1">
      <c r="B28" s="453"/>
      <c r="C28" s="401"/>
      <c r="D28" s="410"/>
      <c r="E28" s="625"/>
      <c r="F28" s="511"/>
      <c r="G28" s="859"/>
      <c r="H28" s="511"/>
      <c r="I28" s="860" t="s">
        <v>668</v>
      </c>
      <c r="J28" s="511"/>
      <c r="K28" s="759">
        <f>'Notes - Dec25'!C127</f>
        <v>1453516507.6200004</v>
      </c>
      <c r="L28" s="759"/>
      <c r="M28" s="410"/>
      <c r="N28" s="410"/>
      <c r="O28" s="410"/>
      <c r="P28" s="410"/>
      <c r="Q28" s="410"/>
      <c r="R28" s="410"/>
      <c r="S28" s="410"/>
      <c r="T28" s="410"/>
      <c r="U28" s="410"/>
      <c r="V28" s="410"/>
      <c r="W28" s="410"/>
      <c r="X28" s="861"/>
      <c r="Y28" s="410"/>
      <c r="Z28" s="410"/>
      <c r="AA28" s="410"/>
      <c r="AB28" s="410"/>
      <c r="AC28" s="410"/>
      <c r="AD28" s="410"/>
      <c r="AE28" s="410"/>
      <c r="AF28" s="410"/>
      <c r="AG28" s="410"/>
      <c r="AH28" s="410"/>
      <c r="AI28" s="410"/>
      <c r="AJ28" s="410"/>
      <c r="AK28" s="410"/>
      <c r="AL28" s="410"/>
      <c r="AM28" s="410"/>
      <c r="AN28" s="410"/>
      <c r="AO28" s="410"/>
      <c r="AP28" s="410"/>
      <c r="AQ28" s="410"/>
      <c r="AR28" s="410"/>
      <c r="AS28" s="410"/>
      <c r="AT28" s="410"/>
      <c r="AU28" s="410"/>
      <c r="AV28" s="410"/>
      <c r="AW28" s="410"/>
      <c r="AX28" s="410"/>
      <c r="AY28" s="410"/>
      <c r="AZ28" s="410"/>
      <c r="BA28" s="410"/>
      <c r="BB28" s="410"/>
      <c r="BC28" s="410"/>
      <c r="BD28" s="410"/>
      <c r="BF28" s="410"/>
      <c r="BG28" s="410"/>
      <c r="BH28" s="410"/>
      <c r="BI28" s="410"/>
      <c r="BJ28" s="410"/>
      <c r="CO28" s="410"/>
      <c r="CP28" s="410"/>
      <c r="CQ28" s="410"/>
      <c r="CR28" s="410"/>
      <c r="CS28" s="410"/>
      <c r="CT28" s="410"/>
      <c r="CU28" s="410"/>
      <c r="CV28" s="410"/>
      <c r="CW28" s="410"/>
      <c r="CX28" s="410"/>
      <c r="CY28" s="410"/>
      <c r="CZ28" s="410"/>
      <c r="DA28" s="410"/>
      <c r="DB28" s="410"/>
      <c r="DC28" s="410"/>
      <c r="DD28" s="410"/>
      <c r="DE28" s="410"/>
      <c r="DF28" s="410"/>
      <c r="DG28" s="410"/>
      <c r="DH28" s="410"/>
      <c r="DI28" s="410"/>
      <c r="DJ28" s="410"/>
      <c r="DK28" s="410"/>
      <c r="DL28" s="410"/>
      <c r="DM28" s="410"/>
      <c r="DN28" s="410"/>
      <c r="DO28" s="410"/>
    </row>
    <row r="29" spans="2:173" ht="14.25" customHeight="1">
      <c r="B29" s="453"/>
      <c r="C29" s="796"/>
      <c r="D29" s="410"/>
      <c r="E29" s="625"/>
      <c r="F29" s="511"/>
      <c r="G29" s="859"/>
      <c r="H29" s="862"/>
      <c r="I29" s="511"/>
      <c r="J29" s="511"/>
      <c r="K29" s="834">
        <f>K26-K28</f>
        <v>0</v>
      </c>
      <c r="L29" s="868" t="s">
        <v>416</v>
      </c>
      <c r="M29" s="410"/>
      <c r="N29" s="410"/>
      <c r="O29" s="448"/>
      <c r="P29" s="410"/>
      <c r="Q29" s="448"/>
      <c r="R29" s="410"/>
      <c r="S29" s="410"/>
      <c r="T29" s="448"/>
      <c r="U29" s="410"/>
      <c r="V29" s="410"/>
      <c r="W29" s="448"/>
      <c r="X29" s="410"/>
      <c r="Y29" s="410"/>
      <c r="Z29" s="410"/>
      <c r="AA29" s="410"/>
      <c r="AB29" s="410"/>
      <c r="AC29" s="410"/>
      <c r="AD29" s="410"/>
      <c r="AE29" s="410"/>
      <c r="AF29" s="851"/>
      <c r="AG29" s="448"/>
      <c r="AH29" s="410"/>
      <c r="AI29" s="410"/>
      <c r="AJ29" s="410"/>
      <c r="AK29" s="410"/>
      <c r="AL29" s="410"/>
      <c r="AM29" s="410"/>
      <c r="AN29" s="410"/>
      <c r="AO29" s="410"/>
      <c r="AP29" s="410"/>
      <c r="AQ29" s="410"/>
      <c r="AR29" s="410"/>
      <c r="AS29" s="410"/>
      <c r="AT29" s="410"/>
      <c r="AU29" s="410"/>
      <c r="AV29" s="410"/>
      <c r="AW29" s="410"/>
      <c r="AX29" s="410"/>
      <c r="AY29" s="410"/>
      <c r="AZ29" s="410"/>
      <c r="BA29" s="410"/>
      <c r="BB29" s="410"/>
      <c r="BC29" s="410"/>
      <c r="BD29" s="410"/>
      <c r="BF29" s="410"/>
      <c r="BG29" s="410"/>
      <c r="BH29" s="410"/>
      <c r="BI29" s="410"/>
      <c r="BJ29" s="410"/>
      <c r="CO29" s="410"/>
      <c r="CP29" s="410"/>
      <c r="CQ29" s="410"/>
      <c r="CR29" s="410"/>
      <c r="CS29" s="410"/>
      <c r="CT29" s="410"/>
      <c r="CU29" s="410"/>
      <c r="CV29" s="410"/>
      <c r="CW29" s="410"/>
      <c r="CX29" s="410"/>
      <c r="CY29" s="410"/>
      <c r="CZ29" s="410"/>
      <c r="DA29" s="410"/>
      <c r="DB29" s="410"/>
      <c r="DC29" s="410"/>
      <c r="DD29" s="410"/>
      <c r="DE29" s="410"/>
      <c r="DF29" s="410"/>
      <c r="DG29" s="410"/>
      <c r="DH29" s="410"/>
      <c r="DI29" s="410"/>
      <c r="DJ29" s="410"/>
      <c r="DK29" s="410"/>
      <c r="DL29" s="410"/>
      <c r="DM29" s="410"/>
      <c r="DN29" s="410"/>
      <c r="DO29" s="410"/>
    </row>
    <row r="30" spans="2:173" ht="14.25" customHeight="1">
      <c r="B30" s="453"/>
      <c r="C30" s="410"/>
      <c r="D30" s="410"/>
      <c r="E30" s="1014"/>
      <c r="F30" s="608"/>
      <c r="G30" s="859"/>
      <c r="H30" s="511"/>
      <c r="I30" s="511"/>
      <c r="J30" s="511"/>
      <c r="K30" s="859"/>
      <c r="L30" s="511"/>
      <c r="M30" s="410"/>
      <c r="N30" s="410"/>
      <c r="O30" s="448"/>
      <c r="P30" s="863"/>
      <c r="Q30" s="410"/>
      <c r="R30" s="410"/>
      <c r="S30" s="410"/>
      <c r="T30" s="448"/>
      <c r="U30" s="410"/>
      <c r="V30" s="410"/>
      <c r="W30" s="448"/>
      <c r="X30" s="448"/>
      <c r="Y30" s="410"/>
      <c r="Z30" s="410"/>
      <c r="AA30" s="410"/>
      <c r="AB30" s="410"/>
      <c r="AC30" s="410"/>
      <c r="AD30" s="410"/>
      <c r="AE30" s="410"/>
      <c r="AF30" s="851"/>
      <c r="AG30" s="410"/>
      <c r="AI30" s="448"/>
      <c r="AJ30" s="410"/>
      <c r="AK30" s="410"/>
      <c r="AL30" s="410"/>
      <c r="AM30" s="410"/>
      <c r="AN30" s="410"/>
      <c r="AO30" s="410"/>
      <c r="AP30" s="410"/>
      <c r="AQ30" s="410"/>
      <c r="AR30" s="410"/>
      <c r="AS30" s="977" t="s">
        <v>418</v>
      </c>
      <c r="AT30" s="998" t="s">
        <v>407</v>
      </c>
      <c r="AU30" s="1000"/>
      <c r="AV30" s="1000"/>
      <c r="AW30" s="1000"/>
      <c r="AX30" s="1000"/>
      <c r="AY30" s="1000"/>
      <c r="AZ30" s="1000"/>
      <c r="BA30" s="511"/>
      <c r="BC30" s="410"/>
      <c r="BD30" s="448"/>
      <c r="BE30" s="448"/>
      <c r="BF30" s="448"/>
      <c r="BG30" s="448"/>
      <c r="BH30" s="448"/>
      <c r="BI30" s="448"/>
      <c r="BJ30" s="448"/>
      <c r="BK30" s="448"/>
      <c r="BL30" s="448"/>
      <c r="BM30" s="448"/>
      <c r="BN30" s="448"/>
      <c r="BO30" s="448"/>
      <c r="BP30" s="448"/>
      <c r="BQ30" s="448"/>
      <c r="BR30" s="448"/>
      <c r="BS30" s="448"/>
      <c r="BT30" s="448"/>
      <c r="BU30" s="448"/>
      <c r="BV30" s="448"/>
      <c r="BW30" s="448"/>
      <c r="BX30" s="448"/>
      <c r="BY30" s="448"/>
      <c r="BZ30" s="448"/>
      <c r="CA30" s="448"/>
      <c r="CB30" s="448"/>
      <c r="CC30" s="448"/>
      <c r="CD30" s="448"/>
      <c r="CE30" s="448"/>
      <c r="CF30" s="448"/>
      <c r="CG30" s="448"/>
      <c r="CH30" s="448"/>
      <c r="CI30" s="448"/>
      <c r="CJ30" s="448"/>
      <c r="CK30" s="448"/>
      <c r="CL30" s="448"/>
      <c r="CM30" s="448"/>
      <c r="CN30" s="448"/>
      <c r="CO30" s="410"/>
      <c r="CP30" s="410"/>
      <c r="CQ30" s="410"/>
      <c r="CR30" s="410"/>
      <c r="CS30" s="410"/>
      <c r="CT30" s="410"/>
      <c r="CU30" s="410"/>
      <c r="CV30" s="410"/>
      <c r="CW30" s="410"/>
      <c r="CX30" s="410"/>
      <c r="CY30" s="410"/>
      <c r="CZ30" s="410"/>
      <c r="DA30" s="410"/>
      <c r="DB30" s="410"/>
      <c r="DC30" s="410"/>
      <c r="DD30" s="410"/>
      <c r="DE30" s="410"/>
      <c r="DF30" s="410"/>
      <c r="DG30" s="410"/>
      <c r="DH30" s="410"/>
      <c r="DI30" s="410"/>
      <c r="DJ30" s="410"/>
      <c r="DK30" s="410"/>
      <c r="DL30" s="410"/>
      <c r="DM30" s="410"/>
      <c r="DN30" s="410"/>
      <c r="DO30" s="410"/>
    </row>
    <row r="31" spans="2:173" ht="14.25" customHeight="1">
      <c r="B31" s="453"/>
      <c r="C31" s="410"/>
      <c r="D31" s="410"/>
      <c r="E31" s="1014"/>
      <c r="F31" s="607"/>
      <c r="G31" s="859"/>
      <c r="H31" s="511"/>
      <c r="I31" s="511" t="s">
        <v>366</v>
      </c>
      <c r="J31" s="511"/>
      <c r="K31" s="728">
        <f>K52</f>
        <v>689164511.60749829</v>
      </c>
      <c r="L31" s="511"/>
      <c r="M31" s="410"/>
      <c r="N31" s="410"/>
      <c r="O31" s="448"/>
      <c r="P31" s="864"/>
      <c r="Q31" s="410"/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851"/>
      <c r="AG31" s="410"/>
      <c r="AH31" s="410"/>
      <c r="AI31" s="410"/>
      <c r="AK31" s="410"/>
      <c r="AL31" s="448"/>
      <c r="AM31" s="410"/>
      <c r="AN31" s="410"/>
      <c r="AO31" s="410"/>
      <c r="AP31" s="410"/>
      <c r="AQ31" s="410"/>
      <c r="AR31" s="410"/>
      <c r="AS31" s="976"/>
      <c r="AT31" s="999">
        <f>AT26+DS26</f>
        <v>7359349.3333333302</v>
      </c>
      <c r="AU31" s="1001"/>
      <c r="AV31" s="1001"/>
      <c r="AW31" s="1001"/>
      <c r="AX31" s="1001"/>
      <c r="AY31" s="1002"/>
      <c r="AZ31" s="1002"/>
      <c r="BA31" s="410"/>
      <c r="BB31" s="410"/>
      <c r="BC31" s="410"/>
      <c r="BD31" s="410"/>
      <c r="BF31" s="410"/>
      <c r="BG31" s="410"/>
      <c r="BH31" s="410"/>
      <c r="BI31" s="410"/>
      <c r="BJ31" s="410"/>
      <c r="CO31" s="410"/>
      <c r="CP31" s="410"/>
      <c r="CQ31" s="410"/>
      <c r="CR31" s="410"/>
      <c r="CS31" s="410"/>
      <c r="CT31" s="410"/>
      <c r="CU31" s="410"/>
      <c r="CV31" s="410"/>
      <c r="CW31" s="410"/>
      <c r="CX31" s="410"/>
      <c r="CY31" s="410"/>
      <c r="CZ31" s="410"/>
      <c r="DA31" s="410"/>
      <c r="DB31" s="410"/>
      <c r="DC31" s="410"/>
      <c r="DD31" s="410"/>
      <c r="DE31" s="410"/>
      <c r="DF31" s="410"/>
      <c r="DG31" s="410"/>
      <c r="DH31" s="410"/>
      <c r="DI31" s="410"/>
      <c r="DJ31" s="410"/>
      <c r="DK31" s="410"/>
      <c r="DL31" s="410"/>
      <c r="DM31" s="410"/>
      <c r="DN31" s="410"/>
      <c r="DO31" s="410"/>
    </row>
    <row r="32" spans="2:173" ht="14.25" customHeight="1">
      <c r="B32" s="865"/>
      <c r="C32" s="410"/>
      <c r="D32" s="415"/>
      <c r="E32" s="1015"/>
      <c r="F32" s="607"/>
      <c r="G32" s="859"/>
      <c r="H32" s="511"/>
      <c r="I32" s="511" t="s">
        <v>367</v>
      </c>
      <c r="J32" s="511"/>
      <c r="K32" s="866">
        <f>+K28-K31</f>
        <v>764351996.01250207</v>
      </c>
      <c r="L32" s="511"/>
      <c r="M32" s="410"/>
      <c r="N32" s="410"/>
      <c r="O32" s="448"/>
      <c r="P32" s="864"/>
      <c r="Q32" s="410"/>
      <c r="R32" s="410"/>
      <c r="S32" s="410"/>
      <c r="T32" s="410"/>
      <c r="U32" s="410"/>
      <c r="V32" s="410"/>
      <c r="W32" s="410"/>
      <c r="X32" s="410"/>
      <c r="Y32" s="410"/>
      <c r="Z32" s="410"/>
      <c r="AA32" s="410"/>
      <c r="AB32" s="410"/>
      <c r="AC32" s="410"/>
      <c r="AD32" s="410"/>
      <c r="AE32" s="410"/>
      <c r="AF32" s="410"/>
      <c r="AG32" s="410"/>
      <c r="AH32" s="410"/>
      <c r="AI32" s="410"/>
      <c r="AJ32" s="410"/>
      <c r="AK32" s="410"/>
      <c r="AL32" s="410"/>
      <c r="AM32" s="410"/>
      <c r="AN32" s="410"/>
      <c r="AO32" s="448"/>
      <c r="AP32" s="410"/>
      <c r="AQ32" s="410"/>
      <c r="AR32" s="410"/>
      <c r="AS32" s="410"/>
      <c r="AT32" s="410"/>
      <c r="AU32" s="410"/>
      <c r="AV32" s="410"/>
      <c r="AW32" s="410"/>
      <c r="AX32" s="410"/>
      <c r="AY32" s="410"/>
      <c r="AZ32" s="410"/>
      <c r="BA32" s="410"/>
      <c r="BB32" s="410"/>
      <c r="BC32" s="410"/>
      <c r="BD32" s="410"/>
      <c r="BF32" s="410"/>
      <c r="BG32" s="410"/>
      <c r="BH32" s="410"/>
      <c r="BI32" s="410"/>
      <c r="BJ32" s="410"/>
      <c r="CO32" s="410"/>
      <c r="CP32" s="410"/>
      <c r="CQ32" s="410"/>
      <c r="CR32" s="410"/>
      <c r="CS32" s="410"/>
      <c r="CT32" s="410"/>
      <c r="CU32" s="410"/>
      <c r="CV32" s="410"/>
      <c r="CW32" s="410"/>
      <c r="CX32" s="410"/>
      <c r="CY32" s="410"/>
      <c r="CZ32" s="410"/>
      <c r="DA32" s="410"/>
      <c r="DB32" s="410"/>
      <c r="DC32" s="410"/>
      <c r="DD32" s="410"/>
      <c r="DE32" s="410"/>
      <c r="DF32" s="410"/>
      <c r="DG32" s="410"/>
      <c r="DH32" s="410"/>
      <c r="DI32" s="410"/>
      <c r="DJ32" s="410"/>
      <c r="DK32" s="410"/>
      <c r="DL32" s="410"/>
      <c r="DM32" s="410"/>
      <c r="DN32" s="410"/>
      <c r="DO32" s="410"/>
    </row>
    <row r="33" spans="2:121" ht="14.25" customHeight="1">
      <c r="B33" s="453"/>
      <c r="C33" s="410"/>
      <c r="D33" s="410"/>
      <c r="E33" s="1014"/>
      <c r="F33" s="607"/>
      <c r="G33" s="859"/>
      <c r="H33" s="511"/>
      <c r="I33" s="511"/>
      <c r="J33" s="511"/>
      <c r="K33" s="511"/>
      <c r="L33" s="511"/>
      <c r="M33" s="410"/>
      <c r="N33" s="410"/>
      <c r="O33" s="448"/>
      <c r="P33" s="582"/>
      <c r="Q33" s="410"/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  <c r="AG33" s="410"/>
      <c r="AH33" s="410"/>
      <c r="AI33" s="410"/>
      <c r="AJ33" s="410"/>
      <c r="AK33" s="410"/>
      <c r="AL33" s="410"/>
      <c r="AM33" s="410"/>
      <c r="AN33" s="410"/>
      <c r="AO33" s="410"/>
      <c r="AP33" s="410"/>
      <c r="AQ33" s="410"/>
      <c r="AR33" s="837"/>
      <c r="AS33" s="410"/>
      <c r="AT33" s="410"/>
      <c r="AU33" s="410"/>
      <c r="AV33" s="410"/>
      <c r="AW33" s="410"/>
      <c r="AX33" s="410"/>
      <c r="AY33" s="410"/>
      <c r="AZ33" s="410"/>
      <c r="BA33" s="410"/>
      <c r="BB33" s="410"/>
      <c r="BC33" s="410"/>
      <c r="BD33" s="410"/>
      <c r="BF33" s="410"/>
      <c r="BG33" s="410"/>
      <c r="BH33" s="410"/>
      <c r="BI33" s="410"/>
      <c r="BJ33" s="410"/>
      <c r="CO33" s="410"/>
      <c r="CP33" s="410"/>
      <c r="CQ33" s="410"/>
      <c r="CR33" s="410"/>
      <c r="CS33" s="410"/>
      <c r="CT33" s="410"/>
      <c r="CU33" s="410"/>
      <c r="CV33" s="410"/>
      <c r="CW33" s="410"/>
      <c r="CX33" s="410"/>
      <c r="CY33" s="410"/>
      <c r="CZ33" s="410"/>
      <c r="DA33" s="410"/>
      <c r="DB33" s="410"/>
      <c r="DC33" s="410"/>
      <c r="DD33" s="410"/>
      <c r="DE33" s="410"/>
      <c r="DF33" s="410"/>
      <c r="DG33" s="410"/>
      <c r="DH33" s="410"/>
      <c r="DI33" s="410"/>
      <c r="DJ33" s="410"/>
      <c r="DK33" s="410"/>
      <c r="DL33" s="410"/>
      <c r="DM33" s="410"/>
      <c r="DN33" s="410"/>
      <c r="DO33" s="410"/>
    </row>
    <row r="34" spans="2:121" ht="14.25" customHeight="1">
      <c r="B34" s="453"/>
      <c r="C34" s="410"/>
      <c r="D34" s="410"/>
      <c r="E34" s="1015"/>
      <c r="F34" s="607"/>
      <c r="G34" s="859"/>
      <c r="H34" s="511"/>
      <c r="I34" s="916"/>
      <c r="J34" s="917"/>
      <c r="K34" s="918" t="s">
        <v>400</v>
      </c>
      <c r="L34" s="919" t="s">
        <v>401</v>
      </c>
      <c r="M34" s="868" t="s">
        <v>416</v>
      </c>
      <c r="N34" s="410"/>
      <c r="O34" s="448"/>
      <c r="P34" s="582"/>
      <c r="Q34" s="410"/>
      <c r="R34" s="410"/>
      <c r="S34" s="410"/>
      <c r="T34" s="410"/>
      <c r="U34" s="410"/>
      <c r="V34" s="410"/>
      <c r="W34" s="410"/>
      <c r="X34" s="410"/>
      <c r="Y34" s="410"/>
      <c r="Z34" s="410"/>
      <c r="AA34" s="410"/>
      <c r="AB34" s="410"/>
      <c r="AC34" s="410"/>
      <c r="AD34" s="410"/>
      <c r="AE34" s="410"/>
      <c r="AF34" s="410"/>
      <c r="AG34" s="410"/>
      <c r="AH34" s="410"/>
      <c r="AI34" s="410"/>
      <c r="AJ34" s="410"/>
      <c r="AK34" s="410"/>
      <c r="AL34" s="410"/>
      <c r="AM34" s="410"/>
      <c r="AN34" s="410"/>
      <c r="AO34" s="410"/>
      <c r="AP34" s="410"/>
      <c r="AQ34" s="410"/>
      <c r="AR34" s="410"/>
      <c r="AS34" s="410"/>
      <c r="AT34" s="410"/>
      <c r="AU34" s="410"/>
      <c r="AV34" s="410"/>
      <c r="AW34" s="410"/>
      <c r="AX34" s="410"/>
      <c r="AY34" s="410"/>
      <c r="AZ34" s="410"/>
      <c r="BA34" s="410"/>
      <c r="BB34" s="410"/>
      <c r="BC34" s="410"/>
      <c r="BD34" s="448"/>
      <c r="BF34" s="410"/>
      <c r="BG34" s="410"/>
      <c r="BH34" s="410"/>
      <c r="BI34" s="410"/>
      <c r="BJ34" s="410"/>
      <c r="CO34" s="410"/>
      <c r="CP34" s="410"/>
      <c r="CQ34" s="410"/>
      <c r="CR34" s="410"/>
      <c r="CS34" s="410"/>
      <c r="CT34" s="410"/>
      <c r="CU34" s="410"/>
      <c r="CV34" s="410"/>
      <c r="CW34" s="410"/>
      <c r="CX34" s="410"/>
      <c r="CY34" s="410"/>
      <c r="CZ34" s="410"/>
      <c r="DA34" s="410"/>
      <c r="DB34" s="410"/>
      <c r="DC34" s="410"/>
      <c r="DD34" s="410"/>
      <c r="DE34" s="410"/>
      <c r="DF34" s="410"/>
      <c r="DG34" s="410"/>
      <c r="DH34" s="410"/>
      <c r="DI34" s="410"/>
      <c r="DJ34" s="410"/>
      <c r="DK34" s="410"/>
      <c r="DL34" s="410"/>
      <c r="DM34" s="410"/>
      <c r="DN34" s="410"/>
      <c r="DO34" s="410"/>
      <c r="DQ34" s="838"/>
    </row>
    <row r="35" spans="2:121" ht="14.25" customHeight="1">
      <c r="I35" s="920" t="str">
        <f>C10</f>
        <v>Triple Jump BV.</v>
      </c>
      <c r="J35" s="410"/>
      <c r="K35" s="448">
        <f t="shared" ref="K35:K46" si="18">SUM(J10,IF(SUM(BH10:BS10)&gt;I10,E10,SUM(BH10:BS10)))</f>
        <v>51389833.561643839</v>
      </c>
      <c r="L35" s="921">
        <f t="shared" ref="L35:L46" si="19">K10-K35</f>
        <v>138440.21835616231</v>
      </c>
      <c r="M35" s="868">
        <f t="shared" ref="M35:M44" si="20">VLOOKUP(I35,$C$8:$K$25,9,FALSE)-SUM(K35:L35)</f>
        <v>0</v>
      </c>
      <c r="BF35" s="167"/>
      <c r="BG35" s="167"/>
    </row>
    <row r="36" spans="2:121" ht="14.25" customHeight="1">
      <c r="I36" s="920" t="str">
        <f>C11</f>
        <v>Triodos ZAR - 3rd Loan</v>
      </c>
      <c r="J36" s="410"/>
      <c r="K36" s="448">
        <f t="shared" si="18"/>
        <v>111981203.75</v>
      </c>
      <c r="L36" s="921">
        <f t="shared" si="19"/>
        <v>0</v>
      </c>
      <c r="M36" s="868">
        <f t="shared" si="20"/>
        <v>0</v>
      </c>
      <c r="BF36" s="167"/>
      <c r="BG36" s="167"/>
    </row>
    <row r="37" spans="2:121" ht="14.25" customHeight="1">
      <c r="I37" s="920" t="s">
        <v>680</v>
      </c>
      <c r="J37" s="410"/>
      <c r="K37" s="448">
        <f t="shared" si="18"/>
        <v>119863388.34</v>
      </c>
      <c r="L37" s="923">
        <f t="shared" si="19"/>
        <v>0</v>
      </c>
      <c r="M37" s="868">
        <f t="shared" si="20"/>
        <v>0</v>
      </c>
      <c r="BF37" s="167"/>
      <c r="BG37" s="167"/>
    </row>
    <row r="38" spans="2:121" ht="14.25" customHeight="1">
      <c r="I38" s="920" t="str">
        <f>C13</f>
        <v>Blue Earth 2</v>
      </c>
      <c r="J38" s="410"/>
      <c r="K38" s="448">
        <f t="shared" si="18"/>
        <v>35917494.079999998</v>
      </c>
      <c r="L38" s="923">
        <f t="shared" si="19"/>
        <v>0</v>
      </c>
      <c r="M38" s="868">
        <f t="shared" si="20"/>
        <v>0</v>
      </c>
      <c r="BF38" s="167"/>
      <c r="BG38" s="167"/>
    </row>
    <row r="39" spans="2:121" ht="14.25" customHeight="1">
      <c r="I39" s="920" t="s">
        <v>319</v>
      </c>
      <c r="J39" s="410"/>
      <c r="K39" s="448">
        <f t="shared" si="18"/>
        <v>34817490.410958901</v>
      </c>
      <c r="L39" s="923">
        <f t="shared" si="19"/>
        <v>133967790.78904109</v>
      </c>
      <c r="M39" s="868">
        <f t="shared" si="20"/>
        <v>0</v>
      </c>
      <c r="BF39" s="167"/>
      <c r="BG39" s="167"/>
    </row>
    <row r="40" spans="2:121" ht="14.25" customHeight="1">
      <c r="I40" s="922" t="s">
        <v>808</v>
      </c>
      <c r="J40" s="410"/>
      <c r="K40" s="448">
        <f t="shared" si="18"/>
        <v>93578865.205479458</v>
      </c>
      <c r="L40" s="923">
        <f t="shared" si="19"/>
        <v>87061675.914520547</v>
      </c>
      <c r="M40" s="868">
        <f t="shared" si="20"/>
        <v>0</v>
      </c>
      <c r="BF40" s="167"/>
    </row>
    <row r="41" spans="2:121" ht="14.25" customHeight="1">
      <c r="I41" s="920" t="s">
        <v>758</v>
      </c>
      <c r="J41" s="410"/>
      <c r="K41" s="448">
        <f t="shared" si="18"/>
        <v>34864047</v>
      </c>
      <c r="L41" s="923">
        <f t="shared" si="19"/>
        <v>30556656.57</v>
      </c>
      <c r="M41" s="868">
        <f t="shared" si="20"/>
        <v>0</v>
      </c>
      <c r="BF41" s="167"/>
    </row>
    <row r="42" spans="2:121" ht="14.25" customHeight="1">
      <c r="I42" s="920" t="s">
        <v>760</v>
      </c>
      <c r="J42" s="410"/>
      <c r="K42" s="448">
        <f t="shared" si="18"/>
        <v>37779650.755555555</v>
      </c>
      <c r="L42" s="923">
        <f t="shared" si="19"/>
        <v>38951.534444443882</v>
      </c>
      <c r="M42" s="868">
        <f t="shared" si="20"/>
        <v>0</v>
      </c>
      <c r="BF42" s="167"/>
    </row>
    <row r="43" spans="2:121" ht="14.25" customHeight="1">
      <c r="I43" s="920" t="s">
        <v>759</v>
      </c>
      <c r="J43" s="410"/>
      <c r="K43" s="448">
        <f t="shared" si="18"/>
        <v>65898152.124545455</v>
      </c>
      <c r="L43" s="923">
        <f t="shared" si="19"/>
        <v>46579078.25545454</v>
      </c>
      <c r="M43" s="868">
        <f t="shared" si="20"/>
        <v>0</v>
      </c>
      <c r="BF43" s="167"/>
    </row>
    <row r="44" spans="2:121" ht="14.25" customHeight="1">
      <c r="I44" s="920" t="s">
        <v>823</v>
      </c>
      <c r="J44" s="410"/>
      <c r="K44" s="448">
        <f t="shared" si="18"/>
        <v>-314110.01</v>
      </c>
      <c r="L44" s="923">
        <f t="shared" si="19"/>
        <v>0</v>
      </c>
      <c r="M44" s="868">
        <f t="shared" si="20"/>
        <v>0</v>
      </c>
      <c r="BF44" s="167"/>
    </row>
    <row r="45" spans="2:121" ht="14.25" customHeight="1">
      <c r="I45" s="920" t="s">
        <v>853</v>
      </c>
      <c r="J45" s="410"/>
      <c r="K45" s="448">
        <f t="shared" si="18"/>
        <v>453698.63013698632</v>
      </c>
      <c r="L45" s="923">
        <f t="shared" si="19"/>
        <v>91085839.639863014</v>
      </c>
      <c r="M45" s="868"/>
      <c r="BF45" s="167"/>
    </row>
    <row r="46" spans="2:121" ht="14.25" customHeight="1">
      <c r="I46" s="920" t="s">
        <v>699</v>
      </c>
      <c r="J46" s="410"/>
      <c r="K46" s="448">
        <f t="shared" si="18"/>
        <v>37561580.140000001</v>
      </c>
      <c r="L46" s="923">
        <f t="shared" si="19"/>
        <v>0</v>
      </c>
      <c r="M46" s="868">
        <f>VLOOKUP(I46,$C$8:$K$25,9,FALSE)-SUM(K46:L46)</f>
        <v>0</v>
      </c>
      <c r="BF46" s="167"/>
    </row>
    <row r="47" spans="2:121" ht="14.25" customHeight="1">
      <c r="I47" s="920" t="s">
        <v>841</v>
      </c>
      <c r="J47" s="410"/>
      <c r="K47" s="448">
        <v>0</v>
      </c>
      <c r="L47" s="923">
        <f>+K22</f>
        <v>257907175.87</v>
      </c>
      <c r="M47" s="868">
        <f>VLOOKUP(I47,$C$8:$K$25,9,FALSE)-SUM(K47:L47)</f>
        <v>0</v>
      </c>
      <c r="BF47" s="167"/>
    </row>
    <row r="48" spans="2:121" ht="14.25" customHeight="1">
      <c r="I48" s="920" t="s">
        <v>700</v>
      </c>
      <c r="J48" s="410"/>
      <c r="K48" s="448">
        <f>SUM(J23,IF(SUM(BH23:BS23)&gt;I23,E23,SUM(BH23:BS23)))</f>
        <v>39440634.899999999</v>
      </c>
      <c r="L48" s="923">
        <f>K23-K48</f>
        <v>0</v>
      </c>
      <c r="M48" s="868">
        <f>VLOOKUP(I48,$C$8:$K$25,9,FALSE)-SUM(K48:L48)</f>
        <v>0</v>
      </c>
      <c r="BF48" s="167"/>
    </row>
    <row r="49" spans="9:58" ht="16.8" customHeight="1">
      <c r="I49" s="920" t="s">
        <v>859</v>
      </c>
      <c r="J49" s="410"/>
      <c r="K49" s="448">
        <f>SUM(J24,IF(SUM(BH24:BS24)&gt;I24,E24,SUM(BH24:BS24)))</f>
        <v>894527.21917808219</v>
      </c>
      <c r="L49" s="923">
        <f>K24-K49</f>
        <v>117016387.22082192</v>
      </c>
      <c r="M49" s="868"/>
      <c r="BF49" s="167"/>
    </row>
    <row r="50" spans="9:58" ht="14.25" customHeight="1">
      <c r="I50" s="920" t="str">
        <f>C25</f>
        <v>ResponsAbility - 5th Loan</v>
      </c>
      <c r="J50" s="410"/>
      <c r="K50" s="448">
        <f>SUM(J25,IF(SUM(BH25:BS25)&gt;I25,E25,SUM(BH25:BS25)))</f>
        <v>25038055.5</v>
      </c>
      <c r="L50" s="921">
        <f>K25-K50</f>
        <v>0</v>
      </c>
      <c r="M50" s="868">
        <f>VLOOKUP(I50,$C$8:$K$25,9,FALSE)-SUM(K50:L50)</f>
        <v>0</v>
      </c>
      <c r="BF50" s="167"/>
    </row>
    <row r="51" spans="9:58" ht="14.25" customHeight="1">
      <c r="I51" s="920"/>
      <c r="J51" s="410"/>
      <c r="K51" s="448"/>
      <c r="L51" s="921"/>
      <c r="M51" s="868"/>
    </row>
    <row r="52" spans="9:58" ht="14.25" customHeight="1">
      <c r="I52" s="924"/>
      <c r="J52" s="925"/>
      <c r="K52" s="926">
        <f>SUM(K35:K50)</f>
        <v>689164511.60749829</v>
      </c>
      <c r="L52" s="927">
        <f>SUM(L35:L50)</f>
        <v>764351996.01250172</v>
      </c>
      <c r="M52" s="868"/>
    </row>
    <row r="53" spans="9:58" ht="14.25" customHeight="1">
      <c r="K53" s="867"/>
      <c r="L53" s="441"/>
      <c r="M53" s="410"/>
    </row>
    <row r="54" spans="9:58" ht="14.25" customHeight="1">
      <c r="K54" s="867">
        <f>K52+L52-K28</f>
        <v>0</v>
      </c>
      <c r="L54" s="441"/>
      <c r="M54" s="410"/>
    </row>
  </sheetData>
  <mergeCells count="177">
    <mergeCell ref="FF6:FF7"/>
    <mergeCell ref="FG6:FG7"/>
    <mergeCell ref="FL6:FL7"/>
    <mergeCell ref="FO6:FO7"/>
    <mergeCell ref="FM6:FM7"/>
    <mergeCell ref="FH6:FH7"/>
    <mergeCell ref="FI6:FI7"/>
    <mergeCell ref="FJ6:FJ7"/>
    <mergeCell ref="FK6:FK7"/>
    <mergeCell ref="FN6:FN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BE6:BE7"/>
    <mergeCell ref="CO5:FE5"/>
    <mergeCell ref="BL6:BL7"/>
    <mergeCell ref="BF6:BF7"/>
    <mergeCell ref="BG6:BG7"/>
    <mergeCell ref="BH6:BH7"/>
    <mergeCell ref="BI6:BI7"/>
    <mergeCell ref="B26:C26"/>
    <mergeCell ref="Q6:Q7"/>
    <mergeCell ref="R6:R7"/>
    <mergeCell ref="S6:S7"/>
    <mergeCell ref="Z6:Z7"/>
    <mergeCell ref="U6:U7"/>
    <mergeCell ref="O6:O7"/>
    <mergeCell ref="P6:P7"/>
    <mergeCell ref="T6:T7"/>
    <mergeCell ref="V6:V7"/>
    <mergeCell ref="W6:W7"/>
    <mergeCell ref="X6:X7"/>
    <mergeCell ref="Y6:Y7"/>
    <mergeCell ref="M6:M7"/>
    <mergeCell ref="AV6:AV7"/>
    <mergeCell ref="AU6:AU7"/>
    <mergeCell ref="AK6:AK7"/>
    <mergeCell ref="AT6:AT7"/>
    <mergeCell ref="AC6:AC7"/>
    <mergeCell ref="AD6:AD7"/>
    <mergeCell ref="AE6:AE7"/>
    <mergeCell ref="AS6:AS7"/>
    <mergeCell ref="AL6:AL7"/>
    <mergeCell ref="AM6:AM7"/>
    <mergeCell ref="AN6:AN7"/>
    <mergeCell ref="AO6:AO7"/>
    <mergeCell ref="AP6:AP7"/>
    <mergeCell ref="AF6:AF7"/>
    <mergeCell ref="AI6:AI7"/>
    <mergeCell ref="AJ6:AJ7"/>
    <mergeCell ref="AH6:AH7"/>
    <mergeCell ref="AR6:AR7"/>
    <mergeCell ref="AQ6:AQ7"/>
    <mergeCell ref="BB6:BB7"/>
    <mergeCell ref="BC6:BC7"/>
    <mergeCell ref="CX6:CX7"/>
    <mergeCell ref="BD6:BD7"/>
    <mergeCell ref="B2:C2"/>
    <mergeCell ref="B6:C7"/>
    <mergeCell ref="D6:D7"/>
    <mergeCell ref="E6:E7"/>
    <mergeCell ref="F6:F7"/>
    <mergeCell ref="G6:G7"/>
    <mergeCell ref="H6:H7"/>
    <mergeCell ref="I6:I7"/>
    <mergeCell ref="J6:J7"/>
    <mergeCell ref="B5:G5"/>
    <mergeCell ref="I5:K5"/>
    <mergeCell ref="K6:K7"/>
    <mergeCell ref="AG6:AG7"/>
    <mergeCell ref="BK6:BK7"/>
    <mergeCell ref="L5:M5"/>
    <mergeCell ref="O5:P5"/>
    <mergeCell ref="AB6:AB7"/>
    <mergeCell ref="AA6:AA7"/>
    <mergeCell ref="Q5:BE5"/>
    <mergeCell ref="L6:L7"/>
    <mergeCell ref="EH6:EH7"/>
    <mergeCell ref="EI6:EI7"/>
    <mergeCell ref="EJ6:EJ7"/>
    <mergeCell ref="EK6:EK7"/>
    <mergeCell ref="EL6:EL7"/>
    <mergeCell ref="EM6:EM7"/>
    <mergeCell ref="EA6:EA7"/>
    <mergeCell ref="AW6:AW7"/>
    <mergeCell ref="AX6:AX7"/>
    <mergeCell ref="AY6:AY7"/>
    <mergeCell ref="AZ6:AZ7"/>
    <mergeCell ref="BA6:BA7"/>
    <mergeCell ref="DL6:DL7"/>
    <mergeCell ref="DM6:DM7"/>
    <mergeCell ref="DN6:DN7"/>
    <mergeCell ref="DO6:DO7"/>
    <mergeCell ref="DK6:DK7"/>
    <mergeCell ref="DI6:DI7"/>
    <mergeCell ref="DJ6:DJ7"/>
    <mergeCell ref="BN6:BN7"/>
    <mergeCell ref="DE6:DE7"/>
    <mergeCell ref="CP6:CP7"/>
    <mergeCell ref="BJ6:BJ7"/>
    <mergeCell ref="BM6:BM7"/>
    <mergeCell ref="EF6:EF7"/>
    <mergeCell ref="EG6:EG7"/>
    <mergeCell ref="EB6:EB7"/>
    <mergeCell ref="EC6:EC7"/>
    <mergeCell ref="ED6:ED7"/>
    <mergeCell ref="DW6:DW7"/>
    <mergeCell ref="DX6:DX7"/>
    <mergeCell ref="DY6:DY7"/>
    <mergeCell ref="DZ6:DZ7"/>
    <mergeCell ref="DV6:DV7"/>
    <mergeCell ref="DP6:DP7"/>
    <mergeCell ref="DQ6:DQ7"/>
    <mergeCell ref="EP6:EP7"/>
    <mergeCell ref="EQ6:EQ7"/>
    <mergeCell ref="ER6:ER7"/>
    <mergeCell ref="DR6:DR7"/>
    <mergeCell ref="CO6:CO7"/>
    <mergeCell ref="BS6:BS7"/>
    <mergeCell ref="DH6:DH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EO6:EO7"/>
    <mergeCell ref="EE6:EE7"/>
    <mergeCell ref="DD6:DD7"/>
    <mergeCell ref="DA6:DA7"/>
    <mergeCell ref="CS6:CS7"/>
    <mergeCell ref="CT6:CT7"/>
    <mergeCell ref="CU6:CU7"/>
    <mergeCell ref="CV6:CV7"/>
    <mergeCell ref="CY6:CY7"/>
    <mergeCell ref="DU6:DU7"/>
    <mergeCell ref="DS6:DS7"/>
    <mergeCell ref="DT6:DT7"/>
    <mergeCell ref="CW6:CW7"/>
    <mergeCell ref="DF6:DF7"/>
    <mergeCell ref="DG6:DG7"/>
    <mergeCell ref="BF5:CE5"/>
    <mergeCell ref="FE6:FE7"/>
    <mergeCell ref="EV6:EV7"/>
    <mergeCell ref="EW6:EW7"/>
    <mergeCell ref="EX6:EX7"/>
    <mergeCell ref="EY6:EY7"/>
    <mergeCell ref="EZ6:EZ7"/>
    <mergeCell ref="FA6:FA7"/>
    <mergeCell ref="FB6:FB7"/>
    <mergeCell ref="FC6:FC7"/>
    <mergeCell ref="FD6:FD7"/>
    <mergeCell ref="ES6:ES7"/>
    <mergeCell ref="ET6:ET7"/>
    <mergeCell ref="EU6:EU7"/>
    <mergeCell ref="BO6:BO7"/>
    <mergeCell ref="BP6:BP7"/>
    <mergeCell ref="BQ6:BQ7"/>
    <mergeCell ref="BR6:BR7"/>
    <mergeCell ref="EN6:EN7"/>
    <mergeCell ref="CQ6:CQ7"/>
    <mergeCell ref="CR6:CR7"/>
    <mergeCell ref="CZ6:CZ7"/>
    <mergeCell ref="DB6:DB7"/>
    <mergeCell ref="DC6:DC7"/>
  </mergeCells>
  <conditionalFormatting sqref="C8:C25 B26">
    <cfRule type="expression" dxfId="1241" priority="5">
      <formula>LEN(#REF!)=36</formula>
    </cfRule>
  </conditionalFormatting>
  <conditionalFormatting sqref="C29">
    <cfRule type="expression" dxfId="1240" priority="7">
      <formula>LEN(#REF!)=36</formula>
    </cfRule>
  </conditionalFormatting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Q172"/>
  <sheetViews>
    <sheetView showGridLines="0" zoomScale="85" zoomScaleNormal="85" workbookViewId="0">
      <pane ySplit="3" topLeftCell="A116" activePane="bottomLeft" state="frozen"/>
      <selection activeCell="K23" sqref="K23"/>
      <selection pane="bottomLeft" activeCell="K131" sqref="K131"/>
    </sheetView>
  </sheetViews>
  <sheetFormatPr defaultColWidth="14.44140625" defaultRowHeight="15" customHeight="1" outlineLevelRow="2"/>
  <cols>
    <col min="1" max="1" width="9.44140625" customWidth="1"/>
    <col min="2" max="2" width="20.5546875" customWidth="1"/>
    <col min="3" max="3" width="21.44140625" customWidth="1"/>
    <col min="4" max="4" width="16.44140625" customWidth="1"/>
    <col min="5" max="5" width="17.44140625" customWidth="1"/>
    <col min="6" max="7" width="16" customWidth="1"/>
    <col min="8" max="10" width="10.5546875" customWidth="1"/>
    <col min="11" max="11" width="15.5546875" customWidth="1"/>
    <col min="12" max="12" width="13.109375" hidden="1" customWidth="1"/>
    <col min="13" max="13" width="21.88671875" customWidth="1"/>
    <col min="14" max="14" width="12.44140625" customWidth="1"/>
    <col min="15" max="15" width="19.5546875" customWidth="1"/>
    <col min="16" max="16" width="0" hidden="1" customWidth="1"/>
    <col min="17" max="17" width="15.5546875" hidden="1" customWidth="1"/>
    <col min="18" max="19" width="13.44140625" customWidth="1"/>
    <col min="20" max="20" width="9.44140625" customWidth="1"/>
    <col min="21" max="21" width="14.5546875" customWidth="1"/>
    <col min="22" max="22" width="9.44140625" customWidth="1"/>
    <col min="23" max="23" width="10.44140625" customWidth="1"/>
    <col min="24" max="24" width="9.44140625" customWidth="1"/>
    <col min="25" max="25" width="11.5546875" customWidth="1"/>
    <col min="26" max="26" width="9.44140625" customWidth="1"/>
    <col min="27" max="27" width="6.44140625" customWidth="1"/>
    <col min="28" max="28" width="12.44140625" customWidth="1"/>
  </cols>
  <sheetData>
    <row r="1" spans="2:12" ht="20.85" customHeight="1">
      <c r="B1" s="370">
        <v>46022</v>
      </c>
      <c r="C1" s="167"/>
      <c r="D1" s="167"/>
      <c r="E1" s="167"/>
    </row>
    <row r="2" spans="2:12" ht="14.25" customHeight="1">
      <c r="B2" s="755"/>
      <c r="C2" s="167"/>
      <c r="D2" s="167"/>
      <c r="E2" s="167"/>
    </row>
    <row r="3" spans="2:12" ht="62.25" customHeight="1">
      <c r="B3" s="371" t="s">
        <v>561</v>
      </c>
      <c r="C3" s="372" t="s">
        <v>562</v>
      </c>
      <c r="D3" s="372" t="s">
        <v>563</v>
      </c>
      <c r="E3" s="372" t="s">
        <v>564</v>
      </c>
      <c r="F3" s="371" t="s">
        <v>565</v>
      </c>
      <c r="G3" s="371" t="s">
        <v>250</v>
      </c>
      <c r="H3" s="371" t="s">
        <v>566</v>
      </c>
      <c r="I3" s="371" t="s">
        <v>567</v>
      </c>
      <c r="J3" s="371" t="s">
        <v>568</v>
      </c>
      <c r="K3" s="373" t="s">
        <v>569</v>
      </c>
      <c r="L3" s="371" t="s">
        <v>597</v>
      </c>
    </row>
    <row r="4" spans="2:12" ht="14.25" hidden="1" customHeight="1" outlineLevel="2">
      <c r="B4" s="374">
        <v>42139</v>
      </c>
      <c r="C4" s="184">
        <v>305000</v>
      </c>
      <c r="D4" s="167">
        <v>285416.65999999997</v>
      </c>
      <c r="E4" s="167">
        <v>43571.428571428572</v>
      </c>
      <c r="F4" s="231">
        <v>0.71850174555701352</v>
      </c>
      <c r="G4" s="231">
        <v>0.44881699408234271</v>
      </c>
      <c r="H4" s="222">
        <v>7</v>
      </c>
      <c r="I4">
        <v>7</v>
      </c>
      <c r="J4">
        <v>0</v>
      </c>
    </row>
    <row r="5" spans="2:12" ht="14.25" hidden="1" customHeight="1" outlineLevel="2">
      <c r="B5" s="374">
        <v>42170</v>
      </c>
      <c r="C5" s="184">
        <v>340000</v>
      </c>
      <c r="D5" s="167">
        <v>437916.64</v>
      </c>
      <c r="E5" s="167">
        <v>68000</v>
      </c>
      <c r="F5" s="231">
        <v>0.75630832388556857</v>
      </c>
      <c r="G5" s="231">
        <v>0.75630770214447041</v>
      </c>
      <c r="H5" s="222">
        <v>5</v>
      </c>
      <c r="I5">
        <v>5</v>
      </c>
      <c r="J5">
        <v>0</v>
      </c>
    </row>
    <row r="6" spans="2:12" ht="14.25" hidden="1" customHeight="1" outlineLevel="2">
      <c r="B6" s="374">
        <v>42200</v>
      </c>
      <c r="C6" s="184">
        <v>350000</v>
      </c>
      <c r="D6" s="167">
        <v>738749.92000000016</v>
      </c>
      <c r="E6" s="167">
        <v>58333.333333333336</v>
      </c>
      <c r="F6" s="231">
        <v>0.89218332504184894</v>
      </c>
      <c r="G6" s="231">
        <v>0.89218322842639597</v>
      </c>
      <c r="H6" s="222">
        <v>6</v>
      </c>
      <c r="I6">
        <v>5</v>
      </c>
      <c r="J6">
        <v>1</v>
      </c>
    </row>
    <row r="7" spans="2:12" ht="14.25" hidden="1" customHeight="1" outlineLevel="2">
      <c r="B7" s="374">
        <v>42231</v>
      </c>
      <c r="C7" s="184">
        <v>805000</v>
      </c>
      <c r="D7" s="167">
        <v>1384166.53</v>
      </c>
      <c r="E7" s="167">
        <v>100625</v>
      </c>
      <c r="F7" s="231">
        <v>0.64739320058548155</v>
      </c>
      <c r="G7" s="231">
        <v>0.64739298076026952</v>
      </c>
      <c r="H7" s="222">
        <v>8</v>
      </c>
      <c r="I7">
        <v>5</v>
      </c>
      <c r="J7">
        <v>3</v>
      </c>
    </row>
    <row r="8" spans="2:12" ht="14.25" hidden="1" customHeight="1" outlineLevel="2">
      <c r="B8" s="374">
        <v>42262</v>
      </c>
      <c r="C8" s="184">
        <v>1050000</v>
      </c>
      <c r="D8" s="167">
        <v>2121665.4900000002</v>
      </c>
      <c r="E8" s="167">
        <v>65625</v>
      </c>
      <c r="F8" s="231">
        <v>0.74488085301326168</v>
      </c>
      <c r="G8" s="231">
        <v>0.75376276133764819</v>
      </c>
      <c r="H8" s="222">
        <v>16</v>
      </c>
      <c r="I8">
        <v>12</v>
      </c>
      <c r="J8">
        <v>4</v>
      </c>
    </row>
    <row r="9" spans="2:12" ht="14.25" hidden="1" customHeight="1" outlineLevel="2">
      <c r="B9" s="374">
        <v>42292</v>
      </c>
      <c r="C9" s="184">
        <v>1890000</v>
      </c>
      <c r="D9" s="167">
        <v>3450829.09</v>
      </c>
      <c r="E9" s="167">
        <v>85909.090909090912</v>
      </c>
      <c r="F9" s="231">
        <v>0.69317081130784142</v>
      </c>
      <c r="G9" s="231">
        <v>0.69317082938621422</v>
      </c>
      <c r="H9" s="222">
        <v>22</v>
      </c>
      <c r="I9">
        <v>18</v>
      </c>
      <c r="J9">
        <v>4</v>
      </c>
    </row>
    <row r="10" spans="2:12" ht="14.25" hidden="1" customHeight="1" outlineLevel="2">
      <c r="B10" s="374">
        <v>42323</v>
      </c>
      <c r="C10" s="184">
        <v>1480000</v>
      </c>
      <c r="D10" s="167">
        <v>4105828.16</v>
      </c>
      <c r="E10" s="167">
        <v>82222.222222222219</v>
      </c>
      <c r="F10" s="231">
        <v>0.78882694398978459</v>
      </c>
      <c r="G10" s="231">
        <v>0.8008553269763492</v>
      </c>
      <c r="H10" s="222">
        <v>18</v>
      </c>
      <c r="I10">
        <v>13</v>
      </c>
      <c r="J10">
        <v>5</v>
      </c>
    </row>
    <row r="11" spans="2:12" ht="14.25" hidden="1" customHeight="1" outlineLevel="2">
      <c r="B11" s="374">
        <v>42353</v>
      </c>
      <c r="C11" s="184">
        <v>1385000</v>
      </c>
      <c r="D11" s="167">
        <v>4493661.5600000015</v>
      </c>
      <c r="E11" s="167">
        <v>65952.380952380947</v>
      </c>
      <c r="F11" s="231">
        <v>0.80149560707015022</v>
      </c>
      <c r="G11" s="231">
        <v>0.80149552859115802</v>
      </c>
      <c r="H11" s="222">
        <v>21</v>
      </c>
      <c r="I11">
        <v>8</v>
      </c>
      <c r="J11">
        <v>13</v>
      </c>
    </row>
    <row r="12" spans="2:12" ht="14.25" hidden="1" customHeight="1" outlineLevel="2">
      <c r="B12" s="374">
        <v>42385</v>
      </c>
      <c r="C12" s="184">
        <v>1480000</v>
      </c>
      <c r="D12" s="167">
        <v>4662411.6320000011</v>
      </c>
      <c r="E12" s="167">
        <v>56923.076923076922</v>
      </c>
      <c r="F12" s="231">
        <v>0.62285362795268495</v>
      </c>
      <c r="G12" s="231">
        <v>0.59299454499948201</v>
      </c>
      <c r="H12" s="222">
        <v>26</v>
      </c>
      <c r="I12">
        <v>13</v>
      </c>
      <c r="J12">
        <v>13</v>
      </c>
    </row>
    <row r="13" spans="2:12" ht="14.25" hidden="1" customHeight="1" outlineLevel="2">
      <c r="B13" s="375">
        <v>42416</v>
      </c>
      <c r="C13" s="376">
        <v>1540000</v>
      </c>
      <c r="D13" s="377">
        <v>4790528.9284999995</v>
      </c>
      <c r="E13" s="380">
        <v>70000</v>
      </c>
      <c r="F13" s="378">
        <v>0.7543947764305835</v>
      </c>
      <c r="G13" s="378">
        <v>0.72960638412399759</v>
      </c>
      <c r="H13" s="384">
        <v>22</v>
      </c>
      <c r="I13" s="379">
        <v>8</v>
      </c>
      <c r="J13" s="379">
        <v>14</v>
      </c>
      <c r="K13" s="379">
        <v>111</v>
      </c>
    </row>
    <row r="14" spans="2:12" ht="14.25" hidden="1" customHeight="1" outlineLevel="2">
      <c r="B14" s="374">
        <v>42445</v>
      </c>
      <c r="C14" s="184">
        <v>1490000</v>
      </c>
      <c r="D14" s="167">
        <v>4685289.2065000022</v>
      </c>
      <c r="E14" s="167">
        <v>64782.608695652176</v>
      </c>
      <c r="F14" s="231">
        <v>0.76881059871453172</v>
      </c>
      <c r="G14" s="231">
        <v>0.71313595377572359</v>
      </c>
      <c r="H14" s="222">
        <v>23</v>
      </c>
      <c r="I14">
        <v>10</v>
      </c>
      <c r="J14">
        <v>13</v>
      </c>
    </row>
    <row r="15" spans="2:12" ht="14.25" hidden="1" customHeight="1" outlineLevel="2">
      <c r="B15" s="374">
        <v>42476</v>
      </c>
      <c r="C15" s="184">
        <v>1508000</v>
      </c>
      <c r="D15" s="167">
        <v>4798240.8480000012</v>
      </c>
      <c r="E15" s="167">
        <v>79368.421052631573</v>
      </c>
      <c r="F15" s="231">
        <v>0.73249680275324081</v>
      </c>
      <c r="G15" s="231">
        <v>0.6931836146042013</v>
      </c>
      <c r="H15" s="222">
        <v>19</v>
      </c>
      <c r="I15">
        <v>7</v>
      </c>
      <c r="J15">
        <v>12</v>
      </c>
    </row>
    <row r="16" spans="2:12" ht="14.25" hidden="1" customHeight="1" outlineLevel="2">
      <c r="B16" s="374">
        <v>42506</v>
      </c>
      <c r="C16" s="184">
        <v>1600000</v>
      </c>
      <c r="D16" s="167">
        <v>5011050.2620000001</v>
      </c>
      <c r="E16" s="167">
        <v>59259.259259259263</v>
      </c>
      <c r="F16" s="231">
        <v>0.6823240281440226</v>
      </c>
      <c r="G16" s="231">
        <v>0.62813604266808742</v>
      </c>
      <c r="H16" s="222">
        <v>27</v>
      </c>
      <c r="I16">
        <v>11</v>
      </c>
      <c r="J16">
        <v>16</v>
      </c>
    </row>
    <row r="17" spans="2:12" ht="14.25" hidden="1" customHeight="1" outlineLevel="2">
      <c r="B17" s="374">
        <v>42537</v>
      </c>
      <c r="C17" s="184">
        <v>1785000</v>
      </c>
      <c r="D17" s="167">
        <v>5351010.0375000006</v>
      </c>
      <c r="E17" s="167">
        <v>89250</v>
      </c>
      <c r="F17" s="231">
        <v>0.68341302564787054</v>
      </c>
      <c r="G17" s="231">
        <v>0.620334444398003</v>
      </c>
      <c r="H17" s="222">
        <v>20</v>
      </c>
      <c r="I17">
        <v>7</v>
      </c>
      <c r="J17">
        <v>13</v>
      </c>
    </row>
    <row r="18" spans="2:12" ht="14.25" hidden="1" customHeight="1" outlineLevel="2">
      <c r="B18" s="374">
        <v>42567</v>
      </c>
      <c r="C18" s="184">
        <v>1415000</v>
      </c>
      <c r="D18" s="167">
        <v>5025329.1865000008</v>
      </c>
      <c r="E18" s="167">
        <v>61521.739130434784</v>
      </c>
      <c r="F18" s="231">
        <v>0.79561959259124038</v>
      </c>
      <c r="G18" s="231">
        <v>0.7029106622068142</v>
      </c>
      <c r="H18" s="222">
        <v>23</v>
      </c>
      <c r="I18">
        <v>8</v>
      </c>
      <c r="J18">
        <v>15</v>
      </c>
    </row>
    <row r="19" spans="2:12" ht="14.25" hidden="1" customHeight="1" outlineLevel="2">
      <c r="B19" s="374">
        <v>42598</v>
      </c>
      <c r="C19" s="184">
        <v>1890000</v>
      </c>
      <c r="D19" s="167">
        <v>5113176.4105000012</v>
      </c>
      <c r="E19" s="167">
        <v>70000</v>
      </c>
      <c r="F19" s="231">
        <v>0.7860573696902764</v>
      </c>
      <c r="G19" s="231">
        <v>0.68202055619543756</v>
      </c>
      <c r="H19" s="222">
        <v>27</v>
      </c>
      <c r="I19">
        <v>10</v>
      </c>
      <c r="J19">
        <v>17</v>
      </c>
    </row>
    <row r="20" spans="2:12" ht="14.25" hidden="1" customHeight="1" outlineLevel="2">
      <c r="B20" s="374">
        <v>42614</v>
      </c>
      <c r="C20" s="184">
        <v>1807000</v>
      </c>
      <c r="D20" s="167">
        <v>5247730.9249999989</v>
      </c>
      <c r="E20" s="167">
        <v>78565.217391304352</v>
      </c>
      <c r="F20" s="231">
        <v>0.73177524817547701</v>
      </c>
      <c r="G20" s="231">
        <v>0.6251921052869488</v>
      </c>
      <c r="H20" s="222">
        <v>23</v>
      </c>
      <c r="I20">
        <v>8</v>
      </c>
      <c r="J20">
        <v>15</v>
      </c>
    </row>
    <row r="21" spans="2:12" ht="14.25" hidden="1" customHeight="1" outlineLevel="2">
      <c r="B21" s="374">
        <v>42644</v>
      </c>
      <c r="C21" s="184">
        <v>2105000</v>
      </c>
      <c r="D21" s="167">
        <v>5611574.3080000002</v>
      </c>
      <c r="E21" s="167">
        <v>77962.962962962964</v>
      </c>
      <c r="F21" s="231">
        <v>0.70452956389863064</v>
      </c>
      <c r="G21" s="231">
        <v>0.59373643919440955</v>
      </c>
      <c r="H21" s="222">
        <v>27</v>
      </c>
      <c r="I21">
        <v>13</v>
      </c>
      <c r="J21">
        <v>14</v>
      </c>
      <c r="K21">
        <v>151</v>
      </c>
      <c r="L21" s="588">
        <f t="shared" ref="L21:L84" si="0">K21-K20</f>
        <v>151</v>
      </c>
    </row>
    <row r="22" spans="2:12" ht="14.25" hidden="1" customHeight="1" outlineLevel="2">
      <c r="B22" s="374">
        <v>42675</v>
      </c>
      <c r="C22" s="184">
        <v>2165000</v>
      </c>
      <c r="D22" s="167">
        <v>5880589.995000001</v>
      </c>
      <c r="E22" s="167">
        <v>83269.230769230766</v>
      </c>
      <c r="F22" s="231">
        <v>0.75831699264726571</v>
      </c>
      <c r="G22" s="231">
        <v>0.66083469214140234</v>
      </c>
      <c r="H22" s="222">
        <v>26</v>
      </c>
      <c r="I22">
        <v>12</v>
      </c>
      <c r="J22">
        <v>14</v>
      </c>
      <c r="K22">
        <v>156</v>
      </c>
      <c r="L22" s="588">
        <f t="shared" si="0"/>
        <v>5</v>
      </c>
    </row>
    <row r="23" spans="2:12" ht="14.25" hidden="1" customHeight="1" outlineLevel="2">
      <c r="B23" s="374">
        <v>42705</v>
      </c>
      <c r="C23" s="184">
        <v>1920000</v>
      </c>
      <c r="D23" s="167">
        <v>5899977.6284999996</v>
      </c>
      <c r="E23" s="167">
        <v>60000</v>
      </c>
      <c r="F23" s="231">
        <v>0.76572326955561443</v>
      </c>
      <c r="G23" s="231">
        <v>0.65276992430233005</v>
      </c>
      <c r="H23" s="222">
        <v>32</v>
      </c>
      <c r="I23">
        <v>17</v>
      </c>
      <c r="J23">
        <v>15</v>
      </c>
      <c r="K23">
        <v>157</v>
      </c>
      <c r="L23" s="588">
        <f t="shared" si="0"/>
        <v>1</v>
      </c>
    </row>
    <row r="24" spans="2:12" ht="14.25" hidden="1" customHeight="1" outlineLevel="2">
      <c r="B24" s="374">
        <v>42736</v>
      </c>
      <c r="C24" s="184">
        <v>2400000</v>
      </c>
      <c r="D24" s="167">
        <v>6439901.9135000026</v>
      </c>
      <c r="E24" s="167">
        <v>82758.620689655174</v>
      </c>
      <c r="F24" s="231">
        <v>0.70830678188403096</v>
      </c>
      <c r="G24" s="231">
        <v>0.62728331589490027</v>
      </c>
      <c r="H24" s="222">
        <v>29</v>
      </c>
      <c r="I24">
        <v>10</v>
      </c>
      <c r="J24">
        <v>19</v>
      </c>
      <c r="K24">
        <v>157</v>
      </c>
      <c r="L24" s="588">
        <f t="shared" si="0"/>
        <v>0</v>
      </c>
    </row>
    <row r="25" spans="2:12" ht="14.25" hidden="1" customHeight="1" outlineLevel="2">
      <c r="B25" s="375">
        <v>42767</v>
      </c>
      <c r="C25" s="376">
        <v>2955000</v>
      </c>
      <c r="D25" s="377">
        <v>7589157.365500005</v>
      </c>
      <c r="E25" s="380">
        <v>82083.333333333328</v>
      </c>
      <c r="F25" s="378">
        <v>0.57895893159022904</v>
      </c>
      <c r="G25" s="378">
        <v>0.51405843763778258</v>
      </c>
      <c r="H25" s="384">
        <v>36</v>
      </c>
      <c r="I25" s="379">
        <v>23</v>
      </c>
      <c r="J25" s="379">
        <v>13</v>
      </c>
      <c r="K25" s="379">
        <v>161</v>
      </c>
      <c r="L25" s="588">
        <f t="shared" si="0"/>
        <v>4</v>
      </c>
    </row>
    <row r="26" spans="2:12" ht="14.25" hidden="1" customHeight="1" outlineLevel="2">
      <c r="B26" s="374">
        <v>42795</v>
      </c>
      <c r="C26" s="184">
        <v>3164000</v>
      </c>
      <c r="D26" s="167">
        <v>8151563.8560000006</v>
      </c>
      <c r="E26" s="167">
        <v>77170.731707317071</v>
      </c>
      <c r="F26" s="231">
        <v>0.74052882448523383</v>
      </c>
      <c r="G26" s="231">
        <v>0.65226722064367104</v>
      </c>
      <c r="H26" s="222">
        <v>41</v>
      </c>
      <c r="I26">
        <v>17</v>
      </c>
      <c r="J26">
        <v>24</v>
      </c>
      <c r="K26">
        <v>179</v>
      </c>
      <c r="L26" s="588">
        <f t="shared" si="0"/>
        <v>18</v>
      </c>
    </row>
    <row r="27" spans="2:12" ht="14.25" hidden="1" customHeight="1" outlineLevel="2">
      <c r="B27" s="374">
        <v>42826</v>
      </c>
      <c r="C27" s="184">
        <v>3360000</v>
      </c>
      <c r="D27" s="167">
        <v>8972739.4800000004</v>
      </c>
      <c r="E27" s="167">
        <v>80000</v>
      </c>
      <c r="F27" s="231">
        <v>0.66593676695046533</v>
      </c>
      <c r="G27" s="231">
        <v>0.58442776367717608</v>
      </c>
      <c r="H27" s="222">
        <v>42</v>
      </c>
      <c r="I27">
        <v>18</v>
      </c>
      <c r="J27">
        <v>24</v>
      </c>
      <c r="K27">
        <v>200</v>
      </c>
      <c r="L27" s="588">
        <f t="shared" si="0"/>
        <v>21</v>
      </c>
    </row>
    <row r="28" spans="2:12" ht="14.25" hidden="1" customHeight="1" outlineLevel="2">
      <c r="B28" s="374">
        <v>42856</v>
      </c>
      <c r="C28" s="184">
        <v>3810000</v>
      </c>
      <c r="D28" s="167">
        <v>10069931.710000001</v>
      </c>
      <c r="E28" s="167">
        <v>105833.33333333333</v>
      </c>
      <c r="F28" s="231">
        <v>0.61773189522454064</v>
      </c>
      <c r="G28" s="231">
        <v>0.5421660221645509</v>
      </c>
      <c r="H28" s="222">
        <v>36</v>
      </c>
      <c r="I28">
        <v>20</v>
      </c>
      <c r="J28">
        <v>16</v>
      </c>
      <c r="K28">
        <v>210</v>
      </c>
      <c r="L28" s="588">
        <f t="shared" si="0"/>
        <v>10</v>
      </c>
    </row>
    <row r="29" spans="2:12" ht="14.25" hidden="1" customHeight="1" outlineLevel="2">
      <c r="B29" s="374">
        <v>42887</v>
      </c>
      <c r="C29" s="184">
        <v>4100000</v>
      </c>
      <c r="D29" s="167">
        <v>10930713</v>
      </c>
      <c r="E29" s="167">
        <v>128125</v>
      </c>
      <c r="F29" s="231">
        <v>0.67713883989086532</v>
      </c>
      <c r="G29" s="231">
        <v>0.61828332720789625</v>
      </c>
      <c r="H29" s="222">
        <v>32</v>
      </c>
      <c r="I29">
        <v>16</v>
      </c>
      <c r="J29">
        <v>16</v>
      </c>
      <c r="K29">
        <v>212</v>
      </c>
      <c r="L29" s="588">
        <f t="shared" si="0"/>
        <v>2</v>
      </c>
    </row>
    <row r="30" spans="2:12" ht="14.25" hidden="1" customHeight="1" outlineLevel="2">
      <c r="B30" s="374">
        <v>42917</v>
      </c>
      <c r="C30" s="184">
        <v>3888000</v>
      </c>
      <c r="D30" s="167">
        <v>11676470.65</v>
      </c>
      <c r="E30" s="167">
        <v>97200</v>
      </c>
      <c r="F30" s="231">
        <v>0.70212816233131192</v>
      </c>
      <c r="G30" s="231">
        <v>0.64681158479266176</v>
      </c>
      <c r="H30" s="222">
        <v>40</v>
      </c>
      <c r="I30">
        <v>20</v>
      </c>
      <c r="J30">
        <v>20</v>
      </c>
      <c r="K30">
        <v>227</v>
      </c>
      <c r="L30" s="588">
        <f t="shared" si="0"/>
        <v>15</v>
      </c>
    </row>
    <row r="31" spans="2:12" ht="14.25" hidden="1" customHeight="1" outlineLevel="2">
      <c r="B31" s="374">
        <v>42948</v>
      </c>
      <c r="C31" s="184">
        <v>4920000</v>
      </c>
      <c r="D31" s="167">
        <v>12944903.57</v>
      </c>
      <c r="E31" s="167">
        <v>100408.16326530612</v>
      </c>
      <c r="F31" s="231">
        <v>0.75855203299903762</v>
      </c>
      <c r="G31" s="231">
        <v>0.69673144796030939</v>
      </c>
      <c r="H31" s="222">
        <v>49</v>
      </c>
      <c r="I31">
        <v>27</v>
      </c>
      <c r="J31">
        <v>22</v>
      </c>
      <c r="K31">
        <v>248</v>
      </c>
      <c r="L31" s="588">
        <f t="shared" si="0"/>
        <v>21</v>
      </c>
    </row>
    <row r="32" spans="2:12" ht="14.25" hidden="1" customHeight="1" outlineLevel="2">
      <c r="B32" s="374">
        <v>42979</v>
      </c>
      <c r="C32" s="184">
        <v>4915000</v>
      </c>
      <c r="D32" s="167">
        <v>12811910.050000001</v>
      </c>
      <c r="E32" s="167">
        <v>109222.22222222222</v>
      </c>
      <c r="F32" s="231">
        <v>0.7921475439955965</v>
      </c>
      <c r="G32" s="231">
        <v>0.72009780462517881</v>
      </c>
      <c r="H32" s="222">
        <v>45</v>
      </c>
      <c r="I32">
        <v>16</v>
      </c>
      <c r="J32">
        <v>29</v>
      </c>
      <c r="K32">
        <v>248</v>
      </c>
      <c r="L32" s="588">
        <f t="shared" si="0"/>
        <v>0</v>
      </c>
    </row>
    <row r="33" spans="2:12" ht="14.25" hidden="1" customHeight="1" outlineLevel="2">
      <c r="B33" s="374">
        <v>43009</v>
      </c>
      <c r="C33" s="184">
        <v>5405000</v>
      </c>
      <c r="D33" s="167">
        <v>14130789.610000001</v>
      </c>
      <c r="E33" s="167">
        <v>105980.39215686274</v>
      </c>
      <c r="F33" s="231">
        <v>0.68162000750360052</v>
      </c>
      <c r="G33" s="231">
        <v>0.62014270617906053</v>
      </c>
      <c r="H33" s="222">
        <v>51</v>
      </c>
      <c r="I33">
        <v>22</v>
      </c>
      <c r="J33">
        <v>29</v>
      </c>
      <c r="K33">
        <v>244</v>
      </c>
      <c r="L33" s="588">
        <f t="shared" si="0"/>
        <v>-4</v>
      </c>
    </row>
    <row r="34" spans="2:12" ht="14.25" hidden="1" customHeight="1" outlineLevel="2">
      <c r="B34" s="374">
        <v>43040</v>
      </c>
      <c r="C34" s="184">
        <v>5990000</v>
      </c>
      <c r="D34" s="167">
        <v>15793239.400000002</v>
      </c>
      <c r="E34" s="167">
        <v>136136.36363636365</v>
      </c>
      <c r="F34" s="231">
        <v>0.65145830183515097</v>
      </c>
      <c r="G34" s="231">
        <v>0.59751676070720283</v>
      </c>
      <c r="H34" s="222">
        <v>44</v>
      </c>
      <c r="I34">
        <v>21</v>
      </c>
      <c r="J34">
        <v>23</v>
      </c>
      <c r="K34">
        <v>257</v>
      </c>
      <c r="L34" s="588">
        <f t="shared" si="0"/>
        <v>13</v>
      </c>
    </row>
    <row r="35" spans="2:12" ht="14.25" hidden="1" customHeight="1" outlineLevel="2">
      <c r="B35" s="374">
        <v>43070</v>
      </c>
      <c r="C35" s="184">
        <v>5230000</v>
      </c>
      <c r="D35" s="167">
        <v>16327150.09</v>
      </c>
      <c r="E35" s="167">
        <v>118863.63636363637</v>
      </c>
      <c r="F35" s="231">
        <v>0.75299833297483942</v>
      </c>
      <c r="G35" s="231">
        <v>0.68760276443416857</v>
      </c>
      <c r="H35" s="222">
        <v>44</v>
      </c>
      <c r="I35">
        <v>16</v>
      </c>
      <c r="J35">
        <v>28</v>
      </c>
      <c r="K35">
        <v>278</v>
      </c>
      <c r="L35" s="588">
        <f t="shared" si="0"/>
        <v>21</v>
      </c>
    </row>
    <row r="36" spans="2:12" ht="14.25" hidden="1" customHeight="1" outlineLevel="2">
      <c r="B36" s="374">
        <v>43101</v>
      </c>
      <c r="C36" s="184">
        <v>6235000</v>
      </c>
      <c r="D36" s="167">
        <v>17226775.530000001</v>
      </c>
      <c r="E36" s="167">
        <v>111339.28571428571</v>
      </c>
      <c r="F36" s="231">
        <v>0.702925469651139</v>
      </c>
      <c r="G36" s="231">
        <v>0.63854987513379646</v>
      </c>
      <c r="H36" s="222">
        <v>56</v>
      </c>
      <c r="I36">
        <v>23</v>
      </c>
      <c r="J36">
        <v>33</v>
      </c>
      <c r="K36">
        <v>284</v>
      </c>
      <c r="L36" s="588">
        <f t="shared" si="0"/>
        <v>6</v>
      </c>
    </row>
    <row r="37" spans="2:12" ht="14.25" hidden="1" customHeight="1" outlineLevel="2">
      <c r="B37" s="375">
        <v>43132</v>
      </c>
      <c r="C37" s="376">
        <v>7130000</v>
      </c>
      <c r="D37" s="377">
        <v>19661322.16</v>
      </c>
      <c r="E37" s="380">
        <v>125087.71929824562</v>
      </c>
      <c r="F37" s="378">
        <v>0.6321730603289194</v>
      </c>
      <c r="G37" s="378">
        <v>0.57976411477832535</v>
      </c>
      <c r="H37" s="384">
        <v>57</v>
      </c>
      <c r="I37" s="379">
        <v>27</v>
      </c>
      <c r="J37" s="379">
        <v>30</v>
      </c>
      <c r="K37" s="379">
        <v>297</v>
      </c>
      <c r="L37" s="588">
        <f t="shared" si="0"/>
        <v>13</v>
      </c>
    </row>
    <row r="38" spans="2:12" ht="14.25" hidden="1" customHeight="1" outlineLevel="2">
      <c r="B38" s="374">
        <v>43160</v>
      </c>
      <c r="C38" s="184">
        <v>6460000</v>
      </c>
      <c r="D38" s="167">
        <v>20040814.000000007</v>
      </c>
      <c r="E38" s="167">
        <v>126666.66666666667</v>
      </c>
      <c r="F38" s="231">
        <v>0.78388018370910451</v>
      </c>
      <c r="G38" s="231">
        <v>0.71816193371638726</v>
      </c>
      <c r="H38" s="222">
        <v>51</v>
      </c>
      <c r="I38">
        <v>19</v>
      </c>
      <c r="J38">
        <v>32</v>
      </c>
      <c r="K38">
        <v>301</v>
      </c>
      <c r="L38" s="588">
        <f t="shared" si="0"/>
        <v>4</v>
      </c>
    </row>
    <row r="39" spans="2:12" ht="14.25" hidden="1" customHeight="1" outlineLevel="2">
      <c r="B39" s="374">
        <v>43191</v>
      </c>
      <c r="C39" s="184">
        <v>7980000</v>
      </c>
      <c r="D39" s="167">
        <v>21238134.200000003</v>
      </c>
      <c r="E39" s="381">
        <v>147777.77777777778</v>
      </c>
      <c r="F39" s="231">
        <v>0.64985991095206463</v>
      </c>
      <c r="G39" s="231">
        <v>0.60861256273343345</v>
      </c>
      <c r="H39" s="222">
        <v>54</v>
      </c>
      <c r="I39">
        <v>20</v>
      </c>
      <c r="J39">
        <v>34</v>
      </c>
      <c r="K39">
        <v>285</v>
      </c>
      <c r="L39" s="588">
        <f t="shared" si="0"/>
        <v>-16</v>
      </c>
    </row>
    <row r="40" spans="2:12" ht="14.25" hidden="1" customHeight="1" outlineLevel="2">
      <c r="B40" s="374">
        <v>43221</v>
      </c>
      <c r="C40" s="184">
        <v>9405000</v>
      </c>
      <c r="D40" s="167">
        <v>24377632.620000001</v>
      </c>
      <c r="E40" s="381">
        <v>122142.85714285714</v>
      </c>
      <c r="F40" s="231">
        <v>0.61726438963784824</v>
      </c>
      <c r="G40" s="231">
        <v>0.58010412729175709</v>
      </c>
      <c r="H40" s="382">
        <v>77</v>
      </c>
      <c r="I40">
        <v>44</v>
      </c>
      <c r="J40">
        <v>33</v>
      </c>
      <c r="K40">
        <v>318</v>
      </c>
      <c r="L40" s="588">
        <f t="shared" si="0"/>
        <v>33</v>
      </c>
    </row>
    <row r="41" spans="2:12" ht="14.25" hidden="1" customHeight="1" outlineLevel="2">
      <c r="B41" s="374">
        <v>43252</v>
      </c>
      <c r="C41" s="184">
        <v>8421820.5</v>
      </c>
      <c r="D41" s="167">
        <v>24876301.41</v>
      </c>
      <c r="E41" s="381">
        <v>120311.72142857143</v>
      </c>
      <c r="F41" s="231">
        <v>0.68510944609912572</v>
      </c>
      <c r="G41" s="231">
        <v>0.64829045154440657</v>
      </c>
      <c r="H41" s="382">
        <v>70</v>
      </c>
      <c r="I41">
        <v>32</v>
      </c>
      <c r="J41">
        <v>38</v>
      </c>
      <c r="K41">
        <v>339</v>
      </c>
      <c r="L41" s="588">
        <f t="shared" si="0"/>
        <v>21</v>
      </c>
    </row>
    <row r="42" spans="2:12" ht="14.25" hidden="1" customHeight="1" outlineLevel="2">
      <c r="B42" s="374">
        <v>43282</v>
      </c>
      <c r="C42" s="184">
        <v>12694925.050000001</v>
      </c>
      <c r="D42" s="167">
        <v>28775974.27</v>
      </c>
      <c r="E42" s="381">
        <v>151130.06011904762</v>
      </c>
      <c r="F42" s="231">
        <v>0.61530447844676917</v>
      </c>
      <c r="G42" s="231">
        <v>0.58527055980375542</v>
      </c>
      <c r="H42" s="382">
        <v>84</v>
      </c>
      <c r="I42">
        <v>39</v>
      </c>
      <c r="J42">
        <v>45</v>
      </c>
      <c r="K42">
        <v>371</v>
      </c>
      <c r="L42" s="588">
        <f t="shared" si="0"/>
        <v>32</v>
      </c>
    </row>
    <row r="43" spans="2:12" ht="14.25" hidden="1" customHeight="1" outlineLevel="2">
      <c r="B43" s="374">
        <v>43313</v>
      </c>
      <c r="C43" s="184">
        <v>14673750</v>
      </c>
      <c r="D43" s="167">
        <v>32752529.600000001</v>
      </c>
      <c r="E43" s="381">
        <v>143860.29411764705</v>
      </c>
      <c r="F43" s="231">
        <v>0.65130144573627069</v>
      </c>
      <c r="G43" s="231">
        <v>0.62328878814764965</v>
      </c>
      <c r="H43" s="382">
        <v>102</v>
      </c>
      <c r="I43">
        <v>51</v>
      </c>
      <c r="J43">
        <v>51</v>
      </c>
      <c r="K43">
        <v>391</v>
      </c>
      <c r="L43" s="588">
        <f t="shared" si="0"/>
        <v>20</v>
      </c>
    </row>
    <row r="44" spans="2:12" ht="14.25" hidden="1" customHeight="1" outlineLevel="2">
      <c r="B44" s="374">
        <v>43344</v>
      </c>
      <c r="C44" s="184">
        <v>12545000</v>
      </c>
      <c r="D44" s="167">
        <v>35445284.719999999</v>
      </c>
      <c r="E44" s="381">
        <v>134892.47311827957</v>
      </c>
      <c r="F44" s="231">
        <v>0.59014873897167563</v>
      </c>
      <c r="G44" s="231">
        <v>0.56525401782330265</v>
      </c>
      <c r="H44" s="382">
        <v>93</v>
      </c>
      <c r="I44">
        <v>45</v>
      </c>
      <c r="J44">
        <v>48</v>
      </c>
      <c r="K44">
        <v>421</v>
      </c>
      <c r="L44" s="588">
        <f t="shared" si="0"/>
        <v>30</v>
      </c>
    </row>
    <row r="45" spans="2:12" ht="14.25" hidden="1" customHeight="1" outlineLevel="2">
      <c r="B45" s="374">
        <v>43374</v>
      </c>
      <c r="C45" s="184">
        <v>17139660.780000001</v>
      </c>
      <c r="D45" s="167">
        <v>42010777.219999999</v>
      </c>
      <c r="E45" s="381">
        <v>147755.69637931036</v>
      </c>
      <c r="F45" s="231">
        <v>0.58745688114170047</v>
      </c>
      <c r="G45" s="231">
        <v>0.56710045264947095</v>
      </c>
      <c r="H45" s="382">
        <v>116</v>
      </c>
      <c r="I45">
        <v>54</v>
      </c>
      <c r="J45">
        <v>62</v>
      </c>
      <c r="K45">
        <v>451</v>
      </c>
      <c r="L45" s="588">
        <f t="shared" si="0"/>
        <v>30</v>
      </c>
    </row>
    <row r="46" spans="2:12" ht="14.25" hidden="1" customHeight="1" outlineLevel="2">
      <c r="B46" s="374">
        <v>43405</v>
      </c>
      <c r="C46" s="184">
        <v>18697474.359999999</v>
      </c>
      <c r="D46" s="167">
        <v>48128211.330000006</v>
      </c>
      <c r="E46" s="381">
        <v>158453.17254237286</v>
      </c>
      <c r="F46" s="231">
        <v>0.58028762898552544</v>
      </c>
      <c r="G46" s="231">
        <v>0.56134329674222982</v>
      </c>
      <c r="H46" s="382">
        <v>118</v>
      </c>
      <c r="I46">
        <v>57</v>
      </c>
      <c r="J46">
        <v>61</v>
      </c>
      <c r="K46">
        <v>479</v>
      </c>
      <c r="L46" s="588">
        <f t="shared" si="0"/>
        <v>28</v>
      </c>
    </row>
    <row r="47" spans="2:12" ht="14.25" hidden="1" customHeight="1" outlineLevel="2">
      <c r="B47" s="374">
        <v>43435</v>
      </c>
      <c r="C47" s="184">
        <v>12958805.710000001</v>
      </c>
      <c r="D47" s="167">
        <v>49311217.359999999</v>
      </c>
      <c r="E47" s="381">
        <v>143986.73011111113</v>
      </c>
      <c r="F47" s="231">
        <v>0.63692095716697594</v>
      </c>
      <c r="G47" s="231">
        <v>0.6144140557693063</v>
      </c>
      <c r="H47" s="382">
        <v>90</v>
      </c>
      <c r="I47">
        <v>32</v>
      </c>
      <c r="J47">
        <v>58</v>
      </c>
      <c r="K47">
        <v>491</v>
      </c>
      <c r="L47" s="588">
        <f t="shared" si="0"/>
        <v>12</v>
      </c>
    </row>
    <row r="48" spans="2:12" ht="14.25" hidden="1" customHeight="1" outlineLevel="2">
      <c r="B48" s="374">
        <v>43467</v>
      </c>
      <c r="C48" s="184">
        <v>19558079.52</v>
      </c>
      <c r="D48" s="167">
        <v>54897873.400000006</v>
      </c>
      <c r="E48" s="381">
        <v>174625.71</v>
      </c>
      <c r="F48" s="231">
        <v>0.57841759021579875</v>
      </c>
      <c r="G48" s="231">
        <v>0.56073070687742166</v>
      </c>
      <c r="H48" s="382">
        <v>112</v>
      </c>
      <c r="I48">
        <v>52</v>
      </c>
      <c r="J48">
        <v>60</v>
      </c>
      <c r="K48">
        <v>512</v>
      </c>
      <c r="L48" s="588">
        <f t="shared" si="0"/>
        <v>21</v>
      </c>
    </row>
    <row r="49" spans="2:12" ht="14.25" hidden="1" customHeight="1" outlineLevel="2">
      <c r="B49" s="375">
        <v>43499</v>
      </c>
      <c r="C49" s="376">
        <v>19754406.27</v>
      </c>
      <c r="D49" s="377">
        <v>62162711.82</v>
      </c>
      <c r="E49" s="380">
        <v>173284.26552631578</v>
      </c>
      <c r="F49" s="378">
        <v>0.56928285919171151</v>
      </c>
      <c r="G49" s="378">
        <v>0.55317000138854588</v>
      </c>
      <c r="H49" s="384">
        <v>114</v>
      </c>
      <c r="I49" s="379">
        <v>43</v>
      </c>
      <c r="J49" s="379">
        <v>71</v>
      </c>
      <c r="K49" s="379">
        <v>531</v>
      </c>
      <c r="L49" s="588">
        <f t="shared" si="0"/>
        <v>19</v>
      </c>
    </row>
    <row r="50" spans="2:12" ht="14.25" hidden="1" customHeight="1" outlineLevel="2">
      <c r="B50" s="374">
        <v>43525</v>
      </c>
      <c r="C50" s="184">
        <v>17398565.109999999</v>
      </c>
      <c r="D50" s="167">
        <v>61929009.229999997</v>
      </c>
      <c r="E50" s="381">
        <v>161097.8250925926</v>
      </c>
      <c r="F50" s="231">
        <v>0.66300175944216377</v>
      </c>
      <c r="G50" s="231">
        <v>0.64401709655889205</v>
      </c>
      <c r="H50" s="382">
        <v>108</v>
      </c>
      <c r="I50">
        <v>43</v>
      </c>
      <c r="J50">
        <v>65</v>
      </c>
      <c r="K50">
        <v>520</v>
      </c>
      <c r="L50" s="588">
        <f t="shared" si="0"/>
        <v>-11</v>
      </c>
    </row>
    <row r="51" spans="2:12" ht="14.25" hidden="1" customHeight="1" outlineLevel="2">
      <c r="B51" s="374">
        <v>43556</v>
      </c>
      <c r="C51" s="184">
        <v>18743819.210000001</v>
      </c>
      <c r="D51" s="167">
        <v>64725210.870000005</v>
      </c>
      <c r="E51" s="381">
        <v>153637.8623770492</v>
      </c>
      <c r="F51" s="231">
        <v>0.64037214313984048</v>
      </c>
      <c r="G51" s="231">
        <v>0.62386256096015802</v>
      </c>
      <c r="H51" s="382">
        <v>122</v>
      </c>
      <c r="I51">
        <v>55</v>
      </c>
      <c r="J51">
        <v>67</v>
      </c>
      <c r="K51">
        <v>548</v>
      </c>
      <c r="L51" s="588">
        <f t="shared" si="0"/>
        <v>28</v>
      </c>
    </row>
    <row r="52" spans="2:12" ht="14.25" hidden="1" customHeight="1" outlineLevel="2">
      <c r="B52" s="374">
        <v>43586</v>
      </c>
      <c r="C52" s="184">
        <v>26480831.050000001</v>
      </c>
      <c r="D52" s="167">
        <v>72971393.439999998</v>
      </c>
      <c r="E52" s="381">
        <v>183894.66006944445</v>
      </c>
      <c r="F52" s="231">
        <v>0.57105869349012117</v>
      </c>
      <c r="G52" s="231">
        <v>0.5574940584326169</v>
      </c>
      <c r="H52" s="382">
        <v>144</v>
      </c>
      <c r="I52">
        <v>50</v>
      </c>
      <c r="J52">
        <v>94</v>
      </c>
      <c r="K52">
        <v>569</v>
      </c>
      <c r="L52" s="588">
        <f t="shared" si="0"/>
        <v>21</v>
      </c>
    </row>
    <row r="53" spans="2:12" ht="14.25" hidden="1" customHeight="1" outlineLevel="2">
      <c r="B53" s="374">
        <v>43617</v>
      </c>
      <c r="C53" s="184">
        <v>22076324.91</v>
      </c>
      <c r="D53" s="167">
        <v>76438730.350000009</v>
      </c>
      <c r="E53" s="381">
        <v>193651.97289473686</v>
      </c>
      <c r="F53" s="231">
        <v>0.56107871969644774</v>
      </c>
      <c r="G53" s="231">
        <v>0.54705224660524721</v>
      </c>
      <c r="H53" s="382">
        <v>114</v>
      </c>
      <c r="I53">
        <v>46</v>
      </c>
      <c r="J53">
        <v>68</v>
      </c>
      <c r="K53">
        <v>576</v>
      </c>
      <c r="L53" s="588">
        <f t="shared" si="0"/>
        <v>7</v>
      </c>
    </row>
    <row r="54" spans="2:12" ht="14.25" hidden="1" customHeight="1" outlineLevel="2">
      <c r="B54" s="374">
        <v>43647</v>
      </c>
      <c r="C54" s="184">
        <v>30011952.859999996</v>
      </c>
      <c r="D54" s="167">
        <v>84466078.739999995</v>
      </c>
      <c r="E54" s="381">
        <v>186409.64509316767</v>
      </c>
      <c r="F54" s="231">
        <v>0.5871422964082067</v>
      </c>
      <c r="G54" s="231">
        <v>0.57273248653189079</v>
      </c>
      <c r="H54" s="382">
        <v>161</v>
      </c>
      <c r="I54">
        <v>65</v>
      </c>
      <c r="J54">
        <v>96</v>
      </c>
      <c r="K54">
        <v>616</v>
      </c>
      <c r="L54" s="588">
        <f t="shared" si="0"/>
        <v>40</v>
      </c>
    </row>
    <row r="55" spans="2:12" ht="14.25" hidden="1" customHeight="1" outlineLevel="2">
      <c r="B55" s="374">
        <v>43678</v>
      </c>
      <c r="C55" s="184">
        <v>28033925.010000002</v>
      </c>
      <c r="D55" s="167">
        <v>92550261.329999998</v>
      </c>
      <c r="E55" s="381">
        <v>158383.75711864408</v>
      </c>
      <c r="F55" s="231">
        <v>0.56674632579343798</v>
      </c>
      <c r="G55" s="231">
        <v>0.55306567587084876</v>
      </c>
      <c r="H55" s="382">
        <v>177</v>
      </c>
      <c r="I55">
        <v>71</v>
      </c>
      <c r="J55">
        <v>106</v>
      </c>
      <c r="K55">
        <v>644</v>
      </c>
      <c r="L55" s="588">
        <f t="shared" si="0"/>
        <v>28</v>
      </c>
    </row>
    <row r="56" spans="2:12" ht="14.25" hidden="1" customHeight="1" outlineLevel="2">
      <c r="B56" s="374">
        <v>43709</v>
      </c>
      <c r="C56" s="184">
        <v>32258340.800000001</v>
      </c>
      <c r="D56" s="167">
        <v>104069348.72</v>
      </c>
      <c r="E56" s="381">
        <v>156593.88737864079</v>
      </c>
      <c r="F56" s="231">
        <v>0.49693036841366717</v>
      </c>
      <c r="G56" s="231">
        <v>0.4855770775242223</v>
      </c>
      <c r="H56" s="382">
        <v>206</v>
      </c>
      <c r="I56">
        <v>91</v>
      </c>
      <c r="J56">
        <v>115</v>
      </c>
      <c r="K56">
        <v>711</v>
      </c>
      <c r="L56" s="588">
        <f t="shared" si="0"/>
        <v>67</v>
      </c>
    </row>
    <row r="57" spans="2:12" ht="14.25" hidden="1" customHeight="1" outlineLevel="2">
      <c r="B57" s="374">
        <v>43739</v>
      </c>
      <c r="C57" s="184">
        <v>35585618.019999996</v>
      </c>
      <c r="D57" s="167">
        <v>115590235.16</v>
      </c>
      <c r="E57" s="381">
        <v>193400.09793478259</v>
      </c>
      <c r="F57" s="231">
        <v>0.51141933743947232</v>
      </c>
      <c r="G57" s="231">
        <v>0.50071114877744982</v>
      </c>
      <c r="H57" s="382">
        <v>184</v>
      </c>
      <c r="I57">
        <v>77</v>
      </c>
      <c r="J57">
        <v>107</v>
      </c>
      <c r="K57">
        <v>761</v>
      </c>
      <c r="L57" s="588">
        <f t="shared" si="0"/>
        <v>50</v>
      </c>
    </row>
    <row r="58" spans="2:12" ht="14.25" hidden="1" customHeight="1" outlineLevel="2">
      <c r="B58" s="374">
        <v>43770</v>
      </c>
      <c r="C58" s="184">
        <v>46175691.140000001</v>
      </c>
      <c r="D58" s="167">
        <v>139507363.67999998</v>
      </c>
      <c r="E58" s="381">
        <v>162590.46176056337</v>
      </c>
      <c r="F58" s="231">
        <v>0.47678040416970202</v>
      </c>
      <c r="G58" s="231">
        <v>0.46671946291008531</v>
      </c>
      <c r="H58" s="382">
        <v>284</v>
      </c>
      <c r="I58">
        <v>133</v>
      </c>
      <c r="J58">
        <v>151</v>
      </c>
      <c r="K58">
        <v>863</v>
      </c>
      <c r="L58" s="588">
        <f t="shared" si="0"/>
        <v>102</v>
      </c>
    </row>
    <row r="59" spans="2:12" ht="14.25" hidden="1" customHeight="1" outlineLevel="2">
      <c r="B59" s="374">
        <v>43800</v>
      </c>
      <c r="C59" s="184">
        <v>35018302.519999996</v>
      </c>
      <c r="D59" s="167">
        <v>146248427.44</v>
      </c>
      <c r="E59" s="381">
        <v>165180.67226415093</v>
      </c>
      <c r="F59" s="231">
        <v>0.56960674995412452</v>
      </c>
      <c r="G59" s="231">
        <v>0.54160063978828832</v>
      </c>
      <c r="H59" s="382">
        <v>212</v>
      </c>
      <c r="I59">
        <v>96</v>
      </c>
      <c r="J59">
        <v>116</v>
      </c>
      <c r="K59">
        <v>918</v>
      </c>
      <c r="L59" s="588">
        <f t="shared" si="0"/>
        <v>55</v>
      </c>
    </row>
    <row r="60" spans="2:12" ht="14.25" hidden="1" customHeight="1" outlineLevel="2">
      <c r="B60" s="383" t="s">
        <v>44</v>
      </c>
      <c r="C60" s="184">
        <v>35511865.25</v>
      </c>
      <c r="D60" s="167">
        <v>152975667.53999999</v>
      </c>
      <c r="E60" s="381">
        <v>133003.24063670411</v>
      </c>
      <c r="F60" s="231">
        <v>0.54455779000420246</v>
      </c>
      <c r="G60" s="231">
        <v>0.53087525147190651</v>
      </c>
      <c r="H60" s="382">
        <v>267</v>
      </c>
      <c r="I60">
        <v>103</v>
      </c>
      <c r="J60">
        <v>164</v>
      </c>
      <c r="K60">
        <v>999</v>
      </c>
      <c r="L60" s="588">
        <f t="shared" si="0"/>
        <v>81</v>
      </c>
    </row>
    <row r="61" spans="2:12" ht="14.25" hidden="1" customHeight="1" outlineLevel="2">
      <c r="B61" s="375" t="s">
        <v>45</v>
      </c>
      <c r="C61" s="376">
        <v>48262276.890000008</v>
      </c>
      <c r="D61" s="377">
        <v>173989156.77000001</v>
      </c>
      <c r="E61" s="380">
        <v>160339.79033222594</v>
      </c>
      <c r="F61" s="378">
        <v>0.46412462649467667</v>
      </c>
      <c r="G61" s="378">
        <v>0.45499174998869596</v>
      </c>
      <c r="H61" s="384">
        <v>301</v>
      </c>
      <c r="I61" s="379">
        <v>139</v>
      </c>
      <c r="J61" s="379">
        <v>162</v>
      </c>
      <c r="K61" s="379">
        <v>1093</v>
      </c>
      <c r="L61" s="588">
        <f t="shared" si="0"/>
        <v>94</v>
      </c>
    </row>
    <row r="62" spans="2:12" ht="14.25" hidden="1" customHeight="1" outlineLevel="2">
      <c r="B62" s="374">
        <v>43910</v>
      </c>
      <c r="C62" s="184">
        <v>27177610.109999999</v>
      </c>
      <c r="D62" s="167">
        <v>163974317.72</v>
      </c>
      <c r="E62" s="381">
        <v>145334.81342245988</v>
      </c>
      <c r="F62" s="231">
        <v>0.55546890724394593</v>
      </c>
      <c r="G62" s="231">
        <v>0.53360167293724703</v>
      </c>
      <c r="H62" s="382">
        <v>187</v>
      </c>
      <c r="I62">
        <v>60</v>
      </c>
      <c r="J62">
        <v>127</v>
      </c>
      <c r="K62">
        <v>1103</v>
      </c>
      <c r="L62" s="588">
        <f t="shared" si="0"/>
        <v>10</v>
      </c>
    </row>
    <row r="63" spans="2:12" ht="14.25" hidden="1" customHeight="1" outlineLevel="2">
      <c r="B63" s="374">
        <v>43941</v>
      </c>
      <c r="C63" s="184">
        <v>3355666.49</v>
      </c>
      <c r="D63" s="167">
        <v>146552049.86999997</v>
      </c>
      <c r="E63" s="381">
        <v>86042.730512820519</v>
      </c>
      <c r="F63" s="231">
        <v>0.51748716000406225</v>
      </c>
      <c r="G63" s="231">
        <v>0.48302660106163003</v>
      </c>
      <c r="H63" s="382">
        <v>39</v>
      </c>
      <c r="I63" s="198">
        <v>9</v>
      </c>
      <c r="J63">
        <v>30</v>
      </c>
      <c r="K63">
        <v>1053</v>
      </c>
      <c r="L63" s="588">
        <f t="shared" si="0"/>
        <v>-50</v>
      </c>
    </row>
    <row r="64" spans="2:12" ht="14.25" hidden="1" customHeight="1" outlineLevel="2">
      <c r="B64" s="374">
        <v>43971</v>
      </c>
      <c r="C64" s="184">
        <v>15038585.960000001</v>
      </c>
      <c r="D64" s="167">
        <v>142180649.96999997</v>
      </c>
      <c r="E64" s="381">
        <v>183397.38975609757</v>
      </c>
      <c r="F64" s="231">
        <v>0.4464798717223083</v>
      </c>
      <c r="G64" s="231">
        <v>0.40894574369874437</v>
      </c>
      <c r="H64" s="382">
        <v>82</v>
      </c>
      <c r="I64" s="198">
        <v>22</v>
      </c>
      <c r="J64">
        <v>61</v>
      </c>
      <c r="K64">
        <v>1015</v>
      </c>
      <c r="L64" s="588">
        <f t="shared" si="0"/>
        <v>-38</v>
      </c>
    </row>
    <row r="65" spans="2:12" ht="14.25" hidden="1" customHeight="1" outlineLevel="2">
      <c r="B65" s="374">
        <v>44002</v>
      </c>
      <c r="C65" s="184">
        <v>21308427.959999997</v>
      </c>
      <c r="D65" s="167">
        <v>139950461.64000002</v>
      </c>
      <c r="E65" s="381">
        <v>171842.16096774192</v>
      </c>
      <c r="F65" s="231">
        <v>0.5014992452153515</v>
      </c>
      <c r="G65" s="231">
        <v>0.45429704352394029</v>
      </c>
      <c r="H65" s="382">
        <v>124</v>
      </c>
      <c r="I65" s="198">
        <v>26</v>
      </c>
      <c r="J65">
        <v>100</v>
      </c>
      <c r="K65">
        <v>990</v>
      </c>
      <c r="L65" s="588">
        <f t="shared" si="0"/>
        <v>-25</v>
      </c>
    </row>
    <row r="66" spans="2:12" ht="14.25" hidden="1" customHeight="1" outlineLevel="2">
      <c r="B66" s="374">
        <v>44032</v>
      </c>
      <c r="C66" s="184">
        <v>23266797.469999999</v>
      </c>
      <c r="D66" s="167">
        <v>132861838.43000001</v>
      </c>
      <c r="E66" s="381">
        <v>162704.8774125874</v>
      </c>
      <c r="F66" s="231">
        <v>0.57989894939315412</v>
      </c>
      <c r="G66" s="231">
        <v>0.52011380461340473</v>
      </c>
      <c r="H66" s="382">
        <v>143</v>
      </c>
      <c r="I66" s="198">
        <v>38</v>
      </c>
      <c r="J66">
        <v>105</v>
      </c>
      <c r="K66">
        <v>968</v>
      </c>
      <c r="L66" s="588">
        <f t="shared" si="0"/>
        <v>-22</v>
      </c>
    </row>
    <row r="67" spans="2:12" ht="14.25" hidden="1" customHeight="1" outlineLevel="2">
      <c r="B67" s="374">
        <v>44063</v>
      </c>
      <c r="C67" s="184">
        <v>31525041.82</v>
      </c>
      <c r="D67" s="167">
        <v>136537794.61000001</v>
      </c>
      <c r="E67" s="381">
        <v>191060.8595151515</v>
      </c>
      <c r="F67" s="231">
        <v>0.5537673908969255</v>
      </c>
      <c r="G67" s="231">
        <v>0.49871688037820439</v>
      </c>
      <c r="H67" s="382">
        <v>165</v>
      </c>
      <c r="I67" s="198">
        <v>47</v>
      </c>
      <c r="J67">
        <v>118</v>
      </c>
      <c r="K67">
        <v>949</v>
      </c>
      <c r="L67" s="588">
        <f t="shared" si="0"/>
        <v>-19</v>
      </c>
    </row>
    <row r="68" spans="2:12" ht="14.25" hidden="1" customHeight="1" outlineLevel="2">
      <c r="B68" s="374">
        <v>44094</v>
      </c>
      <c r="C68" s="184">
        <v>32753816.079999998</v>
      </c>
      <c r="D68" s="167">
        <v>141287859.08999997</v>
      </c>
      <c r="E68" s="167">
        <v>150939.24460829492</v>
      </c>
      <c r="F68" s="231">
        <v>0.54212122268205021</v>
      </c>
      <c r="G68" s="231">
        <v>0.49128671795243062</v>
      </c>
      <c r="H68" s="382">
        <v>217</v>
      </c>
      <c r="I68" s="198">
        <v>46</v>
      </c>
      <c r="J68" s="198">
        <v>171</v>
      </c>
      <c r="K68">
        <v>939</v>
      </c>
      <c r="L68" s="588">
        <f t="shared" si="0"/>
        <v>-10</v>
      </c>
    </row>
    <row r="69" spans="2:12" ht="14.25" hidden="1" customHeight="1" outlineLevel="2">
      <c r="B69" s="374">
        <v>44124</v>
      </c>
      <c r="C69" s="184">
        <v>40404952.340000004</v>
      </c>
      <c r="D69" s="167">
        <v>152584796.03999999</v>
      </c>
      <c r="E69" s="167">
        <v>162268.8848995984</v>
      </c>
      <c r="F69" s="231">
        <v>0.55452945742915838</v>
      </c>
      <c r="G69" s="231">
        <v>0.51039369807881207</v>
      </c>
      <c r="H69" s="382">
        <v>249</v>
      </c>
      <c r="I69" s="198">
        <v>67</v>
      </c>
      <c r="J69" s="198">
        <v>182</v>
      </c>
      <c r="K69">
        <v>960</v>
      </c>
      <c r="L69" s="588">
        <f t="shared" si="0"/>
        <v>21</v>
      </c>
    </row>
    <row r="70" spans="2:12" ht="14.25" hidden="1" customHeight="1" outlineLevel="2">
      <c r="B70" s="374">
        <v>44155</v>
      </c>
      <c r="C70" s="184">
        <v>50430735.629999995</v>
      </c>
      <c r="D70" s="167">
        <v>173994816.22000003</v>
      </c>
      <c r="E70" s="167">
        <v>166438.07028753747</v>
      </c>
      <c r="F70" s="231">
        <v>0.48396283676364338</v>
      </c>
      <c r="G70" s="231">
        <v>0.44954031070245803</v>
      </c>
      <c r="H70" s="382">
        <v>303.00000199999999</v>
      </c>
      <c r="I70" s="198">
        <v>92</v>
      </c>
      <c r="J70" s="198">
        <v>211</v>
      </c>
      <c r="K70">
        <v>1033</v>
      </c>
      <c r="L70" s="588">
        <f t="shared" si="0"/>
        <v>73</v>
      </c>
    </row>
    <row r="71" spans="2:12" ht="14.25" hidden="1" customHeight="1" outlineLevel="2">
      <c r="B71" s="374">
        <v>44185</v>
      </c>
      <c r="C71" s="184">
        <v>37313419.979999997</v>
      </c>
      <c r="D71" s="167">
        <v>172085528.53</v>
      </c>
      <c r="E71" s="167">
        <v>140805.35788375334</v>
      </c>
      <c r="F71" s="231">
        <v>0.54633472647649128</v>
      </c>
      <c r="G71" s="231">
        <v>0.50804694242637538</v>
      </c>
      <c r="H71" s="382">
        <v>265.000001</v>
      </c>
      <c r="I71" s="198">
        <v>88</v>
      </c>
      <c r="J71" s="198">
        <v>177</v>
      </c>
      <c r="K71">
        <v>1056</v>
      </c>
      <c r="L71" s="588">
        <f t="shared" si="0"/>
        <v>23</v>
      </c>
    </row>
    <row r="72" spans="2:12" ht="14.25" hidden="1" customHeight="1" outlineLevel="2">
      <c r="B72" s="374">
        <v>44216</v>
      </c>
      <c r="C72" s="184">
        <v>40038513.650000006</v>
      </c>
      <c r="D72" s="167">
        <v>178442093.54999998</v>
      </c>
      <c r="E72" s="167">
        <v>149956.97883927359</v>
      </c>
      <c r="F72" s="231">
        <v>0.51428404752652046</v>
      </c>
      <c r="G72" s="231">
        <v>0.48297928946892821</v>
      </c>
      <c r="H72" s="382">
        <v>267.00000199999999</v>
      </c>
      <c r="I72" s="198">
        <v>58</v>
      </c>
      <c r="J72" s="198">
        <v>209</v>
      </c>
      <c r="K72">
        <v>1061</v>
      </c>
      <c r="L72" s="588">
        <f t="shared" si="0"/>
        <v>5</v>
      </c>
    </row>
    <row r="73" spans="2:12" ht="14.25" hidden="1" customHeight="1" outlineLevel="2">
      <c r="B73" s="375">
        <v>44248</v>
      </c>
      <c r="C73" s="376">
        <v>55646715.060000002</v>
      </c>
      <c r="D73" s="377">
        <v>196018392.25999999</v>
      </c>
      <c r="E73" s="380">
        <v>166109.59719303818</v>
      </c>
      <c r="F73" s="378">
        <v>0.48720466329163031</v>
      </c>
      <c r="G73" s="378">
        <v>0.46682004568099983</v>
      </c>
      <c r="H73" s="385">
        <v>335.00000000199998</v>
      </c>
      <c r="I73" s="386">
        <v>106</v>
      </c>
      <c r="J73" s="379">
        <v>229</v>
      </c>
      <c r="K73" s="379">
        <v>1127</v>
      </c>
      <c r="L73" s="588">
        <f t="shared" si="0"/>
        <v>66</v>
      </c>
    </row>
    <row r="74" spans="2:12" ht="14.25" hidden="1" customHeight="1" outlineLevel="2">
      <c r="B74" s="374">
        <v>44276</v>
      </c>
      <c r="C74" s="184">
        <v>64955616.599999994</v>
      </c>
      <c r="D74" s="167">
        <v>220390621.63</v>
      </c>
      <c r="E74" s="381">
        <v>178449.49565869782</v>
      </c>
      <c r="F74" s="231">
        <v>0.51943756151381026</v>
      </c>
      <c r="G74" s="231">
        <v>0.49779753457299936</v>
      </c>
      <c r="H74" s="382">
        <v>364.00000101000001</v>
      </c>
      <c r="I74" s="198">
        <v>126</v>
      </c>
      <c r="J74" s="198">
        <v>238</v>
      </c>
      <c r="K74">
        <v>1224</v>
      </c>
      <c r="L74" s="588">
        <f t="shared" si="0"/>
        <v>97</v>
      </c>
    </row>
    <row r="75" spans="2:12" ht="14.25" hidden="1" customHeight="1" outlineLevel="2">
      <c r="B75" s="374">
        <v>44307</v>
      </c>
      <c r="C75" s="184">
        <v>47690153.739999995</v>
      </c>
      <c r="D75" s="167">
        <v>226065484.18999997</v>
      </c>
      <c r="E75" s="381">
        <v>134338.46086101839</v>
      </c>
      <c r="F75" s="231">
        <v>0.54118877651032371</v>
      </c>
      <c r="G75" s="231">
        <v>0.51812809525840553</v>
      </c>
      <c r="H75" s="382">
        <v>355.000001</v>
      </c>
      <c r="I75" s="198">
        <v>116</v>
      </c>
      <c r="J75" s="198">
        <v>239</v>
      </c>
      <c r="K75">
        <v>1285</v>
      </c>
      <c r="L75" s="588">
        <f t="shared" si="0"/>
        <v>61</v>
      </c>
    </row>
    <row r="76" spans="2:12" ht="14.25" hidden="1" customHeight="1" outlineLevel="2">
      <c r="B76" s="374">
        <v>44337</v>
      </c>
      <c r="C76" s="184">
        <v>71314512.800000012</v>
      </c>
      <c r="D76" s="167">
        <v>250869657.73000002</v>
      </c>
      <c r="E76" s="381">
        <v>179633.53350125949</v>
      </c>
      <c r="F76" s="231">
        <v>0.5048068206650077</v>
      </c>
      <c r="G76" s="231">
        <v>0.48452695468070484</v>
      </c>
      <c r="H76" s="382">
        <v>397</v>
      </c>
      <c r="I76" s="198">
        <v>156</v>
      </c>
      <c r="J76" s="198">
        <v>241</v>
      </c>
      <c r="K76">
        <v>1389</v>
      </c>
      <c r="L76" s="588">
        <f t="shared" si="0"/>
        <v>104</v>
      </c>
    </row>
    <row r="77" spans="2:12" ht="14.25" hidden="1" customHeight="1" outlineLevel="2">
      <c r="B77" s="374">
        <v>44368</v>
      </c>
      <c r="C77" s="184">
        <v>54508419.319999993</v>
      </c>
      <c r="D77" s="167">
        <v>261540394.85999998</v>
      </c>
      <c r="E77" s="381">
        <v>143066.71737532807</v>
      </c>
      <c r="F77" s="231">
        <v>0.45569561850588081</v>
      </c>
      <c r="G77" s="231">
        <v>0.43782860356055131</v>
      </c>
      <c r="H77" s="382">
        <v>381</v>
      </c>
      <c r="I77" s="198">
        <v>167</v>
      </c>
      <c r="J77" s="198">
        <v>212</v>
      </c>
      <c r="K77">
        <v>1488</v>
      </c>
      <c r="L77" s="588">
        <f t="shared" si="0"/>
        <v>99</v>
      </c>
    </row>
    <row r="78" spans="2:12" ht="14.25" hidden="1" customHeight="1" outlineLevel="2">
      <c r="B78" s="374">
        <v>44398</v>
      </c>
      <c r="C78" s="184">
        <v>59792418.049999997</v>
      </c>
      <c r="D78" s="167">
        <v>270692167.32999998</v>
      </c>
      <c r="E78" s="381">
        <v>164264.88475274725</v>
      </c>
      <c r="F78" s="231">
        <v>0.52098820852867123</v>
      </c>
      <c r="G78" s="231">
        <v>0.50121490790801615</v>
      </c>
      <c r="H78" s="382">
        <v>364</v>
      </c>
      <c r="I78" s="198">
        <v>157</v>
      </c>
      <c r="J78" s="198">
        <v>207</v>
      </c>
      <c r="K78">
        <v>1590</v>
      </c>
      <c r="L78" s="588">
        <f t="shared" si="0"/>
        <v>102</v>
      </c>
    </row>
    <row r="79" spans="2:12" ht="14.25" hidden="1" customHeight="1" outlineLevel="2">
      <c r="B79" s="374">
        <v>44429</v>
      </c>
      <c r="C79" s="184">
        <v>82440604.420000002</v>
      </c>
      <c r="D79" s="167">
        <v>300910698.50999999</v>
      </c>
      <c r="E79" s="381">
        <v>181988.08922737307</v>
      </c>
      <c r="F79" s="231">
        <v>0.48826624725380896</v>
      </c>
      <c r="G79" s="231">
        <v>0.46981807441710788</v>
      </c>
      <c r="H79" s="382">
        <v>453</v>
      </c>
      <c r="I79" s="198">
        <v>180</v>
      </c>
      <c r="J79" s="198">
        <v>273</v>
      </c>
      <c r="K79">
        <v>1752</v>
      </c>
      <c r="L79" s="588">
        <f t="shared" si="0"/>
        <v>162</v>
      </c>
    </row>
    <row r="80" spans="2:12" ht="14.25" hidden="1" customHeight="1" outlineLevel="2">
      <c r="B80" s="374">
        <v>44460</v>
      </c>
      <c r="C80" s="184">
        <v>77080298.390000001</v>
      </c>
      <c r="D80" s="167">
        <v>327170671.73999995</v>
      </c>
      <c r="E80" s="381">
        <v>165054.17213779327</v>
      </c>
      <c r="F80" s="231">
        <v>0.49429567699306776</v>
      </c>
      <c r="G80" s="231">
        <v>0.47579787846591698</v>
      </c>
      <c r="H80" s="382">
        <v>467.00000001000001</v>
      </c>
      <c r="I80" s="198">
        <v>209</v>
      </c>
      <c r="J80" s="198">
        <v>258</v>
      </c>
      <c r="K80">
        <v>1899</v>
      </c>
      <c r="L80" s="588">
        <f t="shared" si="0"/>
        <v>147</v>
      </c>
    </row>
    <row r="81" spans="2:12" ht="14.25" hidden="1" customHeight="1" outlineLevel="2">
      <c r="B81" s="374">
        <v>44490</v>
      </c>
      <c r="C81" s="184">
        <f>'Exposure Analysis - Dec25'!CH126</f>
        <v>87284869.799999997</v>
      </c>
      <c r="D81" s="167">
        <v>351944094.37</v>
      </c>
      <c r="E81" s="381">
        <f t="shared" ref="E81:E94" si="1">+C81/H81</f>
        <v>164378.28587570621</v>
      </c>
      <c r="F81" s="231">
        <v>0.50476222082373678</v>
      </c>
      <c r="G81" s="231">
        <v>0.48476206559747154</v>
      </c>
      <c r="H81" s="382">
        <f>'Exposure Analysis - Dec25'!CH144</f>
        <v>531</v>
      </c>
      <c r="I81" s="198">
        <v>270</v>
      </c>
      <c r="J81" s="198">
        <v>261</v>
      </c>
      <c r="K81">
        <v>2098</v>
      </c>
      <c r="L81" s="588">
        <f t="shared" si="0"/>
        <v>199</v>
      </c>
    </row>
    <row r="82" spans="2:12" ht="14.25" hidden="1" customHeight="1" outlineLevel="2">
      <c r="B82" s="374">
        <v>44521</v>
      </c>
      <c r="C82" s="184">
        <f>'Exposure Analysis - Dec25'!CK126</f>
        <v>100215868.85000001</v>
      </c>
      <c r="D82" s="167">
        <f>'Balance Sheet - Dec25'!CW10</f>
        <v>386867906.38999999</v>
      </c>
      <c r="E82" s="381">
        <f t="shared" si="1"/>
        <v>163751.4196895425</v>
      </c>
      <c r="F82" s="231">
        <f>'P&amp;L -Dec25'!BQ10/'Advance Analysis - Dec25'!D82*12</f>
        <v>0.45558719420452776</v>
      </c>
      <c r="G82" s="231">
        <f>'P&amp;L -Dec25'!BQ10/'Notes - Dec25'!CW6*12</f>
        <v>0.43697954006415179</v>
      </c>
      <c r="H82" s="382">
        <f>'Exposure Analysis - Dec25'!CK144</f>
        <v>612</v>
      </c>
      <c r="I82" s="198">
        <v>306</v>
      </c>
      <c r="J82" s="198">
        <v>306</v>
      </c>
      <c r="K82">
        <v>2356</v>
      </c>
      <c r="L82" s="588">
        <f t="shared" si="0"/>
        <v>258</v>
      </c>
    </row>
    <row r="83" spans="2:12" ht="14.25" hidden="1" customHeight="1" outlineLevel="2">
      <c r="B83" s="374">
        <v>44551</v>
      </c>
      <c r="C83" s="184">
        <f>'Exposure Analysis - Dec25'!CN126</f>
        <v>64609393.559999987</v>
      </c>
      <c r="D83" s="167">
        <f>'Balance Sheet - Dec25'!CU10</f>
        <v>380572970.11000001</v>
      </c>
      <c r="E83" s="381">
        <f t="shared" si="1"/>
        <v>128193.24119047617</v>
      </c>
      <c r="F83" s="231">
        <f>'P&amp;L -Dec25'!BR10/'Advance Analysis - Dec25'!D83*12</f>
        <v>0.49298974602891826</v>
      </c>
      <c r="G83" s="231">
        <f>'P&amp;L -Dec25'!BR10/'Notes - Dec25'!CU6*12</f>
        <v>0.47104947948994969</v>
      </c>
      <c r="H83" s="382">
        <f>SUM(I83:J83)</f>
        <v>504</v>
      </c>
      <c r="I83" s="198">
        <v>233</v>
      </c>
      <c r="J83" s="198">
        <v>271</v>
      </c>
      <c r="K83">
        <v>2468</v>
      </c>
      <c r="L83" s="588">
        <f t="shared" si="0"/>
        <v>112</v>
      </c>
    </row>
    <row r="84" spans="2:12" ht="14.4" hidden="1" outlineLevel="2">
      <c r="B84" s="374">
        <v>44592</v>
      </c>
      <c r="C84" s="184">
        <v>88015605</v>
      </c>
      <c r="D84" s="167">
        <f>'Balance Sheet - Dec25'!CS10</f>
        <v>388368099.52000004</v>
      </c>
      <c r="E84" s="381">
        <f t="shared" si="1"/>
        <v>151751.04310344829</v>
      </c>
      <c r="F84" s="231">
        <f>'P&amp;L -Dec25'!BS10/'Advance Analysis - Dec25'!D84*12</f>
        <v>0.52813479390687523</v>
      </c>
      <c r="G84" s="231">
        <f>'P&amp;L -Dec25'!BS10/'Notes - Dec25'!CS6*12</f>
        <v>0.50577974253748004</v>
      </c>
      <c r="H84" s="382">
        <f t="shared" ref="H84:H92" si="2">SUM(I84:J84)</f>
        <v>580</v>
      </c>
      <c r="I84" s="198">
        <v>267</v>
      </c>
      <c r="J84" s="198">
        <v>313</v>
      </c>
      <c r="K84">
        <v>2655</v>
      </c>
      <c r="L84" s="588">
        <f t="shared" si="0"/>
        <v>187</v>
      </c>
    </row>
    <row r="85" spans="2:12" ht="14.25" hidden="1" customHeight="1" outlineLevel="2" collapsed="1">
      <c r="B85" s="375">
        <v>44593</v>
      </c>
      <c r="C85" s="376">
        <v>98171272.159999996</v>
      </c>
      <c r="D85" s="377">
        <f>'Notes - Dec25'!CQ8</f>
        <v>421746022.90000004</v>
      </c>
      <c r="E85" s="380">
        <f t="shared" si="1"/>
        <v>158085.78447665056</v>
      </c>
      <c r="F85" s="378">
        <f>'P&amp;L -Dec25'!BT10/D85*12</f>
        <v>0.45726770332989419</v>
      </c>
      <c r="G85" s="378">
        <f>'P&amp;L -Dec25'!BT10/'Notes - Dec25'!CQ6*12</f>
        <v>0.4352519506239042</v>
      </c>
      <c r="H85" s="385">
        <f t="shared" si="2"/>
        <v>621</v>
      </c>
      <c r="I85" s="386">
        <v>285</v>
      </c>
      <c r="J85" s="379">
        <v>336</v>
      </c>
      <c r="K85" s="379">
        <v>2844</v>
      </c>
      <c r="L85" s="588">
        <f t="shared" ref="L85:L93" si="3">K85-K84</f>
        <v>189</v>
      </c>
    </row>
    <row r="86" spans="2:12" ht="14.4" hidden="1" outlineLevel="1">
      <c r="B86" s="374">
        <v>44651</v>
      </c>
      <c r="C86" s="184">
        <v>104427882.97</v>
      </c>
      <c r="D86" s="445">
        <f>'Notes - Dec25'!CO8</f>
        <v>436056713.63</v>
      </c>
      <c r="E86" s="381">
        <f t="shared" si="1"/>
        <v>146257.53917366947</v>
      </c>
      <c r="F86" s="231">
        <f>'P&amp;L -Dec25'!BV10/D86*12</f>
        <v>0.52876520817804251</v>
      </c>
      <c r="G86" s="231">
        <f>'P&amp;L -Dec25'!BV10/'Notes - Dec25'!CO6*12</f>
        <v>0.5010949303411224</v>
      </c>
      <c r="H86" s="382">
        <f t="shared" si="2"/>
        <v>714</v>
      </c>
      <c r="I86" s="198">
        <v>378</v>
      </c>
      <c r="J86" s="198">
        <v>336</v>
      </c>
      <c r="K86">
        <v>3227</v>
      </c>
      <c r="L86" s="588">
        <f t="shared" si="3"/>
        <v>383</v>
      </c>
    </row>
    <row r="87" spans="2:12" ht="14.4" hidden="1" outlineLevel="1">
      <c r="B87" s="374">
        <v>44652</v>
      </c>
      <c r="C87" s="184">
        <v>88536634.129999995</v>
      </c>
      <c r="D87" s="445">
        <f>'Notes - Dec25'!CM8</f>
        <v>448566566.14999998</v>
      </c>
      <c r="E87" s="381">
        <f t="shared" si="1"/>
        <v>174284.71285433069</v>
      </c>
      <c r="F87" s="457">
        <f>'P&amp;L -Dec25'!BW10/D87*12</f>
        <v>0.4662254299400152</v>
      </c>
      <c r="G87" s="231">
        <f>'P&amp;L -Dec25'!BW18/'Notes - Dec25'!CM6*12</f>
        <v>0.44106037249016095</v>
      </c>
      <c r="H87" s="382">
        <f t="shared" si="2"/>
        <v>508</v>
      </c>
      <c r="I87" s="198">
        <v>203</v>
      </c>
      <c r="J87" s="198">
        <v>305</v>
      </c>
      <c r="K87">
        <v>3249</v>
      </c>
      <c r="L87" s="588">
        <f t="shared" si="3"/>
        <v>22</v>
      </c>
    </row>
    <row r="88" spans="2:12" ht="14.4" hidden="1" outlineLevel="1">
      <c r="B88" s="374">
        <v>44712</v>
      </c>
      <c r="C88" s="184">
        <v>112646208</v>
      </c>
      <c r="D88" s="445">
        <f>'Notes - Dec25'!CK8</f>
        <v>475485229.73999995</v>
      </c>
      <c r="E88" s="381">
        <f t="shared" si="1"/>
        <v>161153.37339055794</v>
      </c>
      <c r="F88" s="457">
        <f>'P&amp;L -Dec25'!BX10/'Advance Analysis - Dec25'!D88*12</f>
        <v>0.46309876308966669</v>
      </c>
      <c r="G88" s="231">
        <f>'P&amp;L -Dec25'!BX10/'Notes - Dec25'!CK6*12</f>
        <v>0.43925963674016766</v>
      </c>
      <c r="H88" s="382">
        <f t="shared" si="2"/>
        <v>699</v>
      </c>
      <c r="I88" s="198">
        <v>311</v>
      </c>
      <c r="J88" s="198">
        <v>388</v>
      </c>
      <c r="K88">
        <v>3321</v>
      </c>
      <c r="L88" s="588">
        <f t="shared" si="3"/>
        <v>72</v>
      </c>
    </row>
    <row r="89" spans="2:12" ht="14.4" hidden="1" outlineLevel="1">
      <c r="B89" s="374">
        <v>44713</v>
      </c>
      <c r="C89" s="184">
        <v>118334565</v>
      </c>
      <c r="D89" s="445">
        <f>'Notes - Dec25'!CI8</f>
        <v>508029448.36999995</v>
      </c>
      <c r="E89" s="381">
        <f t="shared" si="1"/>
        <v>165734.68487394959</v>
      </c>
      <c r="F89" s="457">
        <f>'P&amp;L -Dec25'!BY10/'Advance Analysis - Dec25'!D89*12</f>
        <v>0.45065707024380386</v>
      </c>
      <c r="G89" s="231">
        <f>'P&amp;L -Dec25'!BY10/'Notes - Dec25'!CI6*12</f>
        <v>0.42851316069975842</v>
      </c>
      <c r="H89" s="382">
        <f t="shared" si="2"/>
        <v>714</v>
      </c>
      <c r="I89" s="198">
        <v>355</v>
      </c>
      <c r="J89" s="198">
        <v>359</v>
      </c>
      <c r="K89">
        <v>3504</v>
      </c>
      <c r="L89" s="588">
        <f t="shared" si="3"/>
        <v>183</v>
      </c>
    </row>
    <row r="90" spans="2:12" ht="14.4" hidden="1" outlineLevel="1">
      <c r="B90" s="374">
        <v>44743</v>
      </c>
      <c r="C90" s="184">
        <v>116054865</v>
      </c>
      <c r="D90" s="445">
        <f>'Notes - Dec25'!CG8</f>
        <v>526713632.39000005</v>
      </c>
      <c r="E90" s="381">
        <f t="shared" si="1"/>
        <v>163919.30084745763</v>
      </c>
      <c r="F90" s="231">
        <f>'P&amp;L -Dec25'!BZ10/'Advance Analysis - Dec25'!D90*12</f>
        <v>0.47200642374093227</v>
      </c>
      <c r="G90" s="231">
        <f>'P&amp;L -Dec25'!BZ18/'Notes - Dec25'!CG6*12</f>
        <v>0.44844845251922438</v>
      </c>
      <c r="H90" s="382">
        <f t="shared" si="2"/>
        <v>708</v>
      </c>
      <c r="I90" s="198">
        <v>345</v>
      </c>
      <c r="J90" s="198">
        <v>363</v>
      </c>
      <c r="K90">
        <v>3740</v>
      </c>
      <c r="L90" s="588">
        <f t="shared" si="3"/>
        <v>236</v>
      </c>
    </row>
    <row r="91" spans="2:12" ht="14.4" hidden="1" outlineLevel="1">
      <c r="B91" s="374">
        <v>44774</v>
      </c>
      <c r="C91" s="184">
        <v>120112880</v>
      </c>
      <c r="D91" s="445">
        <f>'Notes - Dec25'!CE8</f>
        <v>548069996.03999996</v>
      </c>
      <c r="E91" s="381">
        <f t="shared" si="1"/>
        <v>203926.79117147709</v>
      </c>
      <c r="F91" s="231">
        <f>'P&amp;L -Dec25'!CA10/'Advance Analysis - Dec25'!D91*12</f>
        <v>0.45427135759832604</v>
      </c>
      <c r="G91" s="231">
        <f>'P&amp;L -Dec25'!CA18/'Notes - Dec25'!CE6*12</f>
        <v>0.43144594834550209</v>
      </c>
      <c r="H91" s="382">
        <f t="shared" si="2"/>
        <v>589</v>
      </c>
      <c r="I91" s="198">
        <v>264</v>
      </c>
      <c r="J91" s="198">
        <v>325</v>
      </c>
      <c r="K91" s="569">
        <v>3857</v>
      </c>
      <c r="L91" s="588">
        <f t="shared" si="3"/>
        <v>117</v>
      </c>
    </row>
    <row r="92" spans="2:12" ht="14.4" hidden="1" outlineLevel="1">
      <c r="B92" s="374">
        <v>44806</v>
      </c>
      <c r="C92" s="184">
        <v>129408093</v>
      </c>
      <c r="D92" s="445">
        <f>'Notes - Dec25'!CC8</f>
        <v>582234460.16999996</v>
      </c>
      <c r="E92" s="381">
        <f t="shared" si="1"/>
        <v>186198.69496402878</v>
      </c>
      <c r="F92" s="231">
        <f>'P&amp;L -Dec25'!CB10/'Advance Analysis - Dec25'!D92*12</f>
        <v>0.41374294899972719</v>
      </c>
      <c r="G92" s="231">
        <f>'P&amp;L -Dec25'!CB18/'Notes - Dec25'!CC6*12</f>
        <v>0.39385859701508724</v>
      </c>
      <c r="H92" s="382">
        <f t="shared" si="2"/>
        <v>695</v>
      </c>
      <c r="I92" s="198">
        <v>310</v>
      </c>
      <c r="J92" s="198">
        <v>385</v>
      </c>
      <c r="K92" s="569">
        <v>4072</v>
      </c>
      <c r="L92" s="588">
        <f t="shared" si="3"/>
        <v>215</v>
      </c>
    </row>
    <row r="93" spans="2:12" ht="14.4" hidden="1" outlineLevel="1">
      <c r="B93" s="374">
        <v>44865</v>
      </c>
      <c r="C93" s="184">
        <v>129289802</v>
      </c>
      <c r="D93" s="445">
        <f>'Notes - Dec25'!CA8</f>
        <v>592437741.34000003</v>
      </c>
      <c r="E93" s="381">
        <f t="shared" si="1"/>
        <v>162833.50377833753</v>
      </c>
      <c r="F93" s="231">
        <f>'P&amp;L -Dec25'!CC10/'Advance Analysis - Dec25'!D93*12</f>
        <v>0.47579040741469447</v>
      </c>
      <c r="G93" s="231">
        <f>'P&amp;L -Dec25'!CC18/'Notes - Dec25'!CA6*12</f>
        <v>0.45281569959825729</v>
      </c>
      <c r="H93" s="382">
        <f>SUM(I93:J93)</f>
        <v>794</v>
      </c>
      <c r="I93" s="198">
        <v>348</v>
      </c>
      <c r="J93" s="198">
        <v>446</v>
      </c>
      <c r="K93" s="569">
        <v>4251</v>
      </c>
      <c r="L93" s="588">
        <f t="shared" si="3"/>
        <v>179</v>
      </c>
    </row>
    <row r="94" spans="2:12" ht="14.4" hidden="1" outlineLevel="1">
      <c r="B94" s="374">
        <v>44866</v>
      </c>
      <c r="C94" s="184">
        <v>174783458</v>
      </c>
      <c r="D94" s="445">
        <f>'Notes - Dec25'!BY8</f>
        <v>657429697.02999997</v>
      </c>
      <c r="E94" s="381">
        <f t="shared" si="1"/>
        <v>181687.58627858627</v>
      </c>
      <c r="F94" s="231">
        <f>'P&amp;L -Dec25'!CD10/'Advance Analysis - Dec25'!D94*12</f>
        <v>0.42081399573188982</v>
      </c>
      <c r="G94" s="231">
        <f>'P&amp;L -Dec25'!CD10/'Notes - Dec25'!BY6*12</f>
        <v>0.40235063567927837</v>
      </c>
      <c r="H94" s="382">
        <f>SUM(I94:J94)</f>
        <v>962</v>
      </c>
      <c r="I94" s="198">
        <v>433</v>
      </c>
      <c r="J94" s="198">
        <v>529</v>
      </c>
      <c r="K94" s="569">
        <v>4693</v>
      </c>
      <c r="L94" s="588"/>
    </row>
    <row r="95" spans="2:12" ht="14.4" hidden="1" outlineLevel="1">
      <c r="B95" s="374">
        <v>44926</v>
      </c>
      <c r="C95" s="184">
        <v>104846571</v>
      </c>
      <c r="D95" s="445">
        <f>'Notes - Dec25'!BW8</f>
        <v>640403029.61000001</v>
      </c>
      <c r="E95" s="381">
        <f t="shared" ref="E95:E100" si="4">+C95/H95</f>
        <v>150858.37553956834</v>
      </c>
      <c r="F95" s="231">
        <f>'P&amp;L -Dec25'!CE10/'Advance Analysis - Dec25'!D95*12</f>
        <v>0.48939665702528717</v>
      </c>
      <c r="G95" s="231">
        <f>'P&amp;L -Dec25'!CE10/'Notes - Dec25'!BW6*12</f>
        <v>0.46701041420071987</v>
      </c>
      <c r="H95" s="382">
        <f>SUM(I95:J95)</f>
        <v>695</v>
      </c>
      <c r="I95" s="198">
        <v>271</v>
      </c>
      <c r="J95" s="198">
        <v>424</v>
      </c>
      <c r="K95" s="569">
        <v>4730</v>
      </c>
      <c r="L95" s="588"/>
    </row>
    <row r="96" spans="2:12" ht="14.1" hidden="1" customHeight="1" outlineLevel="1">
      <c r="B96" s="374">
        <v>44949</v>
      </c>
      <c r="C96" s="184">
        <v>148595777.13000003</v>
      </c>
      <c r="D96" s="445">
        <f>'Notes - Dec25'!BU8</f>
        <v>669458038.76999998</v>
      </c>
      <c r="E96" s="381">
        <f t="shared" si="4"/>
        <v>166400.64628219488</v>
      </c>
      <c r="F96" s="231">
        <f>'P&amp;L -Dec25'!CF10/'Advance Analysis - Dec25'!D96*12</f>
        <v>0.46896261300681974</v>
      </c>
      <c r="G96" s="231">
        <f>'P&amp;L -Dec25'!CF10/'Notes - Dec25'!BU6*12</f>
        <v>0.44904561906343576</v>
      </c>
      <c r="H96" s="382">
        <f>SUM(I96:J96)</f>
        <v>893</v>
      </c>
      <c r="I96" s="614">
        <v>326</v>
      </c>
      <c r="J96" s="198">
        <v>567</v>
      </c>
      <c r="K96" s="569">
        <v>4827</v>
      </c>
      <c r="L96" s="588"/>
    </row>
    <row r="97" spans="2:13" ht="14.1" customHeight="1" collapsed="1">
      <c r="B97" s="772">
        <v>44985</v>
      </c>
      <c r="C97" s="773">
        <v>161780202</v>
      </c>
      <c r="D97" s="774">
        <f>'Notes - Dec25'!BS8</f>
        <v>669631787</v>
      </c>
      <c r="E97" s="775">
        <f t="shared" si="4"/>
        <v>181979.97975253093</v>
      </c>
      <c r="F97" s="776">
        <f>'P&amp;L -Dec25'!CG10/'Advance Analysis - Dec25'!D97*12</f>
        <v>0.47156838054941375</v>
      </c>
      <c r="G97" s="776">
        <f>'P&amp;L -Dec25'!CG10/'Notes - Dec25'!BS6*12</f>
        <v>0.42437798296415008</v>
      </c>
      <c r="H97" s="777">
        <f>SUM(I97:J97)</f>
        <v>889</v>
      </c>
      <c r="I97" s="778">
        <v>325</v>
      </c>
      <c r="J97" s="779">
        <v>564</v>
      </c>
      <c r="K97" s="957">
        <v>5045</v>
      </c>
      <c r="L97" s="588"/>
    </row>
    <row r="98" spans="2:13" ht="14.1" customHeight="1">
      <c r="B98" s="374">
        <v>45008</v>
      </c>
      <c r="C98" s="184">
        <v>209710862.54999995</v>
      </c>
      <c r="D98" s="729">
        <f>'Notes - Dec25'!BQ8</f>
        <v>767871089.58000004</v>
      </c>
      <c r="E98" s="381">
        <f t="shared" si="4"/>
        <v>199915.02626310766</v>
      </c>
      <c r="F98" s="231">
        <f>'P&amp;L -Dec25'!CI10/'Advance Analysis - Dec25'!D98*12</f>
        <v>0.45253676018726713</v>
      </c>
      <c r="G98" s="231">
        <f>'P&amp;L -Dec25'!CI10/'Notes - Dec25'!BQ6*12</f>
        <v>0.43466175193980489</v>
      </c>
      <c r="H98" s="382">
        <v>1049</v>
      </c>
      <c r="I98" s="614">
        <v>388</v>
      </c>
      <c r="J98" s="198">
        <f>H98-I98</f>
        <v>661</v>
      </c>
      <c r="K98" s="958">
        <v>5356</v>
      </c>
      <c r="L98" s="588"/>
    </row>
    <row r="99" spans="2:13" ht="14.1" customHeight="1">
      <c r="B99" s="374">
        <v>45040</v>
      </c>
      <c r="C99" s="184">
        <v>160031691</v>
      </c>
      <c r="D99" s="729">
        <f>'Notes - Dec25'!BO8</f>
        <v>804221582.56999993</v>
      </c>
      <c r="E99" s="381">
        <f t="shared" si="4"/>
        <v>178407.68227424749</v>
      </c>
      <c r="F99" s="231">
        <f>'P&amp;L -Dec25'!CJ10/'Advance Analysis - Dec25'!D99*12</f>
        <v>0.42993043630472932</v>
      </c>
      <c r="G99" s="231">
        <f>'P&amp;L -Dec25'!CJ10/'Notes - Dec25'!BO6*12</f>
        <v>0.41180464025571606</v>
      </c>
      <c r="H99" s="382">
        <f t="shared" ref="H99:H107" si="5">I99+J99</f>
        <v>897</v>
      </c>
      <c r="I99" s="614">
        <v>282</v>
      </c>
      <c r="J99" s="198">
        <v>615</v>
      </c>
      <c r="K99" s="958">
        <v>5500</v>
      </c>
      <c r="L99" s="588"/>
    </row>
    <row r="100" spans="2:13" ht="14.1" customHeight="1">
      <c r="B100" s="374">
        <v>45077</v>
      </c>
      <c r="C100" s="184">
        <v>206432764</v>
      </c>
      <c r="D100" s="729">
        <f>'Notes - Dec25'!BM8</f>
        <v>852804676.19999993</v>
      </c>
      <c r="E100" s="381">
        <f t="shared" si="4"/>
        <v>177805.99827734713</v>
      </c>
      <c r="F100" s="231">
        <f>'P&amp;L -Dec25'!CK10/'Advance Analysis - Dec25'!D100*12</f>
        <v>0.45964915050262944</v>
      </c>
      <c r="G100" s="231">
        <f>'P&amp;L -Dec25'!CK10/'Notes - Dec25'!BM6*12</f>
        <v>0.44007040259573349</v>
      </c>
      <c r="H100" s="382">
        <f t="shared" si="5"/>
        <v>1161</v>
      </c>
      <c r="I100" s="614">
        <v>430</v>
      </c>
      <c r="J100" s="198">
        <v>731</v>
      </c>
      <c r="K100" s="958">
        <v>5803</v>
      </c>
      <c r="L100" s="588"/>
    </row>
    <row r="101" spans="2:13" ht="14.1" customHeight="1">
      <c r="B101" s="374">
        <v>45107</v>
      </c>
      <c r="C101" s="184">
        <v>199447623</v>
      </c>
      <c r="D101" s="729">
        <f>'Notes - Dec25'!BK8</f>
        <v>905624265.37</v>
      </c>
      <c r="E101" s="381">
        <f>+C101/H101</f>
        <v>158166.23552735924</v>
      </c>
      <c r="F101" s="231">
        <f>'P&amp;L -Dec25'!CL10/'Advance Analysis - Dec25'!D101*12</f>
        <v>0.44565328195475007</v>
      </c>
      <c r="G101" s="231">
        <f>'P&amp;L -Dec25'!CL10/'Notes - Dec25'!BK6*12</f>
        <v>0.42643483112168135</v>
      </c>
      <c r="H101" s="382">
        <f t="shared" si="5"/>
        <v>1261</v>
      </c>
      <c r="I101" s="614">
        <v>577</v>
      </c>
      <c r="J101" s="198">
        <v>684</v>
      </c>
      <c r="K101" s="958">
        <v>5934</v>
      </c>
      <c r="L101" s="588"/>
    </row>
    <row r="102" spans="2:13" ht="14.1" customHeight="1">
      <c r="B102" s="374">
        <v>45108</v>
      </c>
      <c r="C102" s="184">
        <v>218929221.32999989</v>
      </c>
      <c r="D102" s="729">
        <f>'Notes - Dec25'!BI8</f>
        <v>951176762.83000004</v>
      </c>
      <c r="E102" s="381">
        <f t="shared" ref="E102:E111" si="6">+C102/H102</f>
        <v>172657.1146135646</v>
      </c>
      <c r="F102" s="231">
        <f>'P&amp;L -Dec25'!CM10/'Advance Analysis - Dec25'!D102*12</f>
        <v>0.46448527182845245</v>
      </c>
      <c r="G102" s="231">
        <f>'P&amp;L -Dec25'!CM10/'Notes - Dec25'!BI6*12</f>
        <v>0.44391976022771062</v>
      </c>
      <c r="H102" s="382">
        <f t="shared" si="5"/>
        <v>1268</v>
      </c>
      <c r="I102" s="614">
        <v>570</v>
      </c>
      <c r="J102" s="198">
        <v>698</v>
      </c>
      <c r="K102" s="958">
        <v>6223</v>
      </c>
      <c r="L102" s="588"/>
    </row>
    <row r="103" spans="2:13" ht="14.1" customHeight="1">
      <c r="B103" s="374">
        <v>45139</v>
      </c>
      <c r="C103" s="184">
        <v>262074325.46999994</v>
      </c>
      <c r="D103" s="729">
        <v>1033344432.05</v>
      </c>
      <c r="E103" s="381">
        <f t="shared" si="6"/>
        <v>174599.81710193201</v>
      </c>
      <c r="F103" s="231">
        <f>'P&amp;L -Dec25'!CN10/'Advance Analysis - Dec25'!D103*12</f>
        <v>0.43706448211465931</v>
      </c>
      <c r="G103" s="231">
        <f>'P&amp;L -Dec25'!CN10/'Notes - Dec25'!BG6*12</f>
        <v>0.41814942293193624</v>
      </c>
      <c r="H103" s="382">
        <f t="shared" si="5"/>
        <v>1501</v>
      </c>
      <c r="I103" s="614">
        <v>644</v>
      </c>
      <c r="J103" s="198">
        <v>857</v>
      </c>
      <c r="K103" s="958">
        <v>6836</v>
      </c>
      <c r="L103" s="588"/>
    </row>
    <row r="104" spans="2:13" ht="14.1" customHeight="1">
      <c r="B104" s="374">
        <v>45170</v>
      </c>
      <c r="C104" s="184">
        <v>235144543</v>
      </c>
      <c r="D104" s="729">
        <f>'Notes - Dec25'!BE8</f>
        <v>1086572614.9299998</v>
      </c>
      <c r="E104" s="381">
        <f t="shared" si="6"/>
        <v>179499.65114503817</v>
      </c>
      <c r="F104" s="231">
        <f>'P&amp;L -Dec25'!CO10/'Advance Analysis - Dec25'!D104*12</f>
        <v>0.43131130359860204</v>
      </c>
      <c r="G104" s="231">
        <f>'P&amp;L -Dec25'!CO10/'Notes - Dec25'!BE6*12</f>
        <v>0.41273179435575713</v>
      </c>
      <c r="H104" s="382">
        <f t="shared" si="5"/>
        <v>1310</v>
      </c>
      <c r="I104" s="614">
        <v>471</v>
      </c>
      <c r="J104" s="198">
        <v>839</v>
      </c>
      <c r="K104" s="958">
        <v>7075</v>
      </c>
      <c r="L104" s="588"/>
    </row>
    <row r="105" spans="2:13" ht="14.1" customHeight="1">
      <c r="B105" s="374">
        <v>45230</v>
      </c>
      <c r="C105" s="184">
        <v>282333549</v>
      </c>
      <c r="D105" s="729">
        <f>'Notes - Dec25'!BC8</f>
        <v>1152981370.5899999</v>
      </c>
      <c r="E105" s="381">
        <f t="shared" si="6"/>
        <v>179487.31659249842</v>
      </c>
      <c r="F105" s="231">
        <f>'P&amp;L -Dec25'!CP10/'Advance Analysis - Dec25'!D105*12</f>
        <v>0.44991800727408843</v>
      </c>
      <c r="G105" s="231">
        <f>'P&amp;L -Dec25'!CP10/'Notes - Dec25'!BC6*12</f>
        <v>0.43115735062273552</v>
      </c>
      <c r="H105" s="382">
        <f t="shared" si="5"/>
        <v>1573</v>
      </c>
      <c r="I105" s="614">
        <v>587</v>
      </c>
      <c r="J105" s="198">
        <v>986</v>
      </c>
      <c r="K105" s="958">
        <v>7262</v>
      </c>
      <c r="L105" s="588"/>
    </row>
    <row r="106" spans="2:13" ht="14.1" customHeight="1">
      <c r="B106" s="374">
        <v>45260</v>
      </c>
      <c r="C106" s="184">
        <v>331712054</v>
      </c>
      <c r="D106" s="729">
        <f>'Notes - Dec25'!BA8</f>
        <v>1268904968.95</v>
      </c>
      <c r="E106" s="381">
        <f t="shared" si="6"/>
        <v>180474.45810663764</v>
      </c>
      <c r="F106" s="231">
        <f>'P&amp;L -Dec25'!CQ10/'Advance Analysis - Dec25'!D106*12</f>
        <v>0.42739020616237289</v>
      </c>
      <c r="G106" s="231">
        <f>'P&amp;L -Dec25'!CQ10/'Notes - Dec25'!BA6*12</f>
        <v>0.41030190655447385</v>
      </c>
      <c r="H106" s="382">
        <f t="shared" si="5"/>
        <v>1838</v>
      </c>
      <c r="I106" s="614">
        <v>662</v>
      </c>
      <c r="J106" s="198">
        <v>1176</v>
      </c>
      <c r="K106" s="958">
        <v>7641</v>
      </c>
      <c r="L106" s="588"/>
    </row>
    <row r="107" spans="2:13" ht="14.1" customHeight="1">
      <c r="B107" s="374">
        <v>45261</v>
      </c>
      <c r="C107" s="184">
        <v>260106365</v>
      </c>
      <c r="D107" s="729">
        <f>'Notes - Dec25'!AY8</f>
        <v>1309912408.3199999</v>
      </c>
      <c r="E107" s="381">
        <f t="shared" si="6"/>
        <v>174334.02479892762</v>
      </c>
      <c r="F107" s="231">
        <f>'P&amp;L -Dec25'!CR10/'Advance Analysis - Dec25'!D107*12</f>
        <v>0.45016304315818639</v>
      </c>
      <c r="G107" s="231">
        <f>'P&amp;L -Dec25'!CR10/'Notes - Dec25'!AY6*12</f>
        <v>0.43144176138278711</v>
      </c>
      <c r="H107" s="382">
        <f t="shared" si="5"/>
        <v>1492</v>
      </c>
      <c r="I107" s="614">
        <v>450</v>
      </c>
      <c r="J107" s="198">
        <v>1042</v>
      </c>
      <c r="K107" s="958">
        <v>7737</v>
      </c>
      <c r="L107" s="588"/>
    </row>
    <row r="108" spans="2:13" ht="14.1" customHeight="1">
      <c r="B108" s="374">
        <v>45322</v>
      </c>
      <c r="C108" s="184">
        <v>327878099</v>
      </c>
      <c r="D108" s="729">
        <f>'Notes - Dec25'!AW8</f>
        <v>1403724789.4700003</v>
      </c>
      <c r="E108" s="381">
        <f t="shared" si="6"/>
        <v>164680.10999497739</v>
      </c>
      <c r="F108" s="231">
        <f>'P&amp;L -Dec25'!CS10/'Advance Analysis - Dec25'!D108*12</f>
        <v>0.44236768131341098</v>
      </c>
      <c r="G108" s="231">
        <f>'P&amp;L -Dec25'!CS10/'Notes - Dec25'!AW6*12</f>
        <v>0.42326477116509431</v>
      </c>
      <c r="H108" s="382">
        <f t="shared" ref="H108:H114" si="7">I108+J108</f>
        <v>1991</v>
      </c>
      <c r="I108" s="614">
        <v>555</v>
      </c>
      <c r="J108" s="198">
        <v>1436</v>
      </c>
      <c r="K108" s="958">
        <v>8308</v>
      </c>
      <c r="L108" s="588"/>
    </row>
    <row r="109" spans="2:13" ht="14.1" customHeight="1">
      <c r="B109" s="772">
        <v>45323</v>
      </c>
      <c r="C109" s="773">
        <v>354227306</v>
      </c>
      <c r="D109" s="774">
        <f>'Notes - Dec25'!AU8</f>
        <v>1480585673.01</v>
      </c>
      <c r="E109" s="775">
        <f t="shared" si="6"/>
        <v>170547.57149735195</v>
      </c>
      <c r="F109" s="776">
        <f>'P&amp;L -Dec25'!CT10/'Advance Analysis - Dec25'!D109*12</f>
        <v>0.59286795224451105</v>
      </c>
      <c r="G109" s="776">
        <f>'P&amp;L -Dec25'!CT10/'Notes - Dec25'!AU6*12</f>
        <v>0.53368334372407744</v>
      </c>
      <c r="H109" s="777">
        <f t="shared" si="7"/>
        <v>2077</v>
      </c>
      <c r="I109" s="778">
        <v>670</v>
      </c>
      <c r="J109" s="779">
        <v>1407</v>
      </c>
      <c r="K109" s="957">
        <v>8888</v>
      </c>
      <c r="L109" s="588"/>
    </row>
    <row r="110" spans="2:13" ht="14.1" customHeight="1">
      <c r="B110" s="374">
        <v>45352</v>
      </c>
      <c r="C110" s="184">
        <v>283759344</v>
      </c>
      <c r="D110" s="729">
        <f>'Notes - Dec25'!AS8</f>
        <v>1588820986.8299999</v>
      </c>
      <c r="E110" s="381">
        <f t="shared" si="6"/>
        <v>163267.74683544305</v>
      </c>
      <c r="F110" s="231">
        <f>'P&amp;L -Dec25'!CV10/'Advance Analysis - Dec25'!D110*12</f>
        <v>0.42355084049000147</v>
      </c>
      <c r="G110" s="231">
        <f>'P&amp;L -Dec25'!CV10/'Notes - Dec25'!AS6*12</f>
        <v>0.40400252997488328</v>
      </c>
      <c r="H110" s="382">
        <f t="shared" si="7"/>
        <v>1738</v>
      </c>
      <c r="I110" s="614">
        <v>474</v>
      </c>
      <c r="J110" s="198">
        <v>1264</v>
      </c>
      <c r="K110" s="958">
        <v>9415</v>
      </c>
      <c r="L110" s="588"/>
      <c r="M110" s="198"/>
    </row>
    <row r="111" spans="2:13" ht="14.1" customHeight="1">
      <c r="B111" s="374">
        <v>45383</v>
      </c>
      <c r="C111" s="184">
        <v>302508652</v>
      </c>
      <c r="D111" s="729">
        <f>'Notes - Dec25'!AQ8</f>
        <v>1627435056.8899999</v>
      </c>
      <c r="E111" s="381">
        <f t="shared" si="6"/>
        <v>154262.44365119838</v>
      </c>
      <c r="F111" s="231">
        <f>'P&amp;L -Dec25'!CW10/'Advance Analysis - Dec25'!D111*12</f>
        <v>0.44793966898629578</v>
      </c>
      <c r="G111" s="231">
        <f>'P&amp;L -Dec25'!CW10/'Notes - Dec25'!AQ6*12</f>
        <v>0.42615700675228418</v>
      </c>
      <c r="H111" s="382">
        <f t="shared" si="7"/>
        <v>1961</v>
      </c>
      <c r="I111" s="614">
        <v>534</v>
      </c>
      <c r="J111" s="198">
        <v>1427</v>
      </c>
      <c r="K111" s="958">
        <v>9514</v>
      </c>
      <c r="L111" s="588"/>
      <c r="M111" s="198"/>
    </row>
    <row r="112" spans="2:13" ht="14.4">
      <c r="B112" s="374">
        <v>45413</v>
      </c>
      <c r="C112" s="184">
        <v>292994294</v>
      </c>
      <c r="D112" s="729">
        <f>'Notes - Dec25'!AO8</f>
        <v>1663332756.4200001</v>
      </c>
      <c r="E112" s="381">
        <f t="shared" ref="E112:E116" si="8">+C112/H112</f>
        <v>152840.00730307773</v>
      </c>
      <c r="F112" s="231">
        <f>'P&amp;L -Dec25'!CX10/'Advance Analysis - Dec25'!D112*12</f>
        <v>0.43315808626934388</v>
      </c>
      <c r="G112" s="231">
        <f>'P&amp;L -Dec25'!CX10/'Notes - Dec25'!AO6*12</f>
        <v>0.40967863552474471</v>
      </c>
      <c r="H112" s="382">
        <f t="shared" si="7"/>
        <v>1917</v>
      </c>
      <c r="I112" s="614">
        <v>541</v>
      </c>
      <c r="J112" s="198">
        <v>1376</v>
      </c>
      <c r="K112" s="958">
        <v>9623</v>
      </c>
      <c r="L112" s="588"/>
      <c r="M112" s="198"/>
    </row>
    <row r="113" spans="2:13" ht="14.4">
      <c r="B113" s="374">
        <v>45444</v>
      </c>
      <c r="C113" s="184">
        <v>295687363</v>
      </c>
      <c r="D113" s="729">
        <f>'Notes - Dec25'!AM8</f>
        <v>1708209213.1299999</v>
      </c>
      <c r="E113" s="381">
        <f t="shared" si="8"/>
        <v>150171.33722701878</v>
      </c>
      <c r="F113" s="231">
        <f>'P&amp;L -Dec25'!CY10/'Advance Analysis - Dec25'!D113*12</f>
        <v>0.42913120681325639</v>
      </c>
      <c r="G113" s="231">
        <f>'P&amp;L -Dec25'!CY10/'Notes - Dec25'!AM6*12</f>
        <v>0.40393907481388103</v>
      </c>
      <c r="H113" s="382">
        <f t="shared" si="7"/>
        <v>1969</v>
      </c>
      <c r="I113" s="614">
        <v>549</v>
      </c>
      <c r="J113" s="198">
        <v>1420</v>
      </c>
      <c r="K113" s="958">
        <v>9558</v>
      </c>
      <c r="L113" s="588"/>
      <c r="M113" s="198"/>
    </row>
    <row r="114" spans="2:13" ht="14.4">
      <c r="B114" s="374">
        <v>45474</v>
      </c>
      <c r="C114" s="184">
        <v>338656624</v>
      </c>
      <c r="D114" s="729">
        <f>'Notes - Dec25'!AK8</f>
        <v>1765200982.23</v>
      </c>
      <c r="E114" s="381">
        <f t="shared" si="8"/>
        <v>153446.58994109652</v>
      </c>
      <c r="F114" s="231">
        <f>'P&amp;L -Dec25'!CZ10/'Advance Analysis - Dec25'!D114*12</f>
        <v>0.46021969061772783</v>
      </c>
      <c r="G114" s="231">
        <f>'P&amp;L -Dec25'!CZ10/'Notes - Dec25'!AK6*12</f>
        <v>0.43200484714662457</v>
      </c>
      <c r="H114" s="382">
        <f t="shared" si="7"/>
        <v>2207</v>
      </c>
      <c r="I114" s="614">
        <v>639</v>
      </c>
      <c r="J114" s="198">
        <v>1568</v>
      </c>
      <c r="K114" s="958">
        <v>10069</v>
      </c>
      <c r="L114" s="588"/>
      <c r="M114" s="198"/>
    </row>
    <row r="115" spans="2:13" ht="14.4">
      <c r="B115" s="374">
        <v>45535</v>
      </c>
      <c r="C115" s="184">
        <v>267344759</v>
      </c>
      <c r="D115" s="729">
        <f>'Notes - Dec25'!AI8</f>
        <v>1791267342.6699998</v>
      </c>
      <c r="E115" s="381">
        <f t="shared" si="8"/>
        <v>142431.94405966968</v>
      </c>
      <c r="F115" s="231">
        <f>'P&amp;L -Dec25'!DA10/'Advance Analysis - Dec25'!D115*12</f>
        <v>0.45602825493508115</v>
      </c>
      <c r="G115" s="231">
        <f>'P&amp;L -Dec25'!DA10/'Notes - Dec25'!AI6*12</f>
        <v>0.4264717510498528</v>
      </c>
      <c r="H115" s="382">
        <f t="shared" ref="H115:H120" si="9">I115+J115</f>
        <v>1877</v>
      </c>
      <c r="I115" s="614">
        <v>526</v>
      </c>
      <c r="J115" s="198">
        <v>1351</v>
      </c>
      <c r="K115" s="972">
        <v>10427</v>
      </c>
      <c r="L115" s="588"/>
      <c r="M115" s="198"/>
    </row>
    <row r="116" spans="2:13" ht="14.4">
      <c r="B116" s="374">
        <v>45565</v>
      </c>
      <c r="C116" s="184">
        <v>303622410.71000016</v>
      </c>
      <c r="D116" s="729">
        <f>'Notes - Dec25'!AG8</f>
        <v>1825326392</v>
      </c>
      <c r="E116" s="381">
        <f t="shared" si="8"/>
        <v>161243.97807222526</v>
      </c>
      <c r="F116" s="231">
        <f>'P&amp;L -Dec25'!DB10/'Advance Analysis - Dec25'!D116*12</f>
        <v>0.44823964721373516</v>
      </c>
      <c r="G116" s="231">
        <f>'P&amp;L -Dec25'!DB10/'Notes - Dec25'!AG6*12</f>
        <v>0.41764810320698947</v>
      </c>
      <c r="H116" s="382">
        <f t="shared" si="9"/>
        <v>1883</v>
      </c>
      <c r="I116" s="614">
        <v>523</v>
      </c>
      <c r="J116" s="198">
        <v>1360</v>
      </c>
      <c r="K116" s="972">
        <v>10455</v>
      </c>
      <c r="L116" s="588"/>
      <c r="M116" s="198"/>
    </row>
    <row r="117" spans="2:13" ht="14.4">
      <c r="B117" s="374">
        <v>45566</v>
      </c>
      <c r="C117" s="184">
        <v>333150912</v>
      </c>
      <c r="D117" s="729">
        <f>'Notes - Dec25'!AE8</f>
        <v>1871789634.2</v>
      </c>
      <c r="E117" s="381">
        <f t="shared" ref="E117" si="10">+C117/H117</f>
        <v>146375.62038664325</v>
      </c>
      <c r="F117" s="231">
        <f>'P&amp;L -Dec25'!DC10/'Advance Analysis - Dec25'!D117*12</f>
        <v>0.42369225474365546</v>
      </c>
      <c r="G117" s="231">
        <f>'P&amp;L -Dec25'!DC10/'Notes - Dec25'!AE6*12</f>
        <v>0.39280238569293258</v>
      </c>
      <c r="H117" s="382">
        <f t="shared" si="9"/>
        <v>2276</v>
      </c>
      <c r="I117" s="614">
        <v>660</v>
      </c>
      <c r="J117" s="198">
        <v>1616</v>
      </c>
      <c r="K117" s="972">
        <v>10876</v>
      </c>
      <c r="L117" s="588"/>
      <c r="M117" s="198"/>
    </row>
    <row r="118" spans="2:13" ht="14.4">
      <c r="B118" s="374">
        <v>45626</v>
      </c>
      <c r="C118" s="184">
        <v>307122427</v>
      </c>
      <c r="D118" s="729">
        <f>'Notes - Dec25'!AC8</f>
        <v>1885497490.3199999</v>
      </c>
      <c r="E118" s="381">
        <v>147301</v>
      </c>
      <c r="F118" s="231">
        <f>'P&amp;L -Dec25'!DD10/'Advance Analysis - Dec25'!D118*12</f>
        <v>0.44718471958130318</v>
      </c>
      <c r="G118" s="231">
        <f>'P&amp;L -Dec25'!DD10/'Notes - Dec25'!AC6*12</f>
        <v>0.4120286161793999</v>
      </c>
      <c r="H118" s="382">
        <f t="shared" si="9"/>
        <v>2085</v>
      </c>
      <c r="I118" s="614">
        <v>556</v>
      </c>
      <c r="J118" s="198">
        <v>1529</v>
      </c>
      <c r="K118" s="972">
        <v>11370</v>
      </c>
      <c r="L118" s="588"/>
      <c r="M118" s="198"/>
    </row>
    <row r="119" spans="2:13" ht="14.4">
      <c r="B119" s="374">
        <v>45657</v>
      </c>
      <c r="C119" s="184">
        <v>237191081</v>
      </c>
      <c r="D119" s="729">
        <f>'Notes - Dec25'!AA8</f>
        <v>1806577762</v>
      </c>
      <c r="E119" s="381">
        <f t="shared" ref="E119:E124" si="11">+C119/H119</f>
        <v>141185.16726190477</v>
      </c>
      <c r="F119" s="231">
        <f>'P&amp;L -Dec25'!DE10/'Advance Analysis - Dec25'!D119*12</f>
        <v>0.47446656609514937</v>
      </c>
      <c r="G119" s="231">
        <f>'P&amp;L -Dec25'!DE10/'Notes - Dec25'!AA6*12</f>
        <v>0.4313117841798868</v>
      </c>
      <c r="H119" s="382">
        <f t="shared" si="9"/>
        <v>1680</v>
      </c>
      <c r="I119" s="614">
        <v>382</v>
      </c>
      <c r="J119" s="198">
        <v>1298</v>
      </c>
      <c r="K119" s="972">
        <v>11182</v>
      </c>
      <c r="L119" s="588"/>
      <c r="M119" s="198"/>
    </row>
    <row r="120" spans="2:13" ht="14.4">
      <c r="B120" s="374">
        <v>45688</v>
      </c>
      <c r="C120" s="184">
        <v>252663192</v>
      </c>
      <c r="D120" s="729">
        <f>'Notes - Dec25'!Y8</f>
        <v>1787371449.1600001</v>
      </c>
      <c r="E120" s="381">
        <f t="shared" si="11"/>
        <v>127865.98785425101</v>
      </c>
      <c r="F120" s="231">
        <f>'P&amp;L -Dec25'!DF10/'Advance Analysis - Dec25'!D120*12</f>
        <v>0.43440536672156227</v>
      </c>
      <c r="G120" s="231">
        <f>'P&amp;L -Dec25'!DF10/'Notes - Dec25'!Y6*12</f>
        <v>0.39042973336404119</v>
      </c>
      <c r="H120" s="382">
        <f t="shared" si="9"/>
        <v>1976</v>
      </c>
      <c r="I120" s="614">
        <v>397</v>
      </c>
      <c r="J120" s="198">
        <v>1579</v>
      </c>
      <c r="K120" s="972">
        <f>4495+7585</f>
        <v>12080</v>
      </c>
      <c r="L120" s="588"/>
      <c r="M120" s="198"/>
    </row>
    <row r="121" spans="2:13" ht="14.4">
      <c r="B121" s="374">
        <v>45689</v>
      </c>
      <c r="C121" s="184">
        <v>232542821</v>
      </c>
      <c r="D121" s="729">
        <f>'Notes - Dec25'!W8</f>
        <v>1728136039.23</v>
      </c>
      <c r="E121" s="381">
        <f t="shared" si="11"/>
        <v>155547.03745819398</v>
      </c>
      <c r="F121" s="231">
        <f>'P&amp;L -Dec25'!DG10/'Advance Analysis - Dec25'!D121*12</f>
        <v>0.20093571945569777</v>
      </c>
      <c r="G121" s="231">
        <f>'P&amp;L -Dec25'!DG10/'Notes - Dec25'!W6*12</f>
        <v>0.16900469112312494</v>
      </c>
      <c r="H121" s="382">
        <f t="shared" ref="H121" si="12">I121+J121</f>
        <v>1495</v>
      </c>
      <c r="I121" s="614">
        <v>322</v>
      </c>
      <c r="J121" s="198">
        <v>1173</v>
      </c>
      <c r="K121" s="972">
        <f>7628+4431</f>
        <v>12059</v>
      </c>
      <c r="L121" s="588"/>
      <c r="M121" s="198"/>
    </row>
    <row r="122" spans="2:13" ht="13.8" customHeight="1">
      <c r="B122" s="374">
        <v>45717</v>
      </c>
      <c r="C122" s="184">
        <v>209581914</v>
      </c>
      <c r="D122" s="729">
        <f>'Notes - Dec25'!U8</f>
        <v>1653313533.1700001</v>
      </c>
      <c r="E122" s="381">
        <f t="shared" si="11"/>
        <v>140753.46809939557</v>
      </c>
      <c r="F122" s="231">
        <f>'P&amp;L -Dec25'!DI10/'Advance Analysis - Dec25'!D122*12</f>
        <v>0.49054767213147032</v>
      </c>
      <c r="G122" s="231">
        <f>'P&amp;L -Dec25'!DI10/'Notes - Dec25'!U6*12</f>
        <v>0.40692853974901189</v>
      </c>
      <c r="H122" s="382">
        <f t="shared" ref="H122" si="13">I122+J122</f>
        <v>1489</v>
      </c>
      <c r="I122" s="614">
        <v>368</v>
      </c>
      <c r="J122" s="198">
        <v>1121</v>
      </c>
      <c r="K122" s="972">
        <f>7769+4519</f>
        <v>12288</v>
      </c>
      <c r="L122" s="588"/>
      <c r="M122" s="198"/>
    </row>
    <row r="123" spans="2:13" ht="13.8" customHeight="1">
      <c r="B123" s="374">
        <v>45748</v>
      </c>
      <c r="C123" s="184">
        <v>218328997</v>
      </c>
      <c r="D123" s="729">
        <f>'Notes - Dec25'!S8</f>
        <v>1617153550.9500003</v>
      </c>
      <c r="E123" s="381">
        <f t="shared" si="11"/>
        <v>143637.49802631579</v>
      </c>
      <c r="F123" s="231">
        <f>'P&amp;L -Dec25'!DI10/'Advance Analysis - Dec25'!D123*12</f>
        <v>0.50151644815890195</v>
      </c>
      <c r="G123" s="231">
        <f>'P&amp;L -Dec25'!DJ10/'Notes - Dec25'!S6*12</f>
        <v>0.40633991866750019</v>
      </c>
      <c r="H123" s="382">
        <f t="shared" ref="H123" si="14">I123+J123</f>
        <v>1520</v>
      </c>
      <c r="I123" s="614">
        <v>306</v>
      </c>
      <c r="J123" s="198">
        <v>1214</v>
      </c>
      <c r="K123" s="972">
        <v>11800</v>
      </c>
      <c r="L123" s="588"/>
      <c r="M123" s="198"/>
    </row>
    <row r="124" spans="2:13" ht="13.8" customHeight="1">
      <c r="B124" s="374">
        <v>45778</v>
      </c>
      <c r="C124" s="184">
        <v>243343506</v>
      </c>
      <c r="D124" s="729">
        <f>'Notes - Dec25'!Q8</f>
        <v>1600986778.1799998</v>
      </c>
      <c r="E124" s="381">
        <f t="shared" si="11"/>
        <v>152089.69125</v>
      </c>
      <c r="F124" s="231">
        <f>'P&amp;L -Dec25'!DK10/'Advance Analysis - Dec25'!D124*12</f>
        <v>0.483060123556529</v>
      </c>
      <c r="G124" s="231">
        <f>'P&amp;L -Dec25'!DK10/'Notes - Dec25'!Q6*12</f>
        <v>0.41069204383820185</v>
      </c>
      <c r="H124" s="382">
        <f t="shared" ref="H124" si="15">I124+J124</f>
        <v>1600</v>
      </c>
      <c r="I124" s="614">
        <v>339</v>
      </c>
      <c r="J124" s="198">
        <v>1261</v>
      </c>
      <c r="K124" s="972">
        <f>7655+3828</f>
        <v>11483</v>
      </c>
      <c r="L124" s="588"/>
      <c r="M124" s="198"/>
    </row>
    <row r="125" spans="2:13" ht="13.8" customHeight="1">
      <c r="B125" s="374">
        <v>45809</v>
      </c>
      <c r="C125" s="184">
        <v>220564372</v>
      </c>
      <c r="D125" s="729">
        <f>'Notes - Dec25'!O8</f>
        <v>1562448764.5</v>
      </c>
      <c r="E125" s="381">
        <f t="shared" ref="E125" si="16">+C125/H125</f>
        <v>145395.10349373764</v>
      </c>
      <c r="F125" s="231">
        <f>'P&amp;L -Dec25'!DL10/'Advance Analysis - Dec25'!D125*12</f>
        <v>0.4613303328577722</v>
      </c>
      <c r="G125" s="231">
        <f>'P&amp;L -Dec25'!DL10/'Notes - Dec25'!O6*12</f>
        <v>0.39149531750479211</v>
      </c>
      <c r="H125" s="382">
        <f t="shared" ref="H125" si="17">I125+J125</f>
        <v>1517</v>
      </c>
      <c r="I125" s="614">
        <v>339</v>
      </c>
      <c r="J125" s="198">
        <v>1178</v>
      </c>
      <c r="K125" s="972">
        <f>6684+3913</f>
        <v>10597</v>
      </c>
      <c r="L125" s="588"/>
      <c r="M125" s="198"/>
    </row>
    <row r="126" spans="2:13" ht="13.8" customHeight="1">
      <c r="B126" s="374">
        <v>45839</v>
      </c>
      <c r="C126" s="184">
        <v>263065751</v>
      </c>
      <c r="D126" s="729">
        <f>'Notes - Dec25'!M8</f>
        <v>1569807333.54</v>
      </c>
      <c r="E126" s="381">
        <f t="shared" ref="E126" si="18">+C126/H126</f>
        <v>163903.89470404983</v>
      </c>
      <c r="F126" s="231">
        <f>'P&amp;L -Dec25'!DM10/'Advance Analysis - Dec25'!D126*12</f>
        <v>0.45871316986152394</v>
      </c>
      <c r="G126" s="571">
        <f>'P&amp;L -Dec25'!DM10/'Notes - Dec25'!M6*12</f>
        <v>0.38974117563687766</v>
      </c>
      <c r="H126" s="382">
        <f t="shared" ref="H126" si="19">I126+J126</f>
        <v>1605</v>
      </c>
      <c r="I126" s="614">
        <v>365</v>
      </c>
      <c r="J126" s="198">
        <v>1240</v>
      </c>
      <c r="K126" s="972">
        <f>6635+3745</f>
        <v>10380</v>
      </c>
      <c r="L126" s="588"/>
      <c r="M126" s="198"/>
    </row>
    <row r="127" spans="2:13" ht="13.8" customHeight="1">
      <c r="B127" s="374">
        <v>45870</v>
      </c>
      <c r="C127" s="184">
        <v>213282530</v>
      </c>
      <c r="D127" s="729">
        <f>'Notes - Dec25'!K8</f>
        <v>1540093019.8600001</v>
      </c>
      <c r="E127" s="381">
        <f t="shared" ref="E127" si="20">+C127/H127</f>
        <v>151157.00212615167</v>
      </c>
      <c r="F127" s="231">
        <f>'P&amp;L -Dec25'!DN10/'Advance Analysis - Dec25'!D127*12</f>
        <v>0.47159424455155519</v>
      </c>
      <c r="G127" s="231">
        <f>'P&amp;L -Dec25'!DN10/'Notes - Dec25'!K6*12</f>
        <v>0.39987977259607527</v>
      </c>
      <c r="H127" s="382">
        <f>I127+J127</f>
        <v>1411</v>
      </c>
      <c r="I127" s="614">
        <v>306</v>
      </c>
      <c r="J127" s="198">
        <v>1105</v>
      </c>
      <c r="K127" s="1162">
        <v>10149</v>
      </c>
      <c r="L127" s="588"/>
      <c r="M127" s="198"/>
    </row>
    <row r="128" spans="2:13" ht="13.8" customHeight="1">
      <c r="B128" s="374">
        <v>45901</v>
      </c>
      <c r="C128" s="184">
        <v>241732166.99000001</v>
      </c>
      <c r="D128" s="729">
        <f>'Notes - Dec25'!I8</f>
        <v>1529150074.27</v>
      </c>
      <c r="E128" s="381">
        <f>+C128/H128</f>
        <v>149401.83373918419</v>
      </c>
      <c r="F128" s="231">
        <f>'P&amp;L -Dec25'!DO10/'Advance Analysis - Dec25'!D128*12</f>
        <v>0.47162317358829864</v>
      </c>
      <c r="G128" s="231">
        <f>'P&amp;L -Dec25'!DO10/'Notes - Dec25'!I6*12</f>
        <v>0.4000603386039262</v>
      </c>
      <c r="H128" s="382">
        <f t="shared" ref="H128" si="21">I128+J128</f>
        <v>1618</v>
      </c>
      <c r="I128" s="614">
        <v>379</v>
      </c>
      <c r="J128" s="198">
        <v>1239</v>
      </c>
      <c r="K128" s="972">
        <v>10294</v>
      </c>
      <c r="L128" s="588"/>
      <c r="M128" s="198"/>
    </row>
    <row r="129" spans="2:17" ht="13.8" customHeight="1">
      <c r="B129" s="374">
        <v>45931</v>
      </c>
      <c r="C129" s="184">
        <v>248356011</v>
      </c>
      <c r="D129" s="729">
        <f>'Notes - Dec25'!G8</f>
        <v>1487162970.4099998</v>
      </c>
      <c r="E129" s="381">
        <f>+C129/H129</f>
        <v>153876.09107806691</v>
      </c>
      <c r="F129" s="231">
        <f>'P&amp;L -Dec25'!DP10/'Advance Analysis - Dec25'!D129*12</f>
        <v>0.49967739056542837</v>
      </c>
      <c r="G129" s="231">
        <f>'P&amp;L -Dec25'!DP10/'Notes - Dec25'!G6*12</f>
        <v>0.42070860303662305</v>
      </c>
      <c r="H129" s="382">
        <f t="shared" ref="H129" si="22">I129+J129</f>
        <v>1614</v>
      </c>
      <c r="I129" s="614">
        <v>456</v>
      </c>
      <c r="J129" s="198">
        <v>1158</v>
      </c>
      <c r="K129" s="972">
        <v>9665</v>
      </c>
      <c r="L129" s="588"/>
      <c r="M129" s="198"/>
    </row>
    <row r="130" spans="2:17" ht="13.8" customHeight="1">
      <c r="B130" s="374">
        <v>45962</v>
      </c>
      <c r="C130" s="184">
        <v>307800366.83999997</v>
      </c>
      <c r="D130" s="729">
        <f>'Notes - Dec25'!E8</f>
        <v>1554309580.0999999</v>
      </c>
      <c r="E130" s="381">
        <f>+C130/H130</f>
        <v>192978.28642006268</v>
      </c>
      <c r="F130" s="231">
        <f>'P&amp;L -Dec25'!DQ10/'Advance Analysis - Dec25'!D130*12</f>
        <v>0.43715168580269892</v>
      </c>
      <c r="G130" s="231">
        <f>'P&amp;L -Dec25'!DQ10/'Notes - Dec25'!E6*12</f>
        <v>0.36978785660298846</v>
      </c>
      <c r="H130" s="382">
        <v>1595</v>
      </c>
      <c r="I130" s="614">
        <v>429</v>
      </c>
      <c r="J130" s="198">
        <v>1166</v>
      </c>
      <c r="K130" s="972">
        <v>10029</v>
      </c>
      <c r="L130" s="588"/>
      <c r="M130" s="198"/>
    </row>
    <row r="131" spans="2:17" ht="13.8" customHeight="1">
      <c r="B131" s="374">
        <v>45992</v>
      </c>
      <c r="C131" s="184">
        <v>223495493.97999999</v>
      </c>
      <c r="D131" s="729">
        <f>'Notes - Dec25'!C8</f>
        <v>1506856930.9400001</v>
      </c>
      <c r="E131" s="381">
        <f>+C131/H131</f>
        <v>146746.87720288904</v>
      </c>
      <c r="F131" s="231">
        <f>'P&amp;L -Dec25'!DR10/'Advance Analysis - Dec25'!D131*12</f>
        <v>0.51887824089062951</v>
      </c>
      <c r="G131" s="231">
        <f>'P&amp;L -Dec25'!DR10/'Notes - Dec25'!C6*12</f>
        <v>0.43747623727687102</v>
      </c>
      <c r="H131" s="382">
        <v>1523</v>
      </c>
      <c r="I131" s="614">
        <v>315</v>
      </c>
      <c r="J131" s="198">
        <v>1208</v>
      </c>
      <c r="K131" s="972">
        <v>9920</v>
      </c>
      <c r="L131" s="588"/>
      <c r="M131" s="198"/>
    </row>
    <row r="132" spans="2:17" ht="14.4">
      <c r="C132" s="387">
        <f>SUM(C4:C131)</f>
        <v>12295638080.300001</v>
      </c>
      <c r="D132" s="167"/>
      <c r="E132" s="387">
        <f>AVERAGE(E4:E128)</f>
        <v>139378.9176921109</v>
      </c>
      <c r="H132" s="387">
        <f>SUM(H4:H131)</f>
        <v>77200.000007021998</v>
      </c>
      <c r="I132" s="387">
        <f>SUM(I4:I131)</f>
        <v>24921</v>
      </c>
      <c r="J132" s="387">
        <f>SUM(J4:J131)</f>
        <v>52280</v>
      </c>
      <c r="L132" s="339"/>
      <c r="M132" s="232"/>
      <c r="N132" s="232"/>
      <c r="P132" s="198"/>
      <c r="Q132" s="198"/>
    </row>
    <row r="133" spans="2:17" ht="14.25" customHeight="1" thickBot="1">
      <c r="C133" s="167"/>
      <c r="D133" s="167"/>
      <c r="E133" s="167"/>
      <c r="H133" s="167"/>
      <c r="I133" s="167"/>
      <c r="J133" s="167"/>
      <c r="M133" s="232"/>
      <c r="P133" s="389"/>
      <c r="Q133" s="390"/>
    </row>
    <row r="134" spans="2:17" ht="14.25" customHeight="1">
      <c r="C134" s="996"/>
      <c r="D134" s="167"/>
      <c r="E134" s="167"/>
      <c r="I134" s="198"/>
      <c r="P134" s="389">
        <v>2000000</v>
      </c>
      <c r="Q134" s="391">
        <v>9410812.6500000004</v>
      </c>
    </row>
    <row r="135" spans="2:17" ht="14.25" customHeight="1">
      <c r="C135" s="167"/>
      <c r="D135" s="571"/>
      <c r="E135" s="167"/>
      <c r="I135" s="198"/>
      <c r="P135" s="392">
        <v>77614.319999999992</v>
      </c>
      <c r="Q135" s="393">
        <v>10276548.42</v>
      </c>
    </row>
    <row r="136" spans="2:17" ht="15" customHeight="1">
      <c r="I136" s="198"/>
    </row>
    <row r="172" spans="1:1" ht="14.25" customHeight="1">
      <c r="A172" t="s">
        <v>473</v>
      </c>
    </row>
  </sheetData>
  <autoFilter ref="B3:J3" xr:uid="{00000000-0009-0000-0000-000009000000}"/>
  <hyperlinks>
    <hyperlink ref="Q134" r:id="rId1" display="https://go.xero.com/Reports/report2.aspx?report=BankSummary&amp;fromDate=1%2F05%2F2017&amp;toDate=31%2F05%2F2017&amp;addToReportId=ffa75e42-95ea-4bfa-8aa3-c3c6a676f71a&amp;addToReportTitle=Executive%20Summary" xr:uid="{00000000-0004-0000-0900-000000000000}"/>
  </hyperlinks>
  <pageMargins left="0.7" right="0.7" top="0.75" bottom="0.75" header="0" footer="0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JF174"/>
  <sheetViews>
    <sheetView showGridLines="0" zoomScale="85" zoomScaleNormal="85" workbookViewId="0">
      <pane xSplit="2" ySplit="1" topLeftCell="HI2" activePane="bottomRight" state="frozen"/>
      <selection activeCell="K23" sqref="K23"/>
      <selection pane="topRight" activeCell="K23" sqref="K23"/>
      <selection pane="bottomLeft" activeCell="K23" sqref="K23"/>
      <selection pane="bottomRight" activeCell="HS100" sqref="HS100"/>
    </sheetView>
  </sheetViews>
  <sheetFormatPr defaultColWidth="14.44140625" defaultRowHeight="15" customHeight="1" outlineLevelRow="1" outlineLevelCol="2"/>
  <cols>
    <col min="1" max="1" width="8.88671875" customWidth="1"/>
    <col min="2" max="2" width="34.5546875" customWidth="1"/>
    <col min="3" max="3" width="7" customWidth="1"/>
    <col min="4" max="4" width="14.5546875" hidden="1" customWidth="1" outlineLevel="1"/>
    <col min="5" max="5" width="5" hidden="1" customWidth="1" outlineLevel="1"/>
    <col min="6" max="6" width="14.5546875" hidden="1" customWidth="1" outlineLevel="1"/>
    <col min="7" max="7" width="5" hidden="1" customWidth="1" outlineLevel="1"/>
    <col min="8" max="8" width="14.5546875" hidden="1" customWidth="1" outlineLevel="1"/>
    <col min="9" max="9" width="5" hidden="1" customWidth="1" outlineLevel="1"/>
    <col min="10" max="10" width="14.5546875" hidden="1" customWidth="1" outlineLevel="1"/>
    <col min="11" max="11" width="5" hidden="1" customWidth="1" outlineLevel="1"/>
    <col min="12" max="12" width="14.5546875" hidden="1" customWidth="1" outlineLevel="1"/>
    <col min="13" max="13" width="5" hidden="1" customWidth="1" outlineLevel="1"/>
    <col min="14" max="14" width="14.5546875" hidden="1" customWidth="1" outlineLevel="1"/>
    <col min="15" max="15" width="4.5546875" hidden="1" customWidth="1" outlineLevel="1"/>
    <col min="16" max="16" width="14.5546875" hidden="1" customWidth="1" outlineLevel="1"/>
    <col min="17" max="17" width="4.5546875" hidden="1" customWidth="1" outlineLevel="1"/>
    <col min="18" max="18" width="14.5546875" hidden="1" customWidth="1" outlineLevel="1"/>
    <col min="19" max="19" width="4.5546875" hidden="1" customWidth="1" outlineLevel="1"/>
    <col min="20" max="20" width="14.5546875" hidden="1" customWidth="1" outlineLevel="1"/>
    <col min="21" max="21" width="4.5546875" hidden="1" customWidth="1" outlineLevel="1"/>
    <col min="22" max="22" width="14.5546875" hidden="1" customWidth="1" outlineLevel="1"/>
    <col min="23" max="23" width="4.5546875" hidden="1" customWidth="1" outlineLevel="1"/>
    <col min="24" max="24" width="14.5546875" hidden="1" customWidth="1" outlineLevel="1"/>
    <col min="25" max="25" width="4.5546875" hidden="1" customWidth="1" outlineLevel="1"/>
    <col min="26" max="26" width="14.5546875" hidden="1" customWidth="1" outlineLevel="1"/>
    <col min="27" max="27" width="4.5546875" hidden="1" customWidth="1" outlineLevel="1"/>
    <col min="28" max="28" width="14.5546875" hidden="1" customWidth="1" outlineLevel="1"/>
    <col min="29" max="29" width="4.5546875" hidden="1" customWidth="1" outlineLevel="1"/>
    <col min="30" max="30" width="14.5546875" hidden="1" customWidth="1" outlineLevel="1"/>
    <col min="31" max="31" width="4.5546875" hidden="1" customWidth="1" outlineLevel="1"/>
    <col min="32" max="32" width="14.5546875" hidden="1" customWidth="1" outlineLevel="1"/>
    <col min="33" max="33" width="4.5546875" hidden="1" customWidth="1" outlineLevel="1"/>
    <col min="34" max="34" width="14.5546875" hidden="1" customWidth="1" outlineLevel="1"/>
    <col min="35" max="35" width="4.5546875" hidden="1" customWidth="1" outlineLevel="1"/>
    <col min="36" max="36" width="15.44140625" hidden="1" customWidth="1" outlineLevel="1"/>
    <col min="37" max="37" width="4.5546875" hidden="1" customWidth="1" outlineLevel="1"/>
    <col min="38" max="38" width="15.44140625" hidden="1" customWidth="1" outlineLevel="1"/>
    <col min="39" max="39" width="4.5546875" hidden="1" customWidth="1" outlineLevel="1"/>
    <col min="40" max="40" width="15.44140625" hidden="1" customWidth="1" outlineLevel="1"/>
    <col min="41" max="41" width="4.5546875" hidden="1" customWidth="1" outlineLevel="1"/>
    <col min="42" max="42" width="15.44140625" hidden="1" customWidth="1" outlineLevel="1"/>
    <col min="43" max="43" width="4.5546875" hidden="1" customWidth="1" outlineLevel="1"/>
    <col min="44" max="44" width="15.44140625" hidden="1" customWidth="1" outlineLevel="1"/>
    <col min="45" max="45" width="4.5546875" hidden="1" customWidth="1" outlineLevel="1"/>
    <col min="46" max="46" width="15.44140625" hidden="1" customWidth="1" outlineLevel="1"/>
    <col min="47" max="47" width="4.5546875" hidden="1" customWidth="1" outlineLevel="1"/>
    <col min="48" max="48" width="15.44140625" hidden="1" customWidth="1" outlineLevel="1"/>
    <col min="49" max="49" width="4.5546875" hidden="1" customWidth="1" outlineLevel="1"/>
    <col min="50" max="50" width="15.44140625" hidden="1" customWidth="1" outlineLevel="1"/>
    <col min="51" max="51" width="4.5546875" hidden="1" customWidth="1" outlineLevel="1"/>
    <col min="52" max="52" width="15.44140625" hidden="1" customWidth="1" outlineLevel="1"/>
    <col min="53" max="53" width="4.5546875" hidden="1" customWidth="1" outlineLevel="1"/>
    <col min="54" max="54" width="15.44140625" hidden="1" customWidth="1" outlineLevel="1"/>
    <col min="55" max="55" width="4.5546875" hidden="1" customWidth="1" outlineLevel="1"/>
    <col min="56" max="56" width="15.44140625" hidden="1" customWidth="1" outlineLevel="1"/>
    <col min="57" max="57" width="4.5546875" hidden="1" customWidth="1" outlineLevel="1"/>
    <col min="58" max="58" width="15.44140625" hidden="1" customWidth="1" outlineLevel="1"/>
    <col min="59" max="59" width="4.5546875" hidden="1" customWidth="1" outlineLevel="1"/>
    <col min="60" max="60" width="15.44140625" hidden="1" customWidth="1" outlineLevel="1"/>
    <col min="61" max="61" width="4.5546875" hidden="1" customWidth="1" outlineLevel="1"/>
    <col min="62" max="62" width="16.5546875" hidden="1" customWidth="1" outlineLevel="1"/>
    <col min="63" max="63" width="5" hidden="1" customWidth="1" outlineLevel="1"/>
    <col min="64" max="64" width="15.5546875" hidden="1" customWidth="1" outlineLevel="1"/>
    <col min="65" max="65" width="5" hidden="1" customWidth="1" outlineLevel="1"/>
    <col min="66" max="66" width="20.5546875" hidden="1" customWidth="1" outlineLevel="1"/>
    <col min="67" max="67" width="7.5546875" hidden="1" customWidth="1" outlineLevel="1"/>
    <col min="68" max="68" width="20.5546875" hidden="1" customWidth="1" outlineLevel="1"/>
    <col min="69" max="69" width="5" hidden="1" customWidth="1" outlineLevel="1"/>
    <col min="70" max="70" width="20.5546875" hidden="1" customWidth="1" outlineLevel="1"/>
    <col min="71" max="71" width="7.5546875" hidden="1" customWidth="1" collapsed="1"/>
    <col min="72" max="72" width="20.5546875" hidden="1" customWidth="1" outlineLevel="1"/>
    <col min="73" max="73" width="7.5546875" hidden="1" customWidth="1" outlineLevel="1"/>
    <col min="74" max="74" width="20.5546875" hidden="1" customWidth="1" outlineLevel="1"/>
    <col min="75" max="75" width="7.5546875" hidden="1" customWidth="1" outlineLevel="1"/>
    <col min="76" max="76" width="20.5546875" hidden="1" customWidth="1" outlineLevel="1"/>
    <col min="77" max="77" width="7.5546875" hidden="1" customWidth="1" outlineLevel="1"/>
    <col min="78" max="78" width="20.5546875" hidden="1" customWidth="1" outlineLevel="1"/>
    <col min="79" max="79" width="7.5546875" hidden="1" customWidth="1" outlineLevel="1"/>
    <col min="80" max="80" width="20.5546875" hidden="1" customWidth="1" outlineLevel="1"/>
    <col min="81" max="81" width="7.5546875" hidden="1" customWidth="1" outlineLevel="1"/>
    <col min="82" max="82" width="20.5546875" hidden="1" customWidth="1" outlineLevel="1"/>
    <col min="83" max="83" width="7.5546875" hidden="1" customWidth="1" outlineLevel="1"/>
    <col min="84" max="84" width="20.5546875" hidden="1" customWidth="1" outlineLevel="1"/>
    <col min="85" max="85" width="7.5546875" hidden="1" customWidth="1" outlineLevel="1"/>
    <col min="86" max="86" width="20.5546875" hidden="1" customWidth="1" outlineLevel="1"/>
    <col min="87" max="87" width="7.5546875" hidden="1" customWidth="1" outlineLevel="1"/>
    <col min="88" max="88" width="3.44140625" hidden="1" customWidth="1" outlineLevel="1"/>
    <col min="89" max="89" width="20.44140625" hidden="1" customWidth="1" outlineLevel="1"/>
    <col min="90" max="91" width="7.5546875" hidden="1" customWidth="1" outlineLevel="1"/>
    <col min="92" max="92" width="18.44140625" hidden="1" customWidth="1" outlineLevel="1"/>
    <col min="93" max="93" width="7.5546875" hidden="1" customWidth="1" outlineLevel="1"/>
    <col min="94" max="94" width="4.109375" hidden="1" customWidth="1" outlineLevel="1" collapsed="1"/>
    <col min="95" max="95" width="18.44140625" hidden="1" customWidth="1" outlineLevel="1"/>
    <col min="96" max="96" width="7.5546875" hidden="1" customWidth="1" outlineLevel="1"/>
    <col min="97" max="97" width="4.109375" hidden="1" customWidth="1" outlineLevel="1"/>
    <col min="98" max="98" width="15.5546875" hidden="1" customWidth="1" outlineLevel="1"/>
    <col min="99" max="99" width="7.5546875" hidden="1" customWidth="1" outlineLevel="1"/>
    <col min="100" max="100" width="4.109375" hidden="1" customWidth="1" outlineLevel="1" collapsed="1"/>
    <col min="101" max="101" width="15.5546875" hidden="1" customWidth="1" outlineLevel="1"/>
    <col min="102" max="102" width="7.5546875" hidden="1" customWidth="1" outlineLevel="1"/>
    <col min="103" max="103" width="4.109375" hidden="1" customWidth="1" outlineLevel="1"/>
    <col min="104" max="104" width="15.5546875" hidden="1" customWidth="1" outlineLevel="1"/>
    <col min="105" max="106" width="7.5546875" hidden="1" customWidth="1" outlineLevel="1"/>
    <col min="107" max="107" width="15.5546875" hidden="1" customWidth="1" outlineLevel="1"/>
    <col min="108" max="109" width="8.109375" hidden="1" customWidth="1" outlineLevel="1"/>
    <col min="110" max="110" width="15.5546875" hidden="1" customWidth="1" outlineLevel="1"/>
    <col min="111" max="111" width="8.109375" hidden="1" customWidth="1" outlineLevel="1"/>
    <col min="112" max="112" width="2.88671875" hidden="1" customWidth="1" outlineLevel="1"/>
    <col min="113" max="113" width="15.5546875" hidden="1" customWidth="1" outlineLevel="1"/>
    <col min="114" max="114" width="8.109375" hidden="1" customWidth="1" outlineLevel="1"/>
    <col min="115" max="115" width="4" hidden="1" customWidth="1" outlineLevel="1"/>
    <col min="116" max="116" width="15.5546875" hidden="1" customWidth="1" outlineLevel="1"/>
    <col min="117" max="118" width="8.109375" hidden="1" customWidth="1" outlineLevel="1"/>
    <col min="119" max="119" width="12.88671875" hidden="1" customWidth="1" outlineLevel="1"/>
    <col min="120" max="121" width="8.109375" hidden="1" customWidth="1" outlineLevel="1"/>
    <col min="122" max="122" width="12.88671875" hidden="1" customWidth="1" outlineLevel="1"/>
    <col min="123" max="124" width="8.109375" hidden="1" customWidth="1" outlineLevel="1"/>
    <col min="125" max="125" width="12.88671875" hidden="1" customWidth="1" outlineLevel="1"/>
    <col min="126" max="127" width="8.109375" hidden="1" customWidth="1" outlineLevel="1"/>
    <col min="128" max="128" width="12.88671875" hidden="1" customWidth="1" outlineLevel="1"/>
    <col min="129" max="130" width="8.109375" hidden="1" customWidth="1" outlineLevel="1"/>
    <col min="131" max="131" width="12.88671875" hidden="1" customWidth="1" outlineLevel="1"/>
    <col min="132" max="133" width="8.109375" hidden="1" customWidth="1" outlineLevel="1"/>
    <col min="134" max="134" width="12.88671875" hidden="1" customWidth="1" outlineLevel="1"/>
    <col min="135" max="136" width="8.109375" hidden="1" customWidth="1" outlineLevel="1"/>
    <col min="137" max="137" width="12.44140625" hidden="1" customWidth="1" outlineLevel="1"/>
    <col min="138" max="139" width="8.109375" hidden="1" customWidth="1" outlineLevel="1"/>
    <col min="140" max="140" width="14.109375" hidden="1" customWidth="1" outlineLevel="1"/>
    <col min="141" max="142" width="8.109375" hidden="1" customWidth="1" outlineLevel="1"/>
    <col min="143" max="143" width="14.109375" hidden="1" customWidth="1" outlineLevel="1" collapsed="1"/>
    <col min="144" max="145" width="8.109375" hidden="1" customWidth="1" outlineLevel="1"/>
    <col min="146" max="146" width="14.109375" hidden="1" customWidth="1" outlineLevel="1" collapsed="1"/>
    <col min="147" max="148" width="8.109375" hidden="1" customWidth="1" outlineLevel="1"/>
    <col min="149" max="149" width="14.5546875" hidden="1" customWidth="1" outlineLevel="1"/>
    <col min="150" max="151" width="8.109375" hidden="1" customWidth="1" outlineLevel="1"/>
    <col min="152" max="152" width="15.109375" hidden="1" customWidth="1" outlineLevel="1"/>
    <col min="153" max="154" width="7.109375" hidden="1" customWidth="1" outlineLevel="1"/>
    <col min="155" max="155" width="15.109375" hidden="1" customWidth="1" outlineLevel="1"/>
    <col min="156" max="156" width="5" hidden="1" customWidth="1" outlineLevel="1"/>
    <col min="157" max="157" width="7.109375" hidden="1" customWidth="1" outlineLevel="1"/>
    <col min="158" max="158" width="15.109375" hidden="1" customWidth="1" outlineLevel="1"/>
    <col min="159" max="160" width="7.109375" hidden="1" customWidth="1" outlineLevel="1"/>
    <col min="161" max="161" width="15.109375" hidden="1" customWidth="1" outlineLevel="1"/>
    <col min="162" max="162" width="5" hidden="1" customWidth="1" outlineLevel="1"/>
    <col min="163" max="163" width="7.109375" hidden="1" customWidth="1" outlineLevel="1"/>
    <col min="164" max="164" width="15.109375" hidden="1" customWidth="1" outlineLevel="1"/>
    <col min="165" max="165" width="4.5546875" hidden="1" customWidth="1" outlineLevel="1"/>
    <col min="166" max="166" width="7.109375" hidden="1" customWidth="1" outlineLevel="1"/>
    <col min="167" max="167" width="14.88671875" hidden="1" customWidth="1" outlineLevel="1"/>
    <col min="168" max="169" width="7.109375" hidden="1" customWidth="1" outlineLevel="1"/>
    <col min="170" max="170" width="15.109375" hidden="1" customWidth="1" outlineLevel="1"/>
    <col min="171" max="171" width="8.44140625" hidden="1" customWidth="1" outlineLevel="1"/>
    <col min="172" max="172" width="8.44140625" hidden="1" customWidth="1" outlineLevel="1" collapsed="1"/>
    <col min="173" max="173" width="15.109375" hidden="1" customWidth="1" outlineLevel="1"/>
    <col min="174" max="174" width="8.44140625" hidden="1" customWidth="1" outlineLevel="1"/>
    <col min="175" max="175" width="7" hidden="1" customWidth="1" outlineLevel="1"/>
    <col min="176" max="176" width="15.109375" hidden="1" customWidth="1" outlineLevel="1" collapsed="1"/>
    <col min="177" max="177" width="12.44140625" hidden="1" customWidth="1" outlineLevel="1"/>
    <col min="178" max="178" width="7" hidden="1" customWidth="1" outlineLevel="1"/>
    <col min="179" max="179" width="15.109375" hidden="1" customWidth="1" outlineLevel="1" collapsed="1"/>
    <col min="180" max="180" width="12.44140625" hidden="1" customWidth="1" outlineLevel="1"/>
    <col min="181" max="181" width="6.88671875" hidden="1" customWidth="1" outlineLevel="1"/>
    <col min="182" max="182" width="15.109375" hidden="1" customWidth="1" outlineLevel="1" collapsed="1"/>
    <col min="183" max="183" width="12.44140625" hidden="1" customWidth="1" outlineLevel="1"/>
    <col min="184" max="184" width="6.88671875" hidden="1" customWidth="1" outlineLevel="1"/>
    <col min="185" max="185" width="15.109375" hidden="1" customWidth="1" outlineLevel="1" collapsed="1"/>
    <col min="186" max="186" width="12.44140625" hidden="1" customWidth="1" outlineLevel="1"/>
    <col min="187" max="187" width="15.109375" hidden="1" customWidth="1" outlineLevel="1" collapsed="1"/>
    <col min="188" max="188" width="12.44140625" hidden="1" customWidth="1" outlineLevel="1"/>
    <col min="189" max="189" width="16.88671875" hidden="1" customWidth="1" outlineLevel="1" collapsed="1"/>
    <col min="190" max="190" width="12.44140625" hidden="1" customWidth="1" outlineLevel="1"/>
    <col min="191" max="191" width="16.88671875" hidden="1" customWidth="1" outlineLevel="1" collapsed="1"/>
    <col min="192" max="192" width="12.44140625" hidden="1" customWidth="1" outlineLevel="1"/>
    <col min="193" max="193" width="16.88671875" hidden="1" customWidth="1" outlineLevel="1" collapsed="1"/>
    <col min="194" max="194" width="12.44140625" hidden="1" customWidth="1" outlineLevel="1"/>
    <col min="195" max="195" width="18.6640625" hidden="1" customWidth="1" outlineLevel="1" collapsed="1"/>
    <col min="196" max="196" width="12.44140625" hidden="1" customWidth="1" outlineLevel="1"/>
    <col min="197" max="197" width="18.6640625" hidden="1" customWidth="1" outlineLevel="1" collapsed="1"/>
    <col min="198" max="198" width="12.44140625" hidden="1" customWidth="1" outlineLevel="1"/>
    <col min="199" max="199" width="18.6640625" hidden="1" customWidth="1" outlineLevel="1" collapsed="1"/>
    <col min="200" max="200" width="12.44140625" hidden="1" customWidth="1" outlineLevel="1"/>
    <col min="201" max="201" width="5.88671875" hidden="1" customWidth="1" outlineLevel="1"/>
    <col min="202" max="202" width="18.6640625" customWidth="1" collapsed="1"/>
    <col min="203" max="203" width="12.44140625" customWidth="1"/>
    <col min="204" max="204" width="6.44140625" customWidth="1"/>
    <col min="205" max="205" width="18.6640625" style="546" customWidth="1" collapsed="1"/>
    <col min="206" max="206" width="12.44140625" customWidth="1"/>
    <col min="207" max="207" width="6.6640625" customWidth="1"/>
    <col min="208" max="208" width="18.6640625" style="546" customWidth="1" collapsed="1"/>
    <col min="209" max="209" width="12.44140625" customWidth="1"/>
    <col min="210" max="210" width="8.21875" customWidth="1"/>
    <col min="211" max="211" width="18.6640625" style="546" customWidth="1" collapsed="1"/>
    <col min="212" max="212" width="12.44140625" customWidth="1"/>
    <col min="213" max="213" width="7.33203125" customWidth="1"/>
    <col min="214" max="214" width="18.6640625" style="546" customWidth="1" collapsed="1"/>
    <col min="215" max="215" width="6.44140625" customWidth="1"/>
    <col min="216" max="216" width="4.77734375" customWidth="1"/>
    <col min="217" max="217" width="17.44140625" style="546" customWidth="1" collapsed="1"/>
    <col min="218" max="218" width="7.33203125" customWidth="1"/>
    <col min="219" max="219" width="2.88671875" customWidth="1"/>
    <col min="220" max="220" width="17.44140625" style="546" customWidth="1" collapsed="1"/>
    <col min="221" max="221" width="7.33203125" customWidth="1"/>
    <col min="222" max="222" width="5.6640625" customWidth="1"/>
    <col min="223" max="223" width="17.44140625" customWidth="1" collapsed="1"/>
    <col min="224" max="224" width="7.33203125" customWidth="1"/>
    <col min="225" max="225" width="7" customWidth="1"/>
    <col min="226" max="226" width="17.44140625" customWidth="1" collapsed="1"/>
    <col min="227" max="227" width="7.33203125" customWidth="1"/>
    <col min="228" max="228" width="8.44140625" customWidth="1"/>
    <col min="229" max="229" width="17.44140625" customWidth="1" collapsed="1"/>
    <col min="230" max="230" width="7.33203125" customWidth="1"/>
    <col min="231" max="234" width="8.44140625" customWidth="1"/>
    <col min="235" max="238" width="12.44140625" hidden="1" customWidth="1"/>
    <col min="239" max="241" width="15.44140625" hidden="1" customWidth="1"/>
    <col min="242" max="243" width="15" hidden="1" customWidth="1"/>
    <col min="244" max="246" width="15.44140625" hidden="1" customWidth="1"/>
    <col min="247" max="247" width="16.44140625" hidden="1" customWidth="1"/>
    <col min="248" max="253" width="17.44140625" hidden="1" customWidth="1"/>
    <col min="254" max="254" width="15.109375" hidden="1" customWidth="1"/>
    <col min="255" max="255" width="8.88671875" hidden="1" customWidth="1"/>
    <col min="256" max="256" width="14.44140625" customWidth="1"/>
    <col min="257" max="257" width="15.109375" hidden="1" customWidth="1" outlineLevel="2"/>
    <col min="258" max="258" width="20.5546875" hidden="1" customWidth="1" outlineLevel="2"/>
    <col min="259" max="259" width="15.109375" hidden="1" customWidth="1" outlineLevel="2"/>
    <col min="260" max="260" width="14.88671875" hidden="1" customWidth="1" outlineLevel="2"/>
    <col min="261" max="261" width="15.109375" hidden="1" customWidth="1" outlineLevel="2"/>
    <col min="262" max="262" width="14.44140625" hidden="1" customWidth="1" outlineLevel="2"/>
    <col min="263" max="263" width="14.88671875" bestFit="1" customWidth="1" collapsed="1"/>
    <col min="264" max="264" width="17.44140625" bestFit="1" customWidth="1"/>
    <col min="265" max="265" width="16.21875" bestFit="1" customWidth="1"/>
    <col min="267" max="267" width="16.44140625" bestFit="1" customWidth="1"/>
  </cols>
  <sheetData>
    <row r="1" spans="1:260" ht="14.25" customHeight="1">
      <c r="A1" s="212" t="s">
        <v>427</v>
      </c>
      <c r="E1" s="233"/>
      <c r="G1" s="233"/>
      <c r="I1" s="233"/>
      <c r="K1" s="233"/>
      <c r="M1" s="233"/>
      <c r="O1" s="233"/>
      <c r="Q1" s="233"/>
      <c r="S1" s="233"/>
      <c r="U1" s="233"/>
      <c r="W1" s="233"/>
      <c r="Y1" s="233"/>
      <c r="AA1" s="233"/>
      <c r="AC1" s="233"/>
      <c r="AE1" s="233"/>
      <c r="AG1" s="233"/>
      <c r="AI1" s="233"/>
      <c r="AK1" s="233"/>
      <c r="AM1" s="233"/>
      <c r="AO1" s="233"/>
      <c r="AQ1" s="233"/>
      <c r="AS1" s="233"/>
      <c r="AU1" s="233"/>
      <c r="AW1" s="233"/>
      <c r="AY1" s="233"/>
      <c r="BA1" s="233"/>
      <c r="BC1" s="233"/>
      <c r="BE1" s="233"/>
      <c r="BF1" s="157"/>
      <c r="BG1" s="234"/>
      <c r="BH1" s="157"/>
      <c r="BI1" s="234"/>
      <c r="BJ1" s="157"/>
      <c r="BK1" s="234"/>
      <c r="BL1" s="157"/>
      <c r="BM1" s="234"/>
      <c r="BN1" s="157"/>
      <c r="BO1" s="234"/>
      <c r="BP1" s="157"/>
      <c r="BQ1" s="234"/>
      <c r="BR1" s="157"/>
      <c r="BS1" s="234"/>
      <c r="BT1" s="157"/>
      <c r="BU1" s="234"/>
      <c r="BV1" s="157"/>
      <c r="BW1" s="234"/>
      <c r="BX1" s="157"/>
      <c r="BY1" s="234"/>
      <c r="BZ1" s="157"/>
      <c r="CA1" s="234"/>
      <c r="CB1" s="157"/>
      <c r="CC1" s="234"/>
      <c r="CD1" s="157"/>
      <c r="CE1" s="234"/>
      <c r="CF1" s="157"/>
      <c r="CG1" s="234"/>
      <c r="CH1" s="157"/>
      <c r="CI1" s="234"/>
      <c r="CJ1" s="234"/>
      <c r="CK1" s="234"/>
      <c r="CL1" s="234"/>
      <c r="CM1" s="234"/>
      <c r="CN1" s="234"/>
      <c r="CO1" s="234"/>
      <c r="CP1" s="234"/>
      <c r="CQ1" s="234"/>
      <c r="CR1" s="234"/>
      <c r="CS1" s="234"/>
      <c r="CT1" s="234"/>
      <c r="CU1" s="234"/>
      <c r="CV1" s="235"/>
      <c r="CW1" s="234"/>
      <c r="CX1" s="234"/>
      <c r="CY1" s="436"/>
      <c r="CZ1" s="234"/>
      <c r="DA1" s="234"/>
      <c r="DB1" s="436"/>
      <c r="DC1" s="234"/>
      <c r="DD1" s="234"/>
      <c r="DE1" s="436"/>
      <c r="DF1" s="425"/>
      <c r="DG1" s="234"/>
      <c r="DH1" s="436"/>
      <c r="DI1" s="425"/>
      <c r="DJ1" s="234"/>
      <c r="DK1" s="436"/>
      <c r="DL1" s="425"/>
      <c r="DM1" s="234"/>
      <c r="DN1" s="436"/>
      <c r="DO1" s="436"/>
      <c r="DP1" s="436"/>
      <c r="DQ1" s="436"/>
      <c r="DR1" s="580"/>
      <c r="DS1" s="436"/>
      <c r="DT1" s="436"/>
      <c r="DU1" s="580"/>
      <c r="DV1" s="436"/>
      <c r="DW1" s="436"/>
      <c r="DX1" s="580"/>
      <c r="DY1" s="580"/>
      <c r="DZ1" s="580"/>
      <c r="EA1" s="580"/>
      <c r="EB1" s="580"/>
      <c r="EC1" s="580"/>
      <c r="ED1" s="580"/>
      <c r="EE1" s="580"/>
      <c r="EF1" s="580"/>
      <c r="EG1" s="580"/>
      <c r="EH1" s="580"/>
      <c r="EI1" s="580"/>
      <c r="EJ1" s="580"/>
      <c r="EK1" s="580"/>
      <c r="EL1" s="580"/>
      <c r="EM1" s="580"/>
      <c r="EN1" s="580"/>
      <c r="EO1" s="580"/>
      <c r="EP1" s="580"/>
      <c r="EQ1" s="580"/>
      <c r="ER1" s="580"/>
      <c r="ES1" s="580"/>
      <c r="ET1" s="580"/>
      <c r="EU1" s="580"/>
      <c r="EV1" s="580"/>
      <c r="EW1" s="580"/>
      <c r="EX1" s="580"/>
      <c r="EY1" s="580"/>
      <c r="EZ1" s="580"/>
      <c r="FA1" s="580"/>
      <c r="FB1" s="580"/>
      <c r="FC1" s="580"/>
      <c r="FD1" s="580"/>
      <c r="FE1" s="580"/>
      <c r="FF1" s="580"/>
      <c r="FG1" s="580"/>
      <c r="FH1" s="580"/>
      <c r="FI1" s="580"/>
      <c r="FJ1" s="580"/>
      <c r="FK1" s="580"/>
      <c r="FL1" s="580"/>
      <c r="FM1" s="580"/>
      <c r="FN1" s="580"/>
      <c r="FO1" s="580"/>
      <c r="FP1" s="580"/>
      <c r="FQ1" s="580"/>
      <c r="FR1" s="580"/>
      <c r="FS1" s="580"/>
      <c r="FT1" s="580"/>
      <c r="FU1" s="580"/>
      <c r="FV1" s="580"/>
      <c r="FW1" s="580"/>
      <c r="FX1" s="580"/>
      <c r="FY1" s="580"/>
      <c r="FZ1" s="580"/>
      <c r="GA1" s="580"/>
      <c r="GB1" s="580"/>
      <c r="GC1" s="580"/>
      <c r="GD1" s="580"/>
      <c r="GE1" s="580"/>
      <c r="GF1" s="580"/>
      <c r="GG1" s="580"/>
      <c r="GH1" s="580"/>
      <c r="GI1" s="580"/>
      <c r="GJ1" s="580"/>
      <c r="GK1" s="580"/>
      <c r="GL1" s="580"/>
      <c r="GM1" s="580"/>
      <c r="GN1" s="580"/>
      <c r="GO1" s="580"/>
      <c r="GP1" s="580"/>
      <c r="GQ1" s="580"/>
      <c r="GR1" s="580"/>
      <c r="GS1" s="580"/>
      <c r="GT1" s="580"/>
      <c r="GU1" s="580"/>
      <c r="GV1" s="580"/>
      <c r="GW1" s="1036"/>
      <c r="GX1" s="580"/>
      <c r="GY1" s="580"/>
      <c r="GZ1" s="1036"/>
      <c r="HA1" s="580"/>
      <c r="HB1" s="580"/>
      <c r="HC1" s="1036"/>
      <c r="HD1" s="580"/>
      <c r="HE1" s="580"/>
      <c r="HF1" s="1036"/>
      <c r="HG1" s="580"/>
      <c r="HH1" s="580"/>
      <c r="HI1" s="1036"/>
      <c r="HJ1" s="580"/>
      <c r="HK1" s="580"/>
      <c r="HL1" s="1036"/>
      <c r="HM1" s="580"/>
      <c r="HN1" s="580"/>
      <c r="HO1" s="580"/>
      <c r="HP1" s="580"/>
      <c r="HQ1" s="580"/>
      <c r="HR1" s="580"/>
      <c r="HS1" s="580"/>
      <c r="HT1" s="580"/>
      <c r="HU1" s="580"/>
      <c r="HV1" s="580"/>
      <c r="HW1" s="580"/>
      <c r="HX1" s="580"/>
      <c r="HY1" s="580"/>
      <c r="HZ1" s="580"/>
      <c r="IA1" s="198"/>
      <c r="IB1" s="198"/>
      <c r="IC1" s="198"/>
      <c r="ID1" s="198"/>
      <c r="IE1" s="198"/>
    </row>
    <row r="2" spans="1:260" ht="14.25" customHeight="1">
      <c r="E2" s="233"/>
      <c r="G2" s="233"/>
      <c r="I2" s="233"/>
      <c r="K2" s="233"/>
      <c r="M2" s="233"/>
      <c r="O2" s="233"/>
      <c r="Q2" s="233"/>
      <c r="S2" s="233"/>
      <c r="U2" s="233"/>
      <c r="W2" s="233"/>
      <c r="Y2" s="233"/>
      <c r="AA2" s="233"/>
      <c r="AC2" s="233"/>
      <c r="AE2" s="233"/>
      <c r="AG2" s="233"/>
      <c r="AI2" s="233"/>
      <c r="AK2" s="233"/>
      <c r="AM2" s="233"/>
      <c r="AO2" s="233"/>
      <c r="AQ2" s="233"/>
      <c r="AS2" s="233"/>
      <c r="AU2" s="233"/>
      <c r="AW2" s="233"/>
      <c r="AY2" s="233"/>
      <c r="BA2" s="233"/>
      <c r="BC2" s="233"/>
      <c r="BE2" s="233"/>
      <c r="BF2" s="157"/>
      <c r="BG2" s="234"/>
      <c r="BH2" s="157"/>
      <c r="BI2" s="234"/>
      <c r="BJ2" s="157"/>
      <c r="BK2" s="234"/>
      <c r="BL2" s="157"/>
      <c r="BM2" s="234"/>
      <c r="BN2" s="157"/>
      <c r="BO2" s="234"/>
      <c r="BP2" s="157"/>
      <c r="BQ2" s="234"/>
      <c r="BR2" s="157"/>
      <c r="BS2" s="234"/>
      <c r="BT2" s="157"/>
      <c r="BU2" s="234"/>
      <c r="BV2" s="157"/>
      <c r="BW2" s="234"/>
      <c r="BX2" s="157"/>
      <c r="BY2" s="234"/>
      <c r="BZ2" s="157"/>
      <c r="CA2" s="234"/>
      <c r="CB2" s="157"/>
      <c r="CC2" s="234"/>
      <c r="CD2" s="157"/>
      <c r="CE2" s="234"/>
      <c r="CF2" s="157"/>
      <c r="CG2" s="234"/>
      <c r="CH2" s="157"/>
      <c r="CI2" s="234"/>
      <c r="CJ2" s="234"/>
      <c r="CK2" s="234"/>
      <c r="CL2" s="234"/>
      <c r="CM2" s="234"/>
      <c r="CN2" s="234"/>
      <c r="CO2" s="234"/>
      <c r="CP2" s="234"/>
      <c r="CQ2" s="234"/>
      <c r="CR2" s="234"/>
      <c r="CS2" s="234"/>
      <c r="CT2" s="234"/>
      <c r="CU2" s="234"/>
      <c r="CV2" s="235"/>
      <c r="CW2" s="234"/>
      <c r="CX2" s="234"/>
      <c r="CY2" s="436"/>
      <c r="CZ2" s="234"/>
      <c r="DA2" s="234"/>
      <c r="DB2" s="436"/>
      <c r="DC2" s="234"/>
      <c r="DD2" s="234"/>
      <c r="DE2" s="436"/>
      <c r="DF2" s="425"/>
      <c r="DG2" s="234"/>
      <c r="DH2" s="436"/>
      <c r="DI2" s="425"/>
      <c r="DJ2" s="234"/>
      <c r="DK2" s="436"/>
      <c r="DL2" s="425"/>
      <c r="DM2" s="234"/>
      <c r="DN2" s="436"/>
      <c r="DO2" s="436"/>
      <c r="DP2" s="436"/>
      <c r="DQ2" s="436"/>
      <c r="DR2" s="580"/>
      <c r="DS2" s="436"/>
      <c r="DT2" s="436"/>
      <c r="DU2" s="580"/>
      <c r="DV2" s="436"/>
      <c r="DW2" s="436"/>
      <c r="DX2" s="580"/>
      <c r="DY2" s="580"/>
      <c r="DZ2" s="580"/>
      <c r="EA2" s="580"/>
      <c r="EB2" s="580"/>
      <c r="EC2" s="580"/>
      <c r="ED2" s="580"/>
      <c r="EE2" s="580"/>
      <c r="EF2" s="580"/>
      <c r="EG2" s="580"/>
      <c r="EH2" s="580"/>
      <c r="EI2" s="580"/>
      <c r="EJ2" s="580"/>
      <c r="EK2" s="580"/>
      <c r="EL2" s="580"/>
      <c r="EM2" s="580"/>
      <c r="EN2" s="580"/>
      <c r="EO2" s="580"/>
      <c r="EP2" s="580"/>
      <c r="EQ2" s="580"/>
      <c r="ER2" s="580"/>
      <c r="ES2" s="580"/>
      <c r="ET2" s="580"/>
      <c r="EU2" s="580"/>
      <c r="EV2" s="580"/>
      <c r="EW2" s="580"/>
      <c r="EX2" s="580"/>
      <c r="EY2" s="580"/>
      <c r="EZ2" s="580"/>
      <c r="FA2" s="580"/>
      <c r="FB2" s="580"/>
      <c r="FC2" s="580"/>
      <c r="FD2" s="580"/>
      <c r="FE2" s="580"/>
      <c r="FF2" s="580"/>
      <c r="FG2" s="580"/>
      <c r="FH2" s="580"/>
      <c r="FI2" s="580"/>
      <c r="FJ2" s="580"/>
      <c r="FK2" s="580"/>
      <c r="FL2" s="580"/>
      <c r="FM2" s="580"/>
      <c r="FN2" s="580"/>
      <c r="FO2" s="580"/>
      <c r="FP2" s="580"/>
      <c r="FQ2" s="580"/>
      <c r="FR2" s="580"/>
      <c r="FS2" s="580"/>
      <c r="FT2" s="580"/>
      <c r="FU2" s="580"/>
      <c r="FV2" s="580"/>
      <c r="FW2" s="580"/>
      <c r="FX2" s="580"/>
      <c r="FY2" s="580"/>
      <c r="FZ2" s="580"/>
      <c r="GA2" s="580"/>
      <c r="GB2" s="580"/>
      <c r="GC2" s="580"/>
      <c r="GD2" s="580"/>
      <c r="GE2" s="580"/>
      <c r="GF2" s="580"/>
      <c r="GG2" s="580"/>
      <c r="GH2" s="580"/>
      <c r="GI2" s="580"/>
      <c r="GJ2" s="580"/>
      <c r="GK2" s="580"/>
      <c r="GL2" s="580"/>
      <c r="GM2" s="580"/>
      <c r="GN2" s="580"/>
      <c r="GO2" s="580"/>
      <c r="GP2" s="580"/>
      <c r="GQ2" s="580"/>
      <c r="GR2" s="580"/>
      <c r="GS2" s="580"/>
      <c r="GT2" s="580"/>
      <c r="GU2" s="580"/>
      <c r="GV2" s="580"/>
      <c r="GW2" s="1036"/>
      <c r="GX2" s="580"/>
      <c r="GY2" s="580"/>
      <c r="GZ2" s="1036"/>
      <c r="HA2" s="580"/>
      <c r="HB2" s="580"/>
      <c r="HC2" s="1036"/>
      <c r="HD2" s="580"/>
      <c r="HE2" s="580"/>
      <c r="HF2" s="1036"/>
      <c r="HG2" s="580"/>
      <c r="HH2" s="580"/>
      <c r="HI2" s="1036"/>
      <c r="HJ2" s="580"/>
      <c r="HK2" s="580"/>
      <c r="HL2" s="1036"/>
      <c r="HM2" s="580"/>
      <c r="HN2" s="580"/>
      <c r="HO2" s="580"/>
      <c r="HP2" s="580"/>
      <c r="HQ2" s="580"/>
      <c r="HR2" s="580"/>
      <c r="HS2" s="580"/>
      <c r="HT2" s="580"/>
      <c r="HU2" s="580"/>
      <c r="HV2" s="580"/>
      <c r="HW2" s="580"/>
      <c r="HX2" s="580"/>
      <c r="HY2" s="580"/>
      <c r="HZ2" s="580"/>
      <c r="IA2" s="198"/>
      <c r="IB2" s="198"/>
      <c r="IC2" s="198"/>
      <c r="ID2" s="198"/>
      <c r="IE2" s="198"/>
    </row>
    <row r="3" spans="1:260" ht="14.25" customHeight="1">
      <c r="D3" s="236" t="s">
        <v>23</v>
      </c>
      <c r="E3" s="237" t="s">
        <v>428</v>
      </c>
      <c r="F3" s="236" t="s">
        <v>24</v>
      </c>
      <c r="G3" s="237" t="s">
        <v>428</v>
      </c>
      <c r="H3" s="236" t="s">
        <v>25</v>
      </c>
      <c r="I3" s="237" t="s">
        <v>428</v>
      </c>
      <c r="J3" s="236" t="s">
        <v>26</v>
      </c>
      <c r="K3" s="237" t="s">
        <v>428</v>
      </c>
      <c r="L3" s="236" t="s">
        <v>27</v>
      </c>
      <c r="M3" s="237" t="s">
        <v>428</v>
      </c>
      <c r="N3" s="236" t="s">
        <v>28</v>
      </c>
      <c r="O3" s="237" t="s">
        <v>428</v>
      </c>
      <c r="P3" s="236" t="s">
        <v>29</v>
      </c>
      <c r="Q3" s="237" t="s">
        <v>428</v>
      </c>
      <c r="R3" s="236" t="s">
        <v>30</v>
      </c>
      <c r="S3" s="237" t="s">
        <v>428</v>
      </c>
      <c r="T3" s="236" t="s">
        <v>31</v>
      </c>
      <c r="U3" s="237" t="s">
        <v>428</v>
      </c>
      <c r="V3" s="236" t="s">
        <v>32</v>
      </c>
      <c r="W3" s="237" t="s">
        <v>428</v>
      </c>
      <c r="X3" s="236" t="s">
        <v>34</v>
      </c>
      <c r="Y3" s="237" t="s">
        <v>428</v>
      </c>
      <c r="Z3" s="236" t="s">
        <v>35</v>
      </c>
      <c r="AA3" s="237" t="s">
        <v>428</v>
      </c>
      <c r="AB3" s="238" t="s">
        <v>36</v>
      </c>
      <c r="AC3" s="237" t="s">
        <v>428</v>
      </c>
      <c r="AD3" s="238" t="s">
        <v>37</v>
      </c>
      <c r="AE3" s="237" t="s">
        <v>428</v>
      </c>
      <c r="AF3" s="238" t="s">
        <v>38</v>
      </c>
      <c r="AG3" s="237" t="s">
        <v>428</v>
      </c>
      <c r="AH3" s="238" t="s">
        <v>39</v>
      </c>
      <c r="AI3" s="237" t="s">
        <v>428</v>
      </c>
      <c r="AJ3" s="238" t="s">
        <v>40</v>
      </c>
      <c r="AK3" s="237" t="s">
        <v>428</v>
      </c>
      <c r="AL3" s="238" t="s">
        <v>41</v>
      </c>
      <c r="AM3" s="237" t="s">
        <v>428</v>
      </c>
      <c r="AN3" s="238" t="s">
        <v>42</v>
      </c>
      <c r="AO3" s="237" t="s">
        <v>428</v>
      </c>
      <c r="AP3" s="238" t="s">
        <v>43</v>
      </c>
      <c r="AQ3" s="237" t="s">
        <v>428</v>
      </c>
      <c r="AR3" s="238" t="s">
        <v>44</v>
      </c>
      <c r="AS3" s="237" t="s">
        <v>428</v>
      </c>
      <c r="AT3" s="238" t="s">
        <v>45</v>
      </c>
      <c r="AU3" s="237" t="s">
        <v>428</v>
      </c>
      <c r="AV3" s="238" t="s">
        <v>48</v>
      </c>
      <c r="AW3" s="237" t="s">
        <v>428</v>
      </c>
      <c r="AX3" s="238" t="s">
        <v>49</v>
      </c>
      <c r="AY3" s="237" t="s">
        <v>428</v>
      </c>
      <c r="AZ3" s="238" t="s">
        <v>50</v>
      </c>
      <c r="BA3" s="237" t="s">
        <v>428</v>
      </c>
      <c r="BB3" s="238" t="s">
        <v>429</v>
      </c>
      <c r="BC3" s="237" t="s">
        <v>428</v>
      </c>
      <c r="BD3" s="238" t="s">
        <v>430</v>
      </c>
      <c r="BE3" s="237" t="s">
        <v>428</v>
      </c>
      <c r="BF3" s="238" t="s">
        <v>53</v>
      </c>
      <c r="BG3" s="237" t="s">
        <v>428</v>
      </c>
      <c r="BH3" s="238" t="s">
        <v>54</v>
      </c>
      <c r="BI3" s="237" t="s">
        <v>428</v>
      </c>
      <c r="BJ3" s="238" t="s">
        <v>55</v>
      </c>
      <c r="BK3" s="237" t="s">
        <v>428</v>
      </c>
      <c r="BL3" s="238" t="s">
        <v>56</v>
      </c>
      <c r="BM3" s="237" t="s">
        <v>428</v>
      </c>
      <c r="BN3" s="238" t="s">
        <v>57</v>
      </c>
      <c r="BO3" s="237" t="s">
        <v>428</v>
      </c>
      <c r="BP3" s="238" t="s">
        <v>58</v>
      </c>
      <c r="BQ3" s="237" t="s">
        <v>428</v>
      </c>
      <c r="BR3" s="238" t="s">
        <v>59</v>
      </c>
      <c r="BS3" s="237" t="s">
        <v>428</v>
      </c>
      <c r="BT3" s="238" t="s">
        <v>61</v>
      </c>
      <c r="BU3" s="237" t="s">
        <v>428</v>
      </c>
      <c r="BV3" s="238" t="s">
        <v>62</v>
      </c>
      <c r="BW3" s="237" t="s">
        <v>428</v>
      </c>
      <c r="BX3" s="238" t="s">
        <v>63</v>
      </c>
      <c r="BY3" s="237" t="s">
        <v>428</v>
      </c>
      <c r="BZ3" s="238" t="s">
        <v>64</v>
      </c>
      <c r="CA3" s="237" t="s">
        <v>428</v>
      </c>
      <c r="CB3" s="238" t="s">
        <v>65</v>
      </c>
      <c r="CC3" s="237" t="s">
        <v>428</v>
      </c>
      <c r="CD3" s="238" t="s">
        <v>66</v>
      </c>
      <c r="CE3" s="237" t="s">
        <v>428</v>
      </c>
      <c r="CF3" s="238" t="s">
        <v>67</v>
      </c>
      <c r="CG3" s="237" t="s">
        <v>428</v>
      </c>
      <c r="CH3" s="238" t="s">
        <v>68</v>
      </c>
      <c r="CI3" s="237" t="s">
        <v>428</v>
      </c>
      <c r="CJ3" s="237"/>
      <c r="CK3" s="238" t="s">
        <v>477</v>
      </c>
      <c r="CL3" s="237" t="s">
        <v>428</v>
      </c>
      <c r="CM3" s="237"/>
      <c r="CN3" s="238" t="s">
        <v>69</v>
      </c>
      <c r="CO3" s="237" t="s">
        <v>428</v>
      </c>
      <c r="CP3" s="237"/>
      <c r="CQ3" s="238" t="s">
        <v>70</v>
      </c>
      <c r="CR3" s="237" t="s">
        <v>428</v>
      </c>
      <c r="CS3" s="237"/>
      <c r="CT3" s="238" t="s">
        <v>478</v>
      </c>
      <c r="CU3" s="237" t="s">
        <v>428</v>
      </c>
      <c r="CV3" s="235"/>
      <c r="CW3" s="238" t="s">
        <v>572</v>
      </c>
      <c r="CX3" s="237" t="s">
        <v>428</v>
      </c>
      <c r="CY3" s="437"/>
      <c r="CZ3" s="238" t="s">
        <v>580</v>
      </c>
      <c r="DA3" s="237" t="s">
        <v>428</v>
      </c>
      <c r="DB3" s="437"/>
      <c r="DC3" s="238" t="s">
        <v>584</v>
      </c>
      <c r="DD3" s="237" t="s">
        <v>428</v>
      </c>
      <c r="DE3" s="437"/>
      <c r="DF3" s="499" t="s">
        <v>586</v>
      </c>
      <c r="DG3" s="237" t="s">
        <v>428</v>
      </c>
      <c r="DH3" s="437"/>
      <c r="DI3" s="499" t="s">
        <v>587</v>
      </c>
      <c r="DJ3" s="237" t="s">
        <v>428</v>
      </c>
      <c r="DK3" s="437"/>
      <c r="DL3" s="499" t="s">
        <v>590</v>
      </c>
      <c r="DM3" s="237" t="s">
        <v>428</v>
      </c>
      <c r="DN3" s="437"/>
      <c r="DO3" s="499" t="s">
        <v>594</v>
      </c>
      <c r="DP3" s="237" t="s">
        <v>428</v>
      </c>
      <c r="DQ3" s="437"/>
      <c r="DR3" s="499" t="s">
        <v>595</v>
      </c>
      <c r="DS3" s="237" t="s">
        <v>428</v>
      </c>
      <c r="DT3" s="437"/>
      <c r="DU3" s="499" t="s">
        <v>598</v>
      </c>
      <c r="DV3" s="237" t="s">
        <v>428</v>
      </c>
      <c r="DW3" s="437"/>
      <c r="DX3" s="602" t="s">
        <v>603</v>
      </c>
      <c r="DY3" s="603" t="s">
        <v>428</v>
      </c>
      <c r="DZ3" s="603"/>
      <c r="EA3" s="602" t="s">
        <v>609</v>
      </c>
      <c r="EB3" s="603" t="s">
        <v>428</v>
      </c>
      <c r="EC3" s="603"/>
      <c r="ED3" s="602">
        <v>44980</v>
      </c>
      <c r="EE3" s="603" t="s">
        <v>428</v>
      </c>
      <c r="EF3" s="603"/>
      <c r="EG3" s="238" t="s">
        <v>646</v>
      </c>
      <c r="EH3" s="237" t="s">
        <v>428</v>
      </c>
      <c r="EI3" s="437"/>
      <c r="EJ3" s="238" t="s">
        <v>647</v>
      </c>
      <c r="EK3" s="237" t="s">
        <v>428</v>
      </c>
      <c r="EL3" s="437"/>
      <c r="EM3" s="238" t="s">
        <v>648</v>
      </c>
      <c r="EN3" s="237" t="s">
        <v>428</v>
      </c>
      <c r="EO3" s="437"/>
      <c r="EP3" s="499" t="s">
        <v>649</v>
      </c>
      <c r="EQ3" s="237" t="s">
        <v>428</v>
      </c>
      <c r="ER3" s="437"/>
      <c r="ES3" s="499" t="s">
        <v>650</v>
      </c>
      <c r="ET3" s="237" t="s">
        <v>428</v>
      </c>
      <c r="EU3" s="437"/>
      <c r="EV3" s="499" t="s">
        <v>651</v>
      </c>
      <c r="EW3" s="237" t="s">
        <v>428</v>
      </c>
      <c r="EX3" s="437"/>
      <c r="EY3" s="499" t="s">
        <v>652</v>
      </c>
      <c r="EZ3" s="237" t="s">
        <v>428</v>
      </c>
      <c r="FA3" s="437"/>
      <c r="FB3" s="499" t="s">
        <v>653</v>
      </c>
      <c r="FC3" s="237" t="s">
        <v>428</v>
      </c>
      <c r="FD3" s="437"/>
      <c r="FE3" s="499" t="s">
        <v>654</v>
      </c>
      <c r="FF3" s="237" t="s">
        <v>428</v>
      </c>
      <c r="FG3" s="437"/>
      <c r="FH3" s="602" t="s">
        <v>655</v>
      </c>
      <c r="FI3" s="603" t="s">
        <v>428</v>
      </c>
      <c r="FJ3" s="603"/>
      <c r="FK3" s="602" t="s">
        <v>656</v>
      </c>
      <c r="FL3" s="603" t="s">
        <v>428</v>
      </c>
      <c r="FM3" s="603"/>
      <c r="FN3" s="602" t="s">
        <v>657</v>
      </c>
      <c r="FO3" s="603" t="s">
        <v>428</v>
      </c>
      <c r="FP3" s="603"/>
      <c r="FQ3" s="602" t="s">
        <v>752</v>
      </c>
      <c r="FR3" s="603" t="s">
        <v>428</v>
      </c>
      <c r="FS3" s="603"/>
      <c r="FT3" s="602" t="s">
        <v>751</v>
      </c>
      <c r="FU3" s="603" t="s">
        <v>428</v>
      </c>
      <c r="FV3" s="603"/>
      <c r="FW3" s="602" t="s">
        <v>762</v>
      </c>
      <c r="FX3" s="603" t="s">
        <v>428</v>
      </c>
      <c r="FY3" s="603"/>
      <c r="FZ3" s="602" t="s">
        <v>770</v>
      </c>
      <c r="GA3" s="603" t="s">
        <v>428</v>
      </c>
      <c r="GB3" s="603"/>
      <c r="GC3" s="602" t="s">
        <v>800</v>
      </c>
      <c r="GD3" s="603" t="s">
        <v>428</v>
      </c>
      <c r="GE3" s="602" t="s">
        <v>802</v>
      </c>
      <c r="GF3" s="603" t="s">
        <v>428</v>
      </c>
      <c r="GG3" s="602" t="s">
        <v>804</v>
      </c>
      <c r="GH3" s="603" t="s">
        <v>428</v>
      </c>
      <c r="GI3" s="602" t="s">
        <v>806</v>
      </c>
      <c r="GJ3" s="603" t="s">
        <v>428</v>
      </c>
      <c r="GK3" s="602" t="s">
        <v>811</v>
      </c>
      <c r="GL3" s="603" t="s">
        <v>428</v>
      </c>
      <c r="GM3" s="602" t="s">
        <v>814</v>
      </c>
      <c r="GN3" s="603" t="s">
        <v>428</v>
      </c>
      <c r="GO3" s="602" t="s">
        <v>819</v>
      </c>
      <c r="GP3" s="603"/>
      <c r="GQ3" s="602" t="s">
        <v>820</v>
      </c>
      <c r="GR3" s="603"/>
      <c r="GS3" s="603"/>
      <c r="GT3" s="602" t="s">
        <v>838</v>
      </c>
      <c r="GU3" s="603"/>
      <c r="GV3" s="603"/>
      <c r="GW3" s="1037" t="s">
        <v>839</v>
      </c>
      <c r="GX3" s="603"/>
      <c r="GY3" s="603"/>
      <c r="GZ3" s="1037" t="s">
        <v>845</v>
      </c>
      <c r="HA3" s="603"/>
      <c r="HB3" s="603"/>
      <c r="HC3" s="1037" t="s">
        <v>848</v>
      </c>
      <c r="HD3" s="603"/>
      <c r="HE3" s="603"/>
      <c r="HF3" s="1037" t="s">
        <v>849</v>
      </c>
      <c r="HG3" s="603"/>
      <c r="HH3" s="603"/>
      <c r="HI3" s="1037" t="s">
        <v>850</v>
      </c>
      <c r="HJ3" s="603"/>
      <c r="HK3" s="603"/>
      <c r="HL3" s="1037" t="s">
        <v>856</v>
      </c>
      <c r="HM3" s="603"/>
      <c r="HN3" s="603"/>
      <c r="HO3" s="602" t="s">
        <v>866</v>
      </c>
      <c r="HP3" s="603"/>
      <c r="HQ3" s="603"/>
      <c r="HR3" s="602" t="s">
        <v>880</v>
      </c>
      <c r="HS3" s="603"/>
      <c r="HT3" s="603"/>
      <c r="HU3" s="602" t="s">
        <v>881</v>
      </c>
      <c r="HV3" s="603"/>
      <c r="HW3" s="603"/>
      <c r="HX3" s="603"/>
      <c r="HY3" s="603"/>
      <c r="HZ3" s="603"/>
      <c r="IA3" s="602">
        <v>44980</v>
      </c>
      <c r="IB3" s="603" t="s">
        <v>428</v>
      </c>
      <c r="IC3" s="239" t="s">
        <v>431</v>
      </c>
      <c r="ID3" s="239" t="s">
        <v>432</v>
      </c>
      <c r="IE3" s="239" t="s">
        <v>433</v>
      </c>
      <c r="IF3" s="239" t="s">
        <v>434</v>
      </c>
      <c r="IG3" s="222" t="s">
        <v>435</v>
      </c>
      <c r="IH3" s="222" t="s">
        <v>436</v>
      </c>
      <c r="II3" s="222" t="s">
        <v>437</v>
      </c>
      <c r="IJ3" s="222" t="s">
        <v>438</v>
      </c>
      <c r="IK3" s="222"/>
      <c r="IL3" s="222" t="s">
        <v>439</v>
      </c>
      <c r="IM3" s="222" t="s">
        <v>440</v>
      </c>
      <c r="IN3" s="222" t="s">
        <v>441</v>
      </c>
      <c r="IO3" s="222" t="s">
        <v>579</v>
      </c>
      <c r="IP3" s="222" t="s">
        <v>585</v>
      </c>
      <c r="IQ3" s="222" t="s">
        <v>574</v>
      </c>
      <c r="IR3" s="222" t="s">
        <v>575</v>
      </c>
      <c r="IS3" s="222" t="s">
        <v>573</v>
      </c>
      <c r="IW3" s="222" t="s">
        <v>713</v>
      </c>
      <c r="IX3" s="222" t="s">
        <v>714</v>
      </c>
      <c r="IY3" s="222" t="s">
        <v>715</v>
      </c>
      <c r="IZ3" s="222" t="s">
        <v>712</v>
      </c>
    </row>
    <row r="4" spans="1:260" ht="14.25" customHeight="1">
      <c r="A4" s="1011" t="s">
        <v>442</v>
      </c>
      <c r="B4" s="230"/>
      <c r="C4" s="230"/>
      <c r="E4" s="234"/>
      <c r="G4" s="233"/>
      <c r="H4" s="240"/>
      <c r="I4" s="233"/>
      <c r="J4" s="240"/>
      <c r="K4" s="233"/>
      <c r="L4" s="240"/>
      <c r="M4" s="233"/>
      <c r="N4" s="240"/>
      <c r="O4" s="233"/>
      <c r="P4" s="240"/>
      <c r="Q4" s="233"/>
      <c r="R4" s="240"/>
      <c r="S4" s="233"/>
      <c r="T4" s="240"/>
      <c r="U4" s="233"/>
      <c r="V4" s="240"/>
      <c r="W4" s="233"/>
      <c r="X4" s="240"/>
      <c r="Y4" s="233"/>
      <c r="Z4" s="240"/>
      <c r="AA4" s="233"/>
      <c r="AB4" s="240"/>
      <c r="AC4" s="233"/>
      <c r="AD4" s="240"/>
      <c r="AE4" s="233"/>
      <c r="AF4" s="240"/>
      <c r="AG4" s="233"/>
      <c r="AH4" s="240"/>
      <c r="AI4" s="233"/>
      <c r="AJ4" s="240"/>
      <c r="AK4" s="233"/>
      <c r="AL4" s="240"/>
      <c r="AM4" s="233"/>
      <c r="AN4" s="240"/>
      <c r="AO4" s="233"/>
      <c r="AP4" s="240"/>
      <c r="AQ4" s="233"/>
      <c r="AR4" s="240"/>
      <c r="AS4" s="233"/>
      <c r="AT4" s="240"/>
      <c r="AU4" s="233"/>
      <c r="AV4" s="240"/>
      <c r="AW4" s="233"/>
      <c r="AX4" s="240"/>
      <c r="AY4" s="233"/>
      <c r="AZ4" s="240"/>
      <c r="BA4" s="233"/>
      <c r="BB4" s="240"/>
      <c r="BC4" s="233"/>
      <c r="BD4" s="240"/>
      <c r="BE4" s="233"/>
      <c r="BF4" s="240"/>
      <c r="BG4" s="234"/>
      <c r="BH4" s="240"/>
      <c r="BI4" s="234"/>
      <c r="BJ4" s="240"/>
      <c r="BK4" s="234"/>
      <c r="BL4" s="240"/>
      <c r="BM4" s="234"/>
      <c r="BN4" s="240"/>
      <c r="BO4" s="234"/>
      <c r="BP4" s="240"/>
      <c r="BQ4" s="234"/>
      <c r="BR4" s="240"/>
      <c r="BS4" s="234"/>
      <c r="BT4" s="240"/>
      <c r="BU4" s="234"/>
      <c r="BV4" s="240"/>
      <c r="BW4" s="234"/>
      <c r="BX4" s="240"/>
      <c r="BY4" s="234"/>
      <c r="BZ4" s="240"/>
      <c r="CA4" s="234"/>
      <c r="CB4" s="240"/>
      <c r="CC4" s="234"/>
      <c r="CD4" s="240"/>
      <c r="CE4" s="234"/>
      <c r="CF4" s="240"/>
      <c r="CG4" s="234"/>
      <c r="CH4" s="240"/>
      <c r="CI4" s="234"/>
      <c r="CJ4" s="234"/>
      <c r="CK4" s="240"/>
      <c r="CL4" s="234"/>
      <c r="CM4" s="234"/>
      <c r="CN4" s="240"/>
      <c r="CO4" s="234"/>
      <c r="CP4" s="234"/>
      <c r="CQ4" s="240"/>
      <c r="CR4" s="234"/>
      <c r="CS4" s="234"/>
      <c r="CT4" s="240"/>
      <c r="CU4" s="234"/>
      <c r="CV4" s="235"/>
      <c r="CW4" s="240"/>
      <c r="CX4" s="234"/>
      <c r="CY4" s="436"/>
      <c r="CZ4" s="240"/>
      <c r="DA4" s="234"/>
      <c r="DB4" s="436"/>
      <c r="DC4" s="240"/>
      <c r="DD4" s="234"/>
      <c r="DE4" s="436"/>
      <c r="DF4" s="500"/>
      <c r="DG4" s="234"/>
      <c r="DH4" s="436"/>
      <c r="DI4" s="500"/>
      <c r="DJ4" s="234"/>
      <c r="DK4" s="436"/>
      <c r="DL4" s="500"/>
      <c r="DM4" s="234"/>
      <c r="DN4" s="436"/>
      <c r="DO4" s="500"/>
      <c r="DP4" s="234"/>
      <c r="DQ4" s="436"/>
      <c r="DR4" s="500"/>
      <c r="DS4" s="234"/>
      <c r="DT4" s="436"/>
      <c r="DU4" s="500"/>
      <c r="DV4" s="234"/>
      <c r="DW4" s="436"/>
      <c r="DX4" s="604"/>
      <c r="DY4" s="580"/>
      <c r="DZ4" s="580"/>
      <c r="EA4" s="604"/>
      <c r="EB4" s="580"/>
      <c r="EC4" s="580"/>
      <c r="ED4" s="604"/>
      <c r="EE4" s="580"/>
      <c r="EF4" s="580"/>
      <c r="EG4" s="240"/>
      <c r="EH4" s="234"/>
      <c r="EI4" s="436"/>
      <c r="EJ4" s="240"/>
      <c r="EK4" s="234"/>
      <c r="EL4" s="436"/>
      <c r="EM4" s="240"/>
      <c r="EN4" s="234"/>
      <c r="EO4" s="436"/>
      <c r="EP4" s="500"/>
      <c r="EQ4" s="234"/>
      <c r="ER4" s="436"/>
      <c r="ES4" s="500"/>
      <c r="ET4" s="234"/>
      <c r="EU4" s="436"/>
      <c r="EV4" s="500"/>
      <c r="EW4" s="234"/>
      <c r="EX4" s="436"/>
      <c r="EY4" s="500"/>
      <c r="EZ4" s="234"/>
      <c r="FA4" s="436"/>
      <c r="FB4" s="500"/>
      <c r="FC4" s="234"/>
      <c r="FD4" s="436"/>
      <c r="FE4" s="500"/>
      <c r="FF4" s="234"/>
      <c r="FG4" s="436"/>
      <c r="FH4" s="604"/>
      <c r="FI4" s="580"/>
      <c r="FJ4" s="580"/>
      <c r="FK4" s="604"/>
      <c r="FL4" s="580"/>
      <c r="FM4" s="580"/>
      <c r="FN4" s="604"/>
      <c r="FO4" s="580"/>
      <c r="FP4" s="580"/>
      <c r="FQ4" s="604"/>
      <c r="FR4" s="580"/>
      <c r="FS4" s="580"/>
      <c r="FT4" s="604"/>
      <c r="FU4" s="580"/>
      <c r="FV4" s="580"/>
      <c r="FW4" s="604"/>
      <c r="FX4" s="580"/>
      <c r="FY4" s="580"/>
      <c r="FZ4" s="604"/>
      <c r="GA4" s="580"/>
      <c r="GB4" s="580"/>
      <c r="GC4" s="604"/>
      <c r="GD4" s="580"/>
      <c r="GE4" s="604"/>
      <c r="GF4" s="580"/>
      <c r="GG4" s="604"/>
      <c r="GH4" s="580"/>
      <c r="GI4" s="604"/>
      <c r="GJ4" s="580"/>
      <c r="GK4" s="604"/>
      <c r="GL4" s="580"/>
      <c r="GM4" s="604"/>
      <c r="GN4" s="580"/>
      <c r="GO4" s="604"/>
      <c r="GP4" s="580"/>
      <c r="GQ4" s="604"/>
      <c r="GR4" s="580"/>
      <c r="GS4" s="580"/>
      <c r="GT4" s="604"/>
      <c r="GU4" s="580"/>
      <c r="GV4" s="580"/>
      <c r="GW4" s="1020"/>
      <c r="GX4" s="580"/>
      <c r="GY4" s="580"/>
      <c r="GZ4" s="1020"/>
      <c r="HA4" s="580"/>
      <c r="HB4" s="580"/>
      <c r="HC4" s="1020"/>
      <c r="HD4" s="580"/>
      <c r="HE4" s="580"/>
      <c r="HF4" s="1020"/>
      <c r="HG4" s="580"/>
      <c r="HH4" s="580"/>
      <c r="HI4" s="1020"/>
      <c r="HJ4" s="580"/>
      <c r="HK4" s="580"/>
      <c r="HL4" s="1020"/>
      <c r="HM4" s="580"/>
      <c r="HN4" s="580"/>
      <c r="HO4" s="604"/>
      <c r="HP4" s="580"/>
      <c r="HQ4" s="580"/>
      <c r="HR4" s="604"/>
      <c r="HS4" s="580"/>
      <c r="HT4" s="580"/>
      <c r="HU4" s="604"/>
      <c r="HV4" s="580"/>
      <c r="HW4" s="580"/>
      <c r="HX4" s="580"/>
      <c r="HY4" s="580"/>
      <c r="HZ4" s="580"/>
      <c r="IA4" s="604"/>
      <c r="IB4" s="580"/>
      <c r="IC4" s="241"/>
      <c r="ID4" s="241"/>
      <c r="IE4" s="241"/>
    </row>
    <row r="5" spans="1:260" ht="14.25" hidden="1" customHeight="1">
      <c r="A5" s="1011"/>
      <c r="B5" s="212" t="s">
        <v>443</v>
      </c>
      <c r="C5" s="230"/>
      <c r="E5" s="234"/>
      <c r="G5" s="233"/>
      <c r="H5" s="240"/>
      <c r="I5" s="233"/>
      <c r="J5" s="240"/>
      <c r="K5" s="233"/>
      <c r="L5" s="240"/>
      <c r="M5" s="233"/>
      <c r="N5" s="240"/>
      <c r="O5" s="233"/>
      <c r="P5" s="240"/>
      <c r="Q5" s="233"/>
      <c r="R5" s="240"/>
      <c r="S5" s="233"/>
      <c r="T5" s="240"/>
      <c r="U5" s="233"/>
      <c r="V5" s="240"/>
      <c r="W5" s="233"/>
      <c r="X5" s="240"/>
      <c r="Y5" s="233"/>
      <c r="Z5" s="240"/>
      <c r="AA5" s="233"/>
      <c r="AB5" s="240"/>
      <c r="AC5" s="233"/>
      <c r="AD5" s="240"/>
      <c r="AE5" s="233"/>
      <c r="AF5" s="240"/>
      <c r="AG5" s="233"/>
      <c r="AH5" s="240"/>
      <c r="AI5" s="233"/>
      <c r="AJ5" s="240"/>
      <c r="AK5" s="233"/>
      <c r="AL5" s="240"/>
      <c r="AM5" s="233"/>
      <c r="AN5" s="240"/>
      <c r="AO5" s="233"/>
      <c r="AP5" s="240"/>
      <c r="AQ5" s="233"/>
      <c r="AR5" s="240"/>
      <c r="AS5" s="233"/>
      <c r="AT5" s="240"/>
      <c r="AU5" s="233"/>
      <c r="AV5" s="240"/>
      <c r="AW5" s="233"/>
      <c r="AX5" s="240"/>
      <c r="AY5" s="233"/>
      <c r="AZ5" s="240"/>
      <c r="BA5" s="233"/>
      <c r="BB5" s="240"/>
      <c r="BC5" s="233"/>
      <c r="BD5" s="240"/>
      <c r="BE5" s="233"/>
      <c r="BF5" s="240"/>
      <c r="BG5" s="234"/>
      <c r="BH5" s="240"/>
      <c r="BI5" s="234"/>
      <c r="BJ5" s="240"/>
      <c r="BK5" s="234"/>
      <c r="BL5" s="240"/>
      <c r="BM5" s="234"/>
      <c r="BN5" s="240"/>
      <c r="BO5" s="234"/>
      <c r="BP5" s="240"/>
      <c r="BQ5" s="234"/>
      <c r="BR5" s="240"/>
      <c r="BS5" s="234"/>
      <c r="BT5" s="240"/>
      <c r="BU5" s="234"/>
      <c r="BV5" s="240"/>
      <c r="BW5" s="234"/>
      <c r="BX5" s="240"/>
      <c r="BY5" s="234"/>
      <c r="BZ5" s="240"/>
      <c r="CA5" s="234"/>
      <c r="CB5" s="240"/>
      <c r="CC5" s="234"/>
      <c r="CD5" s="240"/>
      <c r="CE5" s="234"/>
      <c r="CF5" s="240"/>
      <c r="CG5" s="234"/>
      <c r="CH5" s="240"/>
      <c r="CI5" s="234"/>
      <c r="CJ5" s="234"/>
      <c r="CK5" s="240"/>
      <c r="CL5" s="234"/>
      <c r="CM5" s="234"/>
      <c r="CN5" s="240"/>
      <c r="CO5" s="234"/>
      <c r="CP5" s="234"/>
      <c r="CQ5" s="240"/>
      <c r="CR5" s="234"/>
      <c r="CS5" s="234"/>
      <c r="CT5" s="240"/>
      <c r="CU5" s="234"/>
      <c r="CV5" s="235"/>
      <c r="CW5" s="240"/>
      <c r="CX5" s="234"/>
      <c r="CY5" s="436"/>
      <c r="CZ5" s="240"/>
      <c r="DA5" s="234"/>
      <c r="DB5" s="436"/>
      <c r="DC5" s="240"/>
      <c r="DD5" s="234"/>
      <c r="DE5" s="436"/>
      <c r="DF5" s="500"/>
      <c r="DG5" s="234"/>
      <c r="DH5" s="436"/>
      <c r="DI5" s="500"/>
      <c r="DJ5" s="234"/>
      <c r="DK5" s="436"/>
      <c r="DL5" s="500"/>
      <c r="DM5" s="234"/>
      <c r="DN5" s="436"/>
      <c r="DO5" s="500"/>
      <c r="DP5" s="234"/>
      <c r="DQ5" s="436"/>
      <c r="DR5" s="500"/>
      <c r="DS5" s="234"/>
      <c r="DT5" s="436"/>
      <c r="DU5" s="500"/>
      <c r="DV5" s="234"/>
      <c r="DW5" s="436"/>
      <c r="DX5" s="604"/>
      <c r="DY5" s="580"/>
      <c r="DZ5" s="580"/>
      <c r="EA5" s="604"/>
      <c r="EB5" s="580"/>
      <c r="EC5" s="580"/>
      <c r="ED5" s="604"/>
      <c r="EE5" s="580"/>
      <c r="EF5" s="580"/>
      <c r="EG5" s="240"/>
      <c r="EH5" s="234"/>
      <c r="EI5" s="436"/>
      <c r="EJ5" s="240"/>
      <c r="EK5" s="234"/>
      <c r="EL5" s="436"/>
      <c r="EM5" s="240"/>
      <c r="EN5" s="234"/>
      <c r="EO5" s="436"/>
      <c r="EP5" s="500"/>
      <c r="EQ5" s="234"/>
      <c r="ER5" s="436"/>
      <c r="ES5" s="500"/>
      <c r="ET5" s="234"/>
      <c r="EU5" s="436"/>
      <c r="EV5" s="500"/>
      <c r="EW5" s="234"/>
      <c r="EX5" s="436"/>
      <c r="EY5" s="500"/>
      <c r="EZ5" s="234"/>
      <c r="FA5" s="436"/>
      <c r="FB5" s="500"/>
      <c r="FC5" s="234"/>
      <c r="FD5" s="436"/>
      <c r="FE5" s="500"/>
      <c r="FF5" s="234"/>
      <c r="FG5" s="436"/>
      <c r="FH5" s="604"/>
      <c r="FI5" s="580"/>
      <c r="FJ5" s="580"/>
      <c r="FK5" s="604"/>
      <c r="FL5" s="580"/>
      <c r="FM5" s="580"/>
      <c r="FN5" s="604"/>
      <c r="FO5" s="580"/>
      <c r="FP5" s="580"/>
      <c r="FQ5" s="604"/>
      <c r="FR5" s="580"/>
      <c r="FS5" s="580"/>
      <c r="FT5" s="604"/>
      <c r="FU5" s="580"/>
      <c r="FV5" s="580"/>
      <c r="FW5" s="604"/>
      <c r="FX5" s="580"/>
      <c r="FY5" s="580"/>
      <c r="FZ5" s="604"/>
      <c r="GA5" s="580"/>
      <c r="GB5" s="580"/>
      <c r="GC5" s="604"/>
      <c r="GD5" s="580"/>
      <c r="GE5" s="604"/>
      <c r="GF5" s="580"/>
      <c r="GG5" s="604"/>
      <c r="GH5" s="580"/>
      <c r="GI5" s="604"/>
      <c r="GJ5" s="580"/>
      <c r="GK5" s="604"/>
      <c r="GL5" s="580"/>
      <c r="GM5" s="604"/>
      <c r="GN5" s="580"/>
      <c r="GO5" s="604"/>
      <c r="GP5" s="580"/>
      <c r="GQ5" s="604"/>
      <c r="GR5" s="580"/>
      <c r="GS5" s="580"/>
      <c r="GT5" s="604"/>
      <c r="GU5" s="580"/>
      <c r="GV5" s="580"/>
      <c r="GW5" s="1020"/>
      <c r="GX5" s="580"/>
      <c r="GY5" s="580"/>
      <c r="GZ5" s="1020"/>
      <c r="HA5" s="580"/>
      <c r="HB5" s="580"/>
      <c r="HC5" s="1020"/>
      <c r="HD5" s="580"/>
      <c r="HE5" s="580"/>
      <c r="HF5" s="1020"/>
      <c r="HG5" s="580"/>
      <c r="HH5" s="580"/>
      <c r="HI5" s="1020"/>
      <c r="HJ5" s="580"/>
      <c r="HK5" s="580"/>
      <c r="HL5" s="1020"/>
      <c r="HM5" s="580"/>
      <c r="HN5" s="580"/>
      <c r="HO5" s="604"/>
      <c r="HP5" s="580"/>
      <c r="HQ5" s="580"/>
      <c r="HR5" s="604"/>
      <c r="HS5" s="580"/>
      <c r="HT5" s="580"/>
      <c r="HU5" s="604"/>
      <c r="HV5" s="580"/>
      <c r="HW5" s="580"/>
      <c r="HX5" s="580"/>
      <c r="HY5" s="580"/>
      <c r="HZ5" s="580"/>
      <c r="IA5" s="604"/>
      <c r="IB5" s="580"/>
      <c r="IC5" s="241"/>
      <c r="ID5" s="241"/>
      <c r="IE5" s="241"/>
    </row>
    <row r="6" spans="1:260" ht="14.25" hidden="1" customHeight="1">
      <c r="A6" s="1011"/>
      <c r="B6" s="242" t="s">
        <v>444</v>
      </c>
      <c r="C6" s="230"/>
      <c r="E6" s="234"/>
      <c r="G6" s="233"/>
      <c r="H6" s="240"/>
      <c r="I6" s="233"/>
      <c r="J6" s="240"/>
      <c r="K6" s="233"/>
      <c r="L6" s="240"/>
      <c r="M6" s="233"/>
      <c r="N6" s="240"/>
      <c r="O6" s="233"/>
      <c r="P6" s="240"/>
      <c r="Q6" s="233"/>
      <c r="R6" s="240"/>
      <c r="S6" s="233"/>
      <c r="T6" s="240"/>
      <c r="U6" s="233"/>
      <c r="V6" s="240"/>
      <c r="W6" s="233"/>
      <c r="X6" s="240"/>
      <c r="Y6" s="233"/>
      <c r="Z6" s="240"/>
      <c r="AA6" s="233"/>
      <c r="AB6" s="240"/>
      <c r="AC6" s="233"/>
      <c r="AD6" s="240"/>
      <c r="AE6" s="233"/>
      <c r="AF6" s="240"/>
      <c r="AG6" s="233"/>
      <c r="AH6" s="240"/>
      <c r="AI6" s="233"/>
      <c r="AJ6" s="240"/>
      <c r="AK6" s="233"/>
      <c r="AL6" s="240"/>
      <c r="AM6" s="233"/>
      <c r="AN6" s="240"/>
      <c r="AO6" s="233"/>
      <c r="AP6" s="240"/>
      <c r="AQ6" s="233"/>
      <c r="AR6" s="240"/>
      <c r="AS6" s="233"/>
      <c r="AT6" s="240"/>
      <c r="AU6" s="233"/>
      <c r="AV6" s="240"/>
      <c r="AW6" s="233"/>
      <c r="AX6" s="240"/>
      <c r="AY6" s="233"/>
      <c r="AZ6" s="240"/>
      <c r="BA6" s="233"/>
      <c r="BB6" s="240"/>
      <c r="BC6" s="233"/>
      <c r="BD6" s="240"/>
      <c r="BE6" s="233"/>
      <c r="BF6" s="240"/>
      <c r="BG6" s="234"/>
      <c r="BH6" s="240"/>
      <c r="BI6" s="234"/>
      <c r="BJ6" s="240"/>
      <c r="BK6" s="234"/>
      <c r="BL6" s="240"/>
      <c r="BM6" s="234"/>
      <c r="BN6" s="240"/>
      <c r="BO6" s="234"/>
      <c r="BP6" s="240"/>
      <c r="BQ6" s="234"/>
      <c r="BR6" s="240"/>
      <c r="BS6" s="234"/>
      <c r="BT6" s="240"/>
      <c r="BU6" s="234"/>
      <c r="BV6" s="240"/>
      <c r="BW6" s="234"/>
      <c r="BX6" s="240"/>
      <c r="BY6" s="234"/>
      <c r="BZ6" s="240"/>
      <c r="CA6" s="234"/>
      <c r="CB6" s="240"/>
      <c r="CC6" s="234"/>
      <c r="CD6" s="240"/>
      <c r="CE6" s="234"/>
      <c r="CF6" s="240"/>
      <c r="CG6" s="234"/>
      <c r="CH6" s="240"/>
      <c r="CI6" s="234"/>
      <c r="CJ6" s="234"/>
      <c r="CK6" s="240"/>
      <c r="CL6" s="234"/>
      <c r="CM6" s="234"/>
      <c r="CN6" s="240"/>
      <c r="CO6" s="234"/>
      <c r="CP6" s="234"/>
      <c r="CQ6" s="240"/>
      <c r="CR6" s="234"/>
      <c r="CS6" s="234"/>
      <c r="CT6" s="240"/>
      <c r="CU6" s="234"/>
      <c r="CV6" s="235"/>
      <c r="CW6" s="240"/>
      <c r="CX6" s="234"/>
      <c r="CY6" s="436"/>
      <c r="CZ6" s="240"/>
      <c r="DA6" s="234"/>
      <c r="DB6" s="436"/>
      <c r="DC6" s="240"/>
      <c r="DD6" s="234"/>
      <c r="DE6" s="436"/>
      <c r="DF6" s="500"/>
      <c r="DG6" s="234"/>
      <c r="DH6" s="436"/>
      <c r="DI6" s="500"/>
      <c r="DJ6" s="234"/>
      <c r="DK6" s="436"/>
      <c r="DL6" s="500"/>
      <c r="DM6" s="234"/>
      <c r="DN6" s="436"/>
      <c r="DO6" s="500"/>
      <c r="DP6" s="234"/>
      <c r="DQ6" s="436"/>
      <c r="DR6" s="500"/>
      <c r="DS6" s="234"/>
      <c r="DT6" s="436"/>
      <c r="DU6" s="500"/>
      <c r="DV6" s="234"/>
      <c r="DW6" s="436"/>
      <c r="DX6" s="604"/>
      <c r="DY6" s="580"/>
      <c r="DZ6" s="580"/>
      <c r="EA6" s="604"/>
      <c r="EB6" s="580"/>
      <c r="EC6" s="580"/>
      <c r="ED6" s="604"/>
      <c r="EE6" s="580"/>
      <c r="EF6" s="580"/>
      <c r="EG6" s="240"/>
      <c r="EH6" s="234"/>
      <c r="EI6" s="436"/>
      <c r="EJ6" s="240"/>
      <c r="EK6" s="234"/>
      <c r="EL6" s="436"/>
      <c r="EM6" s="240"/>
      <c r="EN6" s="234"/>
      <c r="EO6" s="436"/>
      <c r="EP6" s="500"/>
      <c r="EQ6" s="234"/>
      <c r="ER6" s="436"/>
      <c r="ES6" s="500"/>
      <c r="ET6" s="234"/>
      <c r="EU6" s="436"/>
      <c r="EV6" s="500"/>
      <c r="EW6" s="234"/>
      <c r="EX6" s="436"/>
      <c r="EY6" s="500"/>
      <c r="EZ6" s="234"/>
      <c r="FA6" s="436"/>
      <c r="FB6" s="500"/>
      <c r="FC6" s="234"/>
      <c r="FD6" s="436"/>
      <c r="FE6" s="500"/>
      <c r="FF6" s="234"/>
      <c r="FG6" s="436"/>
      <c r="FH6" s="604"/>
      <c r="FI6" s="580"/>
      <c r="FJ6" s="580"/>
      <c r="FK6" s="604"/>
      <c r="FL6" s="580"/>
      <c r="FM6" s="580"/>
      <c r="FN6" s="604"/>
      <c r="FO6" s="580"/>
      <c r="FP6" s="580"/>
      <c r="FQ6" s="604"/>
      <c r="FR6" s="580"/>
      <c r="FS6" s="580"/>
      <c r="FT6" s="604"/>
      <c r="FU6" s="580"/>
      <c r="FV6" s="580"/>
      <c r="FW6" s="604"/>
      <c r="FX6" s="580"/>
      <c r="FY6" s="580"/>
      <c r="FZ6" s="604"/>
      <c r="GA6" s="580"/>
      <c r="GB6" s="580"/>
      <c r="GC6" s="604"/>
      <c r="GD6" s="580"/>
      <c r="GE6" s="604"/>
      <c r="GF6" s="580"/>
      <c r="GG6" s="604"/>
      <c r="GH6" s="580"/>
      <c r="GI6" s="604"/>
      <c r="GJ6" s="580"/>
      <c r="GK6" s="604"/>
      <c r="GL6" s="580"/>
      <c r="GM6" s="604"/>
      <c r="GN6" s="580"/>
      <c r="GO6" s="604"/>
      <c r="GP6" s="580"/>
      <c r="GQ6" s="604"/>
      <c r="GR6" s="580"/>
      <c r="GS6" s="580"/>
      <c r="GT6" s="604"/>
      <c r="GU6" s="580"/>
      <c r="GV6" s="580"/>
      <c r="GW6" s="1020"/>
      <c r="GX6" s="580"/>
      <c r="GY6" s="580"/>
      <c r="GZ6" s="1020"/>
      <c r="HA6" s="580"/>
      <c r="HB6" s="580"/>
      <c r="HC6" s="1020"/>
      <c r="HD6" s="580"/>
      <c r="HE6" s="580"/>
      <c r="HF6" s="1020"/>
      <c r="HG6" s="580"/>
      <c r="HH6" s="580"/>
      <c r="HI6" s="1020"/>
      <c r="HJ6" s="580"/>
      <c r="HK6" s="580"/>
      <c r="HL6" s="1020"/>
      <c r="HM6" s="580"/>
      <c r="HN6" s="580"/>
      <c r="HO6" s="604"/>
      <c r="HP6" s="580"/>
      <c r="HQ6" s="580"/>
      <c r="HR6" s="604"/>
      <c r="HS6" s="580"/>
      <c r="HT6" s="580"/>
      <c r="HU6" s="604"/>
      <c r="HV6" s="580"/>
      <c r="HW6" s="580"/>
      <c r="HX6" s="580"/>
      <c r="HY6" s="580"/>
      <c r="HZ6" s="580"/>
      <c r="IA6" s="604"/>
      <c r="IB6" s="580"/>
      <c r="IC6" s="241"/>
      <c r="ID6" s="241"/>
      <c r="IE6" s="241"/>
    </row>
    <row r="7" spans="1:260" ht="14.25" hidden="1" customHeight="1">
      <c r="A7" s="1011" t="s">
        <v>445</v>
      </c>
      <c r="B7" s="242" t="s">
        <v>446</v>
      </c>
      <c r="C7" s="230"/>
      <c r="E7" s="234"/>
      <c r="G7" s="233"/>
      <c r="H7" s="240"/>
      <c r="I7" s="233"/>
      <c r="J7" s="240"/>
      <c r="K7" s="233"/>
      <c r="L7" s="240"/>
      <c r="M7" s="233"/>
      <c r="N7" s="240"/>
      <c r="O7" s="233"/>
      <c r="P7" s="240"/>
      <c r="Q7" s="233"/>
      <c r="R7" s="240"/>
      <c r="S7" s="233"/>
      <c r="T7" s="240"/>
      <c r="U7" s="233"/>
      <c r="V7" s="240"/>
      <c r="W7" s="233"/>
      <c r="X7" s="240"/>
      <c r="Y7" s="233"/>
      <c r="Z7" s="240"/>
      <c r="AA7" s="233"/>
      <c r="AB7" s="240"/>
      <c r="AC7" s="233"/>
      <c r="AD7" s="240"/>
      <c r="AE7" s="233"/>
      <c r="AF7" s="240"/>
      <c r="AG7" s="233"/>
      <c r="AH7" s="240"/>
      <c r="AI7" s="233"/>
      <c r="AJ7" s="240"/>
      <c r="AK7" s="233"/>
      <c r="AL7" s="240"/>
      <c r="AM7" s="233"/>
      <c r="AN7" s="240"/>
      <c r="AO7" s="233"/>
      <c r="AP7" s="240"/>
      <c r="AQ7" s="233"/>
      <c r="AR7" s="240"/>
      <c r="AS7" s="233"/>
      <c r="AT7" s="240"/>
      <c r="AU7" s="233"/>
      <c r="AV7" s="240"/>
      <c r="AW7" s="233"/>
      <c r="AX7" s="240"/>
      <c r="AY7" s="233"/>
      <c r="AZ7" s="240"/>
      <c r="BA7" s="233"/>
      <c r="BB7" s="240"/>
      <c r="BC7" s="233"/>
      <c r="BD7" s="240"/>
      <c r="BE7" s="233"/>
      <c r="BF7" s="240"/>
      <c r="BG7" s="234"/>
      <c r="BH7" s="240"/>
      <c r="BI7" s="234"/>
      <c r="BJ7" s="240"/>
      <c r="BK7" s="234"/>
      <c r="BL7" s="240"/>
      <c r="BM7" s="234"/>
      <c r="BN7" s="240"/>
      <c r="BO7" s="234"/>
      <c r="BP7" s="240"/>
      <c r="BQ7" s="234"/>
      <c r="BR7" s="240"/>
      <c r="BS7" s="234"/>
      <c r="BT7" s="240"/>
      <c r="BU7" s="234"/>
      <c r="BV7" s="240"/>
      <c r="BW7" s="234"/>
      <c r="BX7" s="240"/>
      <c r="BY7" s="234"/>
      <c r="BZ7" s="240"/>
      <c r="CA7" s="234"/>
      <c r="CB7" s="240"/>
      <c r="CC7" s="234"/>
      <c r="CD7" s="240"/>
      <c r="CE7" s="234"/>
      <c r="CF7" s="240"/>
      <c r="CG7" s="234"/>
      <c r="CH7" s="240"/>
      <c r="CI7" s="234"/>
      <c r="CJ7" s="234"/>
      <c r="CK7" s="240"/>
      <c r="CL7" s="234"/>
      <c r="CM7" s="234"/>
      <c r="CN7" s="240"/>
      <c r="CO7" s="234"/>
      <c r="CP7" s="234"/>
      <c r="CQ7" s="240"/>
      <c r="CR7" s="234"/>
      <c r="CS7" s="234"/>
      <c r="CT7" s="240"/>
      <c r="CU7" s="234"/>
      <c r="CV7" s="235"/>
      <c r="CW7" s="240"/>
      <c r="CX7" s="234"/>
      <c r="CY7" s="436"/>
      <c r="CZ7" s="240"/>
      <c r="DA7" s="234"/>
      <c r="DB7" s="436"/>
      <c r="DC7" s="240"/>
      <c r="DD7" s="234"/>
      <c r="DE7" s="436"/>
      <c r="DF7" s="500"/>
      <c r="DG7" s="234"/>
      <c r="DH7" s="436"/>
      <c r="DI7" s="500"/>
      <c r="DJ7" s="234"/>
      <c r="DK7" s="436"/>
      <c r="DL7" s="500"/>
      <c r="DM7" s="234"/>
      <c r="DN7" s="436"/>
      <c r="DO7" s="500"/>
      <c r="DP7" s="234"/>
      <c r="DQ7" s="436"/>
      <c r="DR7" s="500"/>
      <c r="DS7" s="234"/>
      <c r="DT7" s="436"/>
      <c r="DU7" s="500"/>
      <c r="DV7" s="234"/>
      <c r="DW7" s="436"/>
      <c r="DX7" s="604"/>
      <c r="DY7" s="580"/>
      <c r="DZ7" s="580"/>
      <c r="EA7" s="604"/>
      <c r="EB7" s="580"/>
      <c r="EC7" s="580"/>
      <c r="ED7" s="604"/>
      <c r="EE7" s="580"/>
      <c r="EF7" s="580"/>
      <c r="EG7" s="240"/>
      <c r="EH7" s="234"/>
      <c r="EI7" s="436"/>
      <c r="EJ7" s="240"/>
      <c r="EK7" s="234"/>
      <c r="EL7" s="436"/>
      <c r="EM7" s="240"/>
      <c r="EN7" s="234"/>
      <c r="EO7" s="436"/>
      <c r="EP7" s="500"/>
      <c r="EQ7" s="234"/>
      <c r="ER7" s="436"/>
      <c r="ES7" s="500"/>
      <c r="ET7" s="234"/>
      <c r="EU7" s="436"/>
      <c r="EV7" s="500"/>
      <c r="EW7" s="234"/>
      <c r="EX7" s="436"/>
      <c r="EY7" s="500"/>
      <c r="EZ7" s="234"/>
      <c r="FA7" s="436"/>
      <c r="FB7" s="500"/>
      <c r="FC7" s="234"/>
      <c r="FD7" s="436"/>
      <c r="FE7" s="500"/>
      <c r="FF7" s="234"/>
      <c r="FG7" s="436"/>
      <c r="FH7" s="604"/>
      <c r="FI7" s="580"/>
      <c r="FJ7" s="580"/>
      <c r="FK7" s="604"/>
      <c r="FL7" s="580"/>
      <c r="FM7" s="580"/>
      <c r="FN7" s="604"/>
      <c r="FO7" s="580"/>
      <c r="FP7" s="580"/>
      <c r="FQ7" s="604"/>
      <c r="FR7" s="580"/>
      <c r="FS7" s="580"/>
      <c r="FT7" s="604"/>
      <c r="FU7" s="580"/>
      <c r="FV7" s="580"/>
      <c r="FW7" s="604"/>
      <c r="FX7" s="580"/>
      <c r="FY7" s="580"/>
      <c r="FZ7" s="604"/>
      <c r="GA7" s="580"/>
      <c r="GB7" s="580"/>
      <c r="GC7" s="604"/>
      <c r="GD7" s="580"/>
      <c r="GE7" s="604"/>
      <c r="GF7" s="580"/>
      <c r="GG7" s="604"/>
      <c r="GH7" s="580"/>
      <c r="GI7" s="604"/>
      <c r="GJ7" s="580"/>
      <c r="GK7" s="604"/>
      <c r="GL7" s="580"/>
      <c r="GM7" s="604"/>
      <c r="GN7" s="580"/>
      <c r="GO7" s="604"/>
      <c r="GP7" s="580"/>
      <c r="GQ7" s="604"/>
      <c r="GR7" s="580"/>
      <c r="GS7" s="580"/>
      <c r="GT7" s="604"/>
      <c r="GU7" s="580"/>
      <c r="GV7" s="580"/>
      <c r="GW7" s="1020"/>
      <c r="GX7" s="580"/>
      <c r="GY7" s="580"/>
      <c r="GZ7" s="1020"/>
      <c r="HA7" s="580"/>
      <c r="HB7" s="580"/>
      <c r="HC7" s="1020"/>
      <c r="HD7" s="580"/>
      <c r="HE7" s="580"/>
      <c r="HF7" s="1020"/>
      <c r="HG7" s="580"/>
      <c r="HH7" s="580"/>
      <c r="HI7" s="1020"/>
      <c r="HJ7" s="580"/>
      <c r="HK7" s="580"/>
      <c r="HL7" s="1020"/>
      <c r="HM7" s="580"/>
      <c r="HN7" s="580"/>
      <c r="HO7" s="604"/>
      <c r="HP7" s="580"/>
      <c r="HQ7" s="580"/>
      <c r="HR7" s="604"/>
      <c r="HS7" s="580"/>
      <c r="HT7" s="580"/>
      <c r="HU7" s="604"/>
      <c r="HV7" s="580"/>
      <c r="HW7" s="580"/>
      <c r="HX7" s="580"/>
      <c r="HY7" s="580"/>
      <c r="HZ7" s="580"/>
      <c r="IA7" s="604"/>
      <c r="IB7" s="580"/>
      <c r="IC7" s="241"/>
      <c r="ID7" s="241"/>
      <c r="IE7" s="241"/>
    </row>
    <row r="8" spans="1:260" ht="14.25" hidden="1" customHeight="1">
      <c r="A8" s="1011"/>
      <c r="B8" s="242" t="s">
        <v>447</v>
      </c>
      <c r="C8" s="230"/>
      <c r="E8" s="234"/>
      <c r="G8" s="233"/>
      <c r="H8" s="240"/>
      <c r="I8" s="233"/>
      <c r="J8" s="240"/>
      <c r="K8" s="233"/>
      <c r="L8" s="240"/>
      <c r="M8" s="233"/>
      <c r="N8" s="240"/>
      <c r="O8" s="233"/>
      <c r="P8" s="240"/>
      <c r="Q8" s="233"/>
      <c r="R8" s="240"/>
      <c r="S8" s="233"/>
      <c r="T8" s="240"/>
      <c r="U8" s="233"/>
      <c r="V8" s="240"/>
      <c r="W8" s="233"/>
      <c r="X8" s="240"/>
      <c r="Y8" s="233"/>
      <c r="Z8" s="240"/>
      <c r="AA8" s="233"/>
      <c r="AB8" s="240"/>
      <c r="AC8" s="233"/>
      <c r="AD8" s="240"/>
      <c r="AE8" s="233"/>
      <c r="AF8" s="240"/>
      <c r="AG8" s="233"/>
      <c r="AH8" s="240"/>
      <c r="AI8" s="233"/>
      <c r="AJ8" s="240"/>
      <c r="AK8" s="233"/>
      <c r="AL8" s="240"/>
      <c r="AM8" s="233"/>
      <c r="AN8" s="240"/>
      <c r="AO8" s="233"/>
      <c r="AP8" s="240"/>
      <c r="AQ8" s="233"/>
      <c r="AR8" s="240"/>
      <c r="AS8" s="233"/>
      <c r="AT8" s="240"/>
      <c r="AU8" s="233"/>
      <c r="AV8" s="240"/>
      <c r="AW8" s="233"/>
      <c r="AX8" s="240"/>
      <c r="AY8" s="233"/>
      <c r="AZ8" s="240"/>
      <c r="BA8" s="233"/>
      <c r="BB8" s="240"/>
      <c r="BC8" s="233"/>
      <c r="BD8" s="240"/>
      <c r="BE8" s="233"/>
      <c r="BF8" s="240"/>
      <c r="BG8" s="234"/>
      <c r="BH8" s="240"/>
      <c r="BI8" s="234"/>
      <c r="BJ8" s="240"/>
      <c r="BK8" s="234"/>
      <c r="BL8" s="240"/>
      <c r="BM8" s="234"/>
      <c r="BN8" s="240"/>
      <c r="BO8" s="234"/>
      <c r="BP8" s="240"/>
      <c r="BQ8" s="234"/>
      <c r="BR8" s="240"/>
      <c r="BS8" s="234"/>
      <c r="BT8" s="240"/>
      <c r="BU8" s="234"/>
      <c r="BV8" s="240"/>
      <c r="BW8" s="234"/>
      <c r="BX8" s="240"/>
      <c r="BY8" s="234"/>
      <c r="BZ8" s="240"/>
      <c r="CA8" s="234"/>
      <c r="CB8" s="240"/>
      <c r="CC8" s="234"/>
      <c r="CD8" s="240"/>
      <c r="CE8" s="234"/>
      <c r="CF8" s="240"/>
      <c r="CG8" s="234"/>
      <c r="CH8" s="240"/>
      <c r="CI8" s="234"/>
      <c r="CJ8" s="234"/>
      <c r="CK8" s="240"/>
      <c r="CL8" s="234"/>
      <c r="CM8" s="234"/>
      <c r="CN8" s="240"/>
      <c r="CO8" s="234"/>
      <c r="CP8" s="234"/>
      <c r="CQ8" s="240"/>
      <c r="CR8" s="234"/>
      <c r="CS8" s="234"/>
      <c r="CT8" s="240"/>
      <c r="CU8" s="234"/>
      <c r="CV8" s="235"/>
      <c r="CW8" s="240"/>
      <c r="CX8" s="234"/>
      <c r="CY8" s="436"/>
      <c r="CZ8" s="240"/>
      <c r="DA8" s="234"/>
      <c r="DB8" s="436"/>
      <c r="DC8" s="240"/>
      <c r="DD8" s="234"/>
      <c r="DE8" s="436"/>
      <c r="DF8" s="500"/>
      <c r="DG8" s="234"/>
      <c r="DH8" s="436"/>
      <c r="DI8" s="500"/>
      <c r="DJ8" s="234"/>
      <c r="DK8" s="436"/>
      <c r="DL8" s="500"/>
      <c r="DM8" s="234"/>
      <c r="DN8" s="436"/>
      <c r="DO8" s="500"/>
      <c r="DP8" s="234"/>
      <c r="DQ8" s="436"/>
      <c r="DR8" s="500"/>
      <c r="DS8" s="234"/>
      <c r="DT8" s="436"/>
      <c r="DU8" s="500"/>
      <c r="DV8" s="234"/>
      <c r="DW8" s="436"/>
      <c r="DX8" s="604"/>
      <c r="DY8" s="580"/>
      <c r="DZ8" s="580"/>
      <c r="EA8" s="604"/>
      <c r="EB8" s="580"/>
      <c r="EC8" s="580"/>
      <c r="ED8" s="604"/>
      <c r="EE8" s="580"/>
      <c r="EF8" s="580"/>
      <c r="EG8" s="240"/>
      <c r="EH8" s="234"/>
      <c r="EI8" s="436"/>
      <c r="EJ8" s="240"/>
      <c r="EK8" s="234"/>
      <c r="EL8" s="436"/>
      <c r="EM8" s="240"/>
      <c r="EN8" s="234"/>
      <c r="EO8" s="436"/>
      <c r="EP8" s="500"/>
      <c r="EQ8" s="234"/>
      <c r="ER8" s="436"/>
      <c r="ES8" s="500"/>
      <c r="ET8" s="234"/>
      <c r="EU8" s="436"/>
      <c r="EV8" s="500"/>
      <c r="EW8" s="234"/>
      <c r="EX8" s="436"/>
      <c r="EY8" s="500"/>
      <c r="EZ8" s="234"/>
      <c r="FA8" s="436"/>
      <c r="FB8" s="500"/>
      <c r="FC8" s="234"/>
      <c r="FD8" s="436"/>
      <c r="FE8" s="500"/>
      <c r="FF8" s="234"/>
      <c r="FG8" s="436"/>
      <c r="FH8" s="604"/>
      <c r="FI8" s="580"/>
      <c r="FJ8" s="580"/>
      <c r="FK8" s="604"/>
      <c r="FL8" s="580"/>
      <c r="FM8" s="580"/>
      <c r="FN8" s="604"/>
      <c r="FO8" s="580"/>
      <c r="FP8" s="580"/>
      <c r="FQ8" s="604"/>
      <c r="FR8" s="580"/>
      <c r="FS8" s="580"/>
      <c r="FT8" s="604"/>
      <c r="FU8" s="580"/>
      <c r="FV8" s="580"/>
      <c r="FW8" s="604"/>
      <c r="FX8" s="580"/>
      <c r="FY8" s="580"/>
      <c r="FZ8" s="604"/>
      <c r="GA8" s="580"/>
      <c r="GB8" s="580"/>
      <c r="GC8" s="604"/>
      <c r="GD8" s="580"/>
      <c r="GE8" s="604"/>
      <c r="GF8" s="580"/>
      <c r="GG8" s="604"/>
      <c r="GH8" s="580"/>
      <c r="GI8" s="604"/>
      <c r="GJ8" s="580"/>
      <c r="GK8" s="604"/>
      <c r="GL8" s="580"/>
      <c r="GM8" s="604"/>
      <c r="GN8" s="580"/>
      <c r="GO8" s="604"/>
      <c r="GP8" s="580"/>
      <c r="GQ8" s="604"/>
      <c r="GR8" s="580"/>
      <c r="GS8" s="580"/>
      <c r="GT8" s="604"/>
      <c r="GU8" s="580"/>
      <c r="GV8" s="580"/>
      <c r="GW8" s="1020"/>
      <c r="GX8" s="580"/>
      <c r="GY8" s="580"/>
      <c r="GZ8" s="1020"/>
      <c r="HA8" s="580"/>
      <c r="HB8" s="580"/>
      <c r="HC8" s="1020"/>
      <c r="HD8" s="580"/>
      <c r="HE8" s="580"/>
      <c r="HF8" s="1020"/>
      <c r="HG8" s="580"/>
      <c r="HH8" s="580"/>
      <c r="HI8" s="1020"/>
      <c r="HJ8" s="580"/>
      <c r="HK8" s="580"/>
      <c r="HL8" s="1020"/>
      <c r="HM8" s="580"/>
      <c r="HN8" s="580"/>
      <c r="HO8" s="604"/>
      <c r="HP8" s="580"/>
      <c r="HQ8" s="580"/>
      <c r="HR8" s="604"/>
      <c r="HS8" s="580"/>
      <c r="HT8" s="580"/>
      <c r="HU8" s="604"/>
      <c r="HV8" s="580"/>
      <c r="HW8" s="580"/>
      <c r="HX8" s="580"/>
      <c r="HY8" s="580"/>
      <c r="HZ8" s="580"/>
      <c r="IA8" s="604"/>
      <c r="IB8" s="580"/>
      <c r="IC8" s="241"/>
      <c r="ID8" s="241"/>
      <c r="IE8" s="241"/>
    </row>
    <row r="9" spans="1:260" ht="14.25" hidden="1" customHeight="1">
      <c r="A9" s="1011"/>
      <c r="B9" s="242"/>
      <c r="C9" s="230"/>
      <c r="E9" s="234"/>
      <c r="G9" s="233"/>
      <c r="H9" s="240"/>
      <c r="I9" s="233"/>
      <c r="J9" s="240"/>
      <c r="K9" s="233"/>
      <c r="L9" s="240"/>
      <c r="M9" s="233"/>
      <c r="N9" s="240"/>
      <c r="O9" s="233"/>
      <c r="P9" s="240"/>
      <c r="Q9" s="233"/>
      <c r="R9" s="240"/>
      <c r="S9" s="233"/>
      <c r="T9" s="240"/>
      <c r="U9" s="233"/>
      <c r="V9" s="240"/>
      <c r="W9" s="233"/>
      <c r="X9" s="240"/>
      <c r="Y9" s="233"/>
      <c r="Z9" s="240"/>
      <c r="AA9" s="233"/>
      <c r="AB9" s="240"/>
      <c r="AC9" s="233"/>
      <c r="AD9" s="240"/>
      <c r="AE9" s="233"/>
      <c r="AF9" s="240"/>
      <c r="AG9" s="233"/>
      <c r="AH9" s="240"/>
      <c r="AI9" s="233"/>
      <c r="AJ9" s="240"/>
      <c r="AK9" s="233"/>
      <c r="AL9" s="240"/>
      <c r="AM9" s="233"/>
      <c r="AN9" s="240"/>
      <c r="AO9" s="233"/>
      <c r="AP9" s="240"/>
      <c r="AQ9" s="233"/>
      <c r="AR9" s="240"/>
      <c r="AS9" s="233"/>
      <c r="AT9" s="240"/>
      <c r="AU9" s="233"/>
      <c r="AV9" s="240"/>
      <c r="AW9" s="233"/>
      <c r="AX9" s="240"/>
      <c r="AY9" s="233"/>
      <c r="AZ9" s="240"/>
      <c r="BA9" s="233"/>
      <c r="BB9" s="240"/>
      <c r="BC9" s="233"/>
      <c r="BD9" s="240"/>
      <c r="BE9" s="233"/>
      <c r="BF9" s="240"/>
      <c r="BG9" s="234"/>
      <c r="BH9" s="240"/>
      <c r="BI9" s="234"/>
      <c r="BJ9" s="240"/>
      <c r="BK9" s="234"/>
      <c r="BL9" s="240"/>
      <c r="BM9" s="234"/>
      <c r="BN9" s="240"/>
      <c r="BO9" s="234"/>
      <c r="BP9" s="240"/>
      <c r="BQ9" s="234"/>
      <c r="BR9" s="240"/>
      <c r="BS9" s="234"/>
      <c r="BT9" s="240"/>
      <c r="BU9" s="234"/>
      <c r="BV9" s="240"/>
      <c r="BW9" s="234"/>
      <c r="BX9" s="240"/>
      <c r="BY9" s="234"/>
      <c r="BZ9" s="240"/>
      <c r="CA9" s="234"/>
      <c r="CB9" s="240"/>
      <c r="CC9" s="234"/>
      <c r="CD9" s="240"/>
      <c r="CE9" s="234"/>
      <c r="CF9" s="240"/>
      <c r="CG9" s="234"/>
      <c r="CH9" s="240"/>
      <c r="CI9" s="234"/>
      <c r="CJ9" s="234"/>
      <c r="CK9" s="240"/>
      <c r="CL9" s="234"/>
      <c r="CM9" s="234"/>
      <c r="CN9" s="240"/>
      <c r="CO9" s="234"/>
      <c r="CP9" s="234"/>
      <c r="CQ9" s="240"/>
      <c r="CR9" s="234"/>
      <c r="CS9" s="234"/>
      <c r="CT9" s="240"/>
      <c r="CU9" s="234"/>
      <c r="CV9" s="235"/>
      <c r="CW9" s="240"/>
      <c r="CX9" s="234"/>
      <c r="CY9" s="436"/>
      <c r="CZ9" s="240"/>
      <c r="DA9" s="234"/>
      <c r="DB9" s="436"/>
      <c r="DC9" s="240"/>
      <c r="DD9" s="234"/>
      <c r="DE9" s="436"/>
      <c r="DF9" s="500"/>
      <c r="DG9" s="234"/>
      <c r="DH9" s="436"/>
      <c r="DI9" s="500"/>
      <c r="DJ9" s="234"/>
      <c r="DK9" s="436"/>
      <c r="DL9" s="500"/>
      <c r="DM9" s="234"/>
      <c r="DN9" s="436"/>
      <c r="DO9" s="500"/>
      <c r="DP9" s="234"/>
      <c r="DQ9" s="436"/>
      <c r="DR9" s="500"/>
      <c r="DS9" s="234"/>
      <c r="DT9" s="436"/>
      <c r="DU9" s="500"/>
      <c r="DV9" s="234"/>
      <c r="DW9" s="436"/>
      <c r="DX9" s="604"/>
      <c r="DY9" s="580"/>
      <c r="DZ9" s="580"/>
      <c r="EA9" s="604"/>
      <c r="EB9" s="580"/>
      <c r="EC9" s="580"/>
      <c r="ED9" s="604"/>
      <c r="EE9" s="580"/>
      <c r="EF9" s="580"/>
      <c r="EG9" s="240"/>
      <c r="EH9" s="234"/>
      <c r="EI9" s="436"/>
      <c r="EJ9" s="240"/>
      <c r="EK9" s="234"/>
      <c r="EL9" s="436"/>
      <c r="EM9" s="240"/>
      <c r="EN9" s="234"/>
      <c r="EO9" s="436"/>
      <c r="EP9" s="500"/>
      <c r="EQ9" s="234"/>
      <c r="ER9" s="436"/>
      <c r="ES9" s="500"/>
      <c r="ET9" s="234"/>
      <c r="EU9" s="436"/>
      <c r="EV9" s="500"/>
      <c r="EW9" s="234"/>
      <c r="EX9" s="436"/>
      <c r="EY9" s="500"/>
      <c r="EZ9" s="234"/>
      <c r="FA9" s="436"/>
      <c r="FB9" s="500"/>
      <c r="FC9" s="234"/>
      <c r="FD9" s="436"/>
      <c r="FE9" s="500"/>
      <c r="FF9" s="234"/>
      <c r="FG9" s="436"/>
      <c r="FH9" s="604"/>
      <c r="FI9" s="580"/>
      <c r="FJ9" s="580"/>
      <c r="FK9" s="604"/>
      <c r="FL9" s="580"/>
      <c r="FM9" s="580"/>
      <c r="FN9" s="604"/>
      <c r="FO9" s="580"/>
      <c r="FP9" s="580"/>
      <c r="FQ9" s="604"/>
      <c r="FR9" s="580"/>
      <c r="FS9" s="580"/>
      <c r="FT9" s="604"/>
      <c r="FU9" s="580"/>
      <c r="FV9" s="580"/>
      <c r="FW9" s="604"/>
      <c r="FX9" s="580"/>
      <c r="FY9" s="580"/>
      <c r="FZ9" s="604"/>
      <c r="GA9" s="580"/>
      <c r="GB9" s="580"/>
      <c r="GC9" s="604"/>
      <c r="GD9" s="580"/>
      <c r="GE9" s="604"/>
      <c r="GF9" s="580"/>
      <c r="GG9" s="604"/>
      <c r="GH9" s="580"/>
      <c r="GI9" s="604"/>
      <c r="GJ9" s="580"/>
      <c r="GK9" s="604"/>
      <c r="GL9" s="580"/>
      <c r="GM9" s="604"/>
      <c r="GN9" s="580"/>
      <c r="GO9" s="604"/>
      <c r="GP9" s="580"/>
      <c r="GQ9" s="604"/>
      <c r="GR9" s="580"/>
      <c r="GS9" s="580"/>
      <c r="GT9" s="604"/>
      <c r="GU9" s="580"/>
      <c r="GV9" s="580"/>
      <c r="GW9" s="1020"/>
      <c r="GX9" s="580"/>
      <c r="GY9" s="580"/>
      <c r="GZ9" s="1020"/>
      <c r="HA9" s="580"/>
      <c r="HB9" s="580"/>
      <c r="HC9" s="1020"/>
      <c r="HD9" s="580"/>
      <c r="HE9" s="580"/>
      <c r="HF9" s="1020"/>
      <c r="HG9" s="580"/>
      <c r="HH9" s="580"/>
      <c r="HI9" s="1020"/>
      <c r="HJ9" s="580"/>
      <c r="HK9" s="580"/>
      <c r="HL9" s="1020"/>
      <c r="HM9" s="580"/>
      <c r="HN9" s="580"/>
      <c r="HO9" s="604"/>
      <c r="HP9" s="580"/>
      <c r="HQ9" s="580"/>
      <c r="HR9" s="604"/>
      <c r="HS9" s="580"/>
      <c r="HT9" s="580"/>
      <c r="HU9" s="604"/>
      <c r="HV9" s="580"/>
      <c r="HW9" s="580"/>
      <c r="HX9" s="580"/>
      <c r="HY9" s="580"/>
      <c r="HZ9" s="580"/>
      <c r="IA9" s="604"/>
      <c r="IB9" s="580"/>
      <c r="IC9" s="241"/>
      <c r="ID9" s="241"/>
      <c r="IE9" s="241"/>
    </row>
    <row r="10" spans="1:260" ht="14.25" hidden="1" customHeight="1">
      <c r="A10" s="1011"/>
      <c r="B10" s="212" t="s">
        <v>448</v>
      </c>
      <c r="C10" s="230"/>
      <c r="E10" s="234"/>
      <c r="G10" s="233"/>
      <c r="H10" s="240"/>
      <c r="I10" s="233"/>
      <c r="J10" s="240"/>
      <c r="K10" s="233"/>
      <c r="L10" s="240"/>
      <c r="M10" s="233"/>
      <c r="N10" s="240"/>
      <c r="O10" s="233"/>
      <c r="P10" s="240"/>
      <c r="Q10" s="233"/>
      <c r="R10" s="240"/>
      <c r="S10" s="233"/>
      <c r="T10" s="240"/>
      <c r="U10" s="233"/>
      <c r="V10" s="240"/>
      <c r="W10" s="233"/>
      <c r="X10" s="240"/>
      <c r="Y10" s="233"/>
      <c r="Z10" s="240"/>
      <c r="AA10" s="233"/>
      <c r="AB10" s="240"/>
      <c r="AC10" s="233"/>
      <c r="AD10" s="240"/>
      <c r="AE10" s="233"/>
      <c r="AF10" s="240"/>
      <c r="AG10" s="233"/>
      <c r="AH10" s="240"/>
      <c r="AI10" s="233"/>
      <c r="AJ10" s="240"/>
      <c r="AK10" s="233"/>
      <c r="AL10" s="240"/>
      <c r="AM10" s="233"/>
      <c r="AN10" s="240"/>
      <c r="AO10" s="233"/>
      <c r="AP10" s="240"/>
      <c r="AQ10" s="233"/>
      <c r="AR10" s="240"/>
      <c r="AS10" s="233"/>
      <c r="AT10" s="240"/>
      <c r="AU10" s="233"/>
      <c r="AV10" s="240"/>
      <c r="AW10" s="233"/>
      <c r="AX10" s="240"/>
      <c r="AY10" s="233"/>
      <c r="AZ10" s="240"/>
      <c r="BA10" s="233"/>
      <c r="BB10" s="240"/>
      <c r="BC10" s="233"/>
      <c r="BD10" s="240"/>
      <c r="BE10" s="233"/>
      <c r="BF10" s="240"/>
      <c r="BG10" s="234"/>
      <c r="BH10" s="240"/>
      <c r="BI10" s="234"/>
      <c r="BJ10" s="240"/>
      <c r="BK10" s="234"/>
      <c r="BL10" s="240"/>
      <c r="BM10" s="234"/>
      <c r="BN10" s="240"/>
      <c r="BO10" s="234"/>
      <c r="BP10" s="240"/>
      <c r="BQ10" s="234"/>
      <c r="BR10" s="240"/>
      <c r="BS10" s="234"/>
      <c r="BT10" s="240"/>
      <c r="BU10" s="234"/>
      <c r="BV10" s="240"/>
      <c r="BW10" s="234"/>
      <c r="BX10" s="240"/>
      <c r="BY10" s="234"/>
      <c r="BZ10" s="240"/>
      <c r="CA10" s="234"/>
      <c r="CB10" s="240"/>
      <c r="CC10" s="234"/>
      <c r="CD10" s="240"/>
      <c r="CE10" s="234"/>
      <c r="CF10" s="240"/>
      <c r="CG10" s="234"/>
      <c r="CH10" s="240"/>
      <c r="CI10" s="234"/>
      <c r="CJ10" s="234"/>
      <c r="CK10" s="240"/>
      <c r="CL10" s="234"/>
      <c r="CM10" s="234"/>
      <c r="CN10" s="240"/>
      <c r="CO10" s="234"/>
      <c r="CP10" s="234"/>
      <c r="CQ10" s="240"/>
      <c r="CR10" s="234"/>
      <c r="CS10" s="234"/>
      <c r="CT10" s="240"/>
      <c r="CU10" s="234"/>
      <c r="CV10" s="235"/>
      <c r="CW10" s="240"/>
      <c r="CX10" s="234"/>
      <c r="CY10" s="436"/>
      <c r="CZ10" s="240"/>
      <c r="DA10" s="234"/>
      <c r="DB10" s="436"/>
      <c r="DC10" s="240"/>
      <c r="DD10" s="234"/>
      <c r="DE10" s="436"/>
      <c r="DF10" s="500"/>
      <c r="DG10" s="234"/>
      <c r="DH10" s="436"/>
      <c r="DI10" s="500"/>
      <c r="DJ10" s="234"/>
      <c r="DK10" s="436"/>
      <c r="DL10" s="500"/>
      <c r="DM10" s="234"/>
      <c r="DN10" s="436"/>
      <c r="DO10" s="500"/>
      <c r="DP10" s="234"/>
      <c r="DQ10" s="436"/>
      <c r="DR10" s="500"/>
      <c r="DS10" s="234"/>
      <c r="DT10" s="436"/>
      <c r="DU10" s="500"/>
      <c r="DV10" s="234"/>
      <c r="DW10" s="436"/>
      <c r="DX10" s="604"/>
      <c r="DY10" s="580"/>
      <c r="DZ10" s="580"/>
      <c r="EA10" s="604"/>
      <c r="EB10" s="580"/>
      <c r="EC10" s="580"/>
      <c r="ED10" s="604"/>
      <c r="EE10" s="580"/>
      <c r="EF10" s="580"/>
      <c r="EG10" s="240"/>
      <c r="EH10" s="234"/>
      <c r="EI10" s="436"/>
      <c r="EJ10" s="240"/>
      <c r="EK10" s="234"/>
      <c r="EL10" s="436"/>
      <c r="EM10" s="240"/>
      <c r="EN10" s="234"/>
      <c r="EO10" s="436"/>
      <c r="EP10" s="500"/>
      <c r="EQ10" s="234"/>
      <c r="ER10" s="436"/>
      <c r="ES10" s="500"/>
      <c r="ET10" s="234"/>
      <c r="EU10" s="436"/>
      <c r="EV10" s="500"/>
      <c r="EW10" s="234"/>
      <c r="EX10" s="436"/>
      <c r="EY10" s="500"/>
      <c r="EZ10" s="234"/>
      <c r="FA10" s="436"/>
      <c r="FB10" s="500"/>
      <c r="FC10" s="234"/>
      <c r="FD10" s="436"/>
      <c r="FE10" s="500"/>
      <c r="FF10" s="234"/>
      <c r="FG10" s="436"/>
      <c r="FH10" s="604"/>
      <c r="FI10" s="580"/>
      <c r="FJ10" s="580"/>
      <c r="FK10" s="604"/>
      <c r="FL10" s="580"/>
      <c r="FM10" s="580"/>
      <c r="FN10" s="604"/>
      <c r="FO10" s="580"/>
      <c r="FP10" s="580"/>
      <c r="FQ10" s="604"/>
      <c r="FR10" s="580"/>
      <c r="FS10" s="580"/>
      <c r="FT10" s="604"/>
      <c r="FU10" s="580"/>
      <c r="FV10" s="580"/>
      <c r="FW10" s="604"/>
      <c r="FX10" s="580"/>
      <c r="FY10" s="580"/>
      <c r="FZ10" s="604"/>
      <c r="GA10" s="580"/>
      <c r="GB10" s="580"/>
      <c r="GC10" s="604"/>
      <c r="GD10" s="580"/>
      <c r="GE10" s="604"/>
      <c r="GF10" s="580"/>
      <c r="GG10" s="604"/>
      <c r="GH10" s="580"/>
      <c r="GI10" s="604"/>
      <c r="GJ10" s="580"/>
      <c r="GK10" s="604"/>
      <c r="GL10" s="580"/>
      <c r="GM10" s="604"/>
      <c r="GN10" s="580"/>
      <c r="GO10" s="604"/>
      <c r="GP10" s="580"/>
      <c r="GQ10" s="604"/>
      <c r="GR10" s="580"/>
      <c r="GS10" s="580"/>
      <c r="GT10" s="604"/>
      <c r="GU10" s="580"/>
      <c r="GV10" s="580"/>
      <c r="GW10" s="1020"/>
      <c r="GX10" s="580"/>
      <c r="GY10" s="580"/>
      <c r="GZ10" s="1020"/>
      <c r="HA10" s="580"/>
      <c r="HB10" s="580"/>
      <c r="HC10" s="1020"/>
      <c r="HD10" s="580"/>
      <c r="HE10" s="580"/>
      <c r="HF10" s="1020"/>
      <c r="HG10" s="580"/>
      <c r="HH10" s="580"/>
      <c r="HI10" s="1020"/>
      <c r="HJ10" s="580"/>
      <c r="HK10" s="580"/>
      <c r="HL10" s="1020"/>
      <c r="HM10" s="580"/>
      <c r="HN10" s="580"/>
      <c r="HO10" s="604"/>
      <c r="HP10" s="580"/>
      <c r="HQ10" s="580"/>
      <c r="HR10" s="604"/>
      <c r="HS10" s="580"/>
      <c r="HT10" s="580"/>
      <c r="HU10" s="604"/>
      <c r="HV10" s="580"/>
      <c r="HW10" s="580"/>
      <c r="HX10" s="580"/>
      <c r="HY10" s="580"/>
      <c r="HZ10" s="580"/>
      <c r="IA10" s="604"/>
      <c r="IB10" s="580"/>
      <c r="IC10" s="241"/>
      <c r="ID10" s="241"/>
      <c r="IE10" s="241"/>
    </row>
    <row r="11" spans="1:260" ht="14.25" hidden="1" customHeight="1">
      <c r="A11" s="1011"/>
      <c r="B11" s="242" t="s">
        <v>449</v>
      </c>
      <c r="C11" s="230"/>
      <c r="E11" s="234"/>
      <c r="G11" s="233"/>
      <c r="H11" s="240"/>
      <c r="I11" s="233"/>
      <c r="J11" s="240"/>
      <c r="K11" s="233"/>
      <c r="L11" s="240"/>
      <c r="M11" s="233"/>
      <c r="N11" s="240"/>
      <c r="O11" s="233"/>
      <c r="P11" s="240"/>
      <c r="Q11" s="233"/>
      <c r="R11" s="240"/>
      <c r="S11" s="233"/>
      <c r="T11" s="240"/>
      <c r="U11" s="233"/>
      <c r="V11" s="240"/>
      <c r="W11" s="233"/>
      <c r="X11" s="240"/>
      <c r="Y11" s="233"/>
      <c r="Z11" s="240"/>
      <c r="AA11" s="233"/>
      <c r="AB11" s="240"/>
      <c r="AC11" s="233"/>
      <c r="AD11" s="240"/>
      <c r="AE11" s="233"/>
      <c r="AF11" s="240"/>
      <c r="AG11" s="233"/>
      <c r="AH11" s="240"/>
      <c r="AI11" s="233"/>
      <c r="AJ11" s="240"/>
      <c r="AK11" s="233"/>
      <c r="AL11" s="240"/>
      <c r="AM11" s="233"/>
      <c r="AN11" s="240"/>
      <c r="AO11" s="233"/>
      <c r="AP11" s="240"/>
      <c r="AQ11" s="233"/>
      <c r="AR11" s="240"/>
      <c r="AS11" s="233"/>
      <c r="AT11" s="240"/>
      <c r="AU11" s="233"/>
      <c r="AV11" s="240"/>
      <c r="AW11" s="233"/>
      <c r="AX11" s="240"/>
      <c r="AY11" s="233"/>
      <c r="AZ11" s="240"/>
      <c r="BA11" s="233"/>
      <c r="BB11" s="240"/>
      <c r="BC11" s="233"/>
      <c r="BD11" s="240"/>
      <c r="BE11" s="233"/>
      <c r="BF11" s="240"/>
      <c r="BG11" s="234"/>
      <c r="BH11" s="240"/>
      <c r="BI11" s="234"/>
      <c r="BJ11" s="240"/>
      <c r="BK11" s="234"/>
      <c r="BL11" s="240"/>
      <c r="BM11" s="234"/>
      <c r="BN11" s="240"/>
      <c r="BO11" s="234"/>
      <c r="BP11" s="240"/>
      <c r="BQ11" s="234"/>
      <c r="BR11" s="240"/>
      <c r="BS11" s="234"/>
      <c r="BT11" s="240"/>
      <c r="BU11" s="234"/>
      <c r="BV11" s="240"/>
      <c r="BW11" s="234"/>
      <c r="BX11" s="240"/>
      <c r="BY11" s="234"/>
      <c r="BZ11" s="240"/>
      <c r="CA11" s="234"/>
      <c r="CB11" s="240"/>
      <c r="CC11" s="234"/>
      <c r="CD11" s="240"/>
      <c r="CE11" s="234"/>
      <c r="CF11" s="240"/>
      <c r="CG11" s="234"/>
      <c r="CH11" s="240"/>
      <c r="CI11" s="234"/>
      <c r="CJ11" s="234"/>
      <c r="CK11" s="240"/>
      <c r="CL11" s="234"/>
      <c r="CM11" s="234"/>
      <c r="CN11" s="240"/>
      <c r="CO11" s="234"/>
      <c r="CP11" s="234"/>
      <c r="CQ11" s="240"/>
      <c r="CR11" s="234"/>
      <c r="CS11" s="234"/>
      <c r="CT11" s="240"/>
      <c r="CU11" s="234"/>
      <c r="CV11" s="235"/>
      <c r="CW11" s="240"/>
      <c r="CX11" s="234"/>
      <c r="CY11" s="436"/>
      <c r="CZ11" s="240"/>
      <c r="DA11" s="234"/>
      <c r="DB11" s="436"/>
      <c r="DC11" s="240"/>
      <c r="DD11" s="234"/>
      <c r="DE11" s="436"/>
      <c r="DF11" s="500"/>
      <c r="DG11" s="234"/>
      <c r="DH11" s="436"/>
      <c r="DI11" s="500"/>
      <c r="DJ11" s="234"/>
      <c r="DK11" s="436"/>
      <c r="DL11" s="500"/>
      <c r="DM11" s="234"/>
      <c r="DN11" s="436"/>
      <c r="DO11" s="500"/>
      <c r="DP11" s="234"/>
      <c r="DQ11" s="436"/>
      <c r="DR11" s="500"/>
      <c r="DS11" s="234"/>
      <c r="DT11" s="436"/>
      <c r="DU11" s="500"/>
      <c r="DV11" s="234"/>
      <c r="DW11" s="436"/>
      <c r="DX11" s="604"/>
      <c r="DY11" s="580"/>
      <c r="DZ11" s="580"/>
      <c r="EA11" s="604"/>
      <c r="EB11" s="580"/>
      <c r="EC11" s="580"/>
      <c r="ED11" s="604"/>
      <c r="EE11" s="580"/>
      <c r="EF11" s="580"/>
      <c r="EG11" s="240"/>
      <c r="EH11" s="234"/>
      <c r="EI11" s="436"/>
      <c r="EJ11" s="240"/>
      <c r="EK11" s="234"/>
      <c r="EL11" s="436"/>
      <c r="EM11" s="240"/>
      <c r="EN11" s="234"/>
      <c r="EO11" s="436"/>
      <c r="EP11" s="500"/>
      <c r="EQ11" s="234"/>
      <c r="ER11" s="436"/>
      <c r="ES11" s="500"/>
      <c r="ET11" s="234"/>
      <c r="EU11" s="436"/>
      <c r="EV11" s="500"/>
      <c r="EW11" s="234"/>
      <c r="EX11" s="436"/>
      <c r="EY11" s="500"/>
      <c r="EZ11" s="234"/>
      <c r="FA11" s="436"/>
      <c r="FB11" s="500"/>
      <c r="FC11" s="234"/>
      <c r="FD11" s="436"/>
      <c r="FE11" s="500"/>
      <c r="FF11" s="234"/>
      <c r="FG11" s="436"/>
      <c r="FH11" s="604"/>
      <c r="FI11" s="580"/>
      <c r="FJ11" s="580"/>
      <c r="FK11" s="604"/>
      <c r="FL11" s="580"/>
      <c r="FM11" s="580"/>
      <c r="FN11" s="604"/>
      <c r="FO11" s="580"/>
      <c r="FP11" s="580"/>
      <c r="FQ11" s="604"/>
      <c r="FR11" s="580"/>
      <c r="FS11" s="580"/>
      <c r="FT11" s="604"/>
      <c r="FU11" s="580"/>
      <c r="FV11" s="580"/>
      <c r="FW11" s="604"/>
      <c r="FX11" s="580"/>
      <c r="FY11" s="580"/>
      <c r="FZ11" s="604"/>
      <c r="GA11" s="580"/>
      <c r="GB11" s="580"/>
      <c r="GC11" s="604"/>
      <c r="GD11" s="580"/>
      <c r="GE11" s="604"/>
      <c r="GF11" s="580"/>
      <c r="GG11" s="604"/>
      <c r="GH11" s="580"/>
      <c r="GI11" s="604"/>
      <c r="GJ11" s="580"/>
      <c r="GK11" s="604"/>
      <c r="GL11" s="580"/>
      <c r="GM11" s="604"/>
      <c r="GN11" s="580"/>
      <c r="GO11" s="604"/>
      <c r="GP11" s="580"/>
      <c r="GQ11" s="604"/>
      <c r="GR11" s="580"/>
      <c r="GS11" s="580"/>
      <c r="GT11" s="604"/>
      <c r="GU11" s="580"/>
      <c r="GV11" s="580"/>
      <c r="GW11" s="1020"/>
      <c r="GX11" s="580"/>
      <c r="GY11" s="580"/>
      <c r="GZ11" s="1020"/>
      <c r="HA11" s="580"/>
      <c r="HB11" s="580"/>
      <c r="HC11" s="1020"/>
      <c r="HD11" s="580"/>
      <c r="HE11" s="580"/>
      <c r="HF11" s="1020"/>
      <c r="HG11" s="580"/>
      <c r="HH11" s="580"/>
      <c r="HI11" s="1020"/>
      <c r="HJ11" s="580"/>
      <c r="HK11" s="580"/>
      <c r="HL11" s="1020"/>
      <c r="HM11" s="580"/>
      <c r="HN11" s="580"/>
      <c r="HO11" s="604"/>
      <c r="HP11" s="580"/>
      <c r="HQ11" s="580"/>
      <c r="HR11" s="604"/>
      <c r="HS11" s="580"/>
      <c r="HT11" s="580"/>
      <c r="HU11" s="604"/>
      <c r="HV11" s="580"/>
      <c r="HW11" s="580"/>
      <c r="HX11" s="580"/>
      <c r="HY11" s="580"/>
      <c r="HZ11" s="580"/>
      <c r="IA11" s="604"/>
      <c r="IB11" s="580"/>
      <c r="IC11" s="241"/>
      <c r="ID11" s="241"/>
      <c r="IE11" s="241"/>
    </row>
    <row r="12" spans="1:260" ht="14.25" hidden="1" customHeight="1">
      <c r="A12" s="1011"/>
      <c r="B12" s="242" t="s">
        <v>871</v>
      </c>
      <c r="C12" s="230"/>
      <c r="E12" s="234"/>
      <c r="G12" s="233"/>
      <c r="H12" s="240"/>
      <c r="I12" s="233"/>
      <c r="J12" s="240"/>
      <c r="K12" s="233"/>
      <c r="L12" s="240"/>
      <c r="M12" s="233"/>
      <c r="N12" s="240"/>
      <c r="O12" s="233"/>
      <c r="P12" s="240"/>
      <c r="Q12" s="233"/>
      <c r="R12" s="240"/>
      <c r="S12" s="233"/>
      <c r="T12" s="240"/>
      <c r="U12" s="233"/>
      <c r="V12" s="240"/>
      <c r="W12" s="233"/>
      <c r="X12" s="240"/>
      <c r="Y12" s="233"/>
      <c r="Z12" s="240"/>
      <c r="AA12" s="233"/>
      <c r="AB12" s="240"/>
      <c r="AC12" s="233"/>
      <c r="AD12" s="240"/>
      <c r="AE12" s="233"/>
      <c r="AF12" s="240"/>
      <c r="AG12" s="233"/>
      <c r="AH12" s="240"/>
      <c r="AI12" s="233"/>
      <c r="AJ12" s="240"/>
      <c r="AK12" s="233"/>
      <c r="AL12" s="240"/>
      <c r="AM12" s="233"/>
      <c r="AN12" s="240"/>
      <c r="AO12" s="233"/>
      <c r="AP12" s="240"/>
      <c r="AQ12" s="233"/>
      <c r="AR12" s="240"/>
      <c r="AS12" s="233"/>
      <c r="AT12" s="240"/>
      <c r="AU12" s="233"/>
      <c r="AV12" s="240"/>
      <c r="AW12" s="233"/>
      <c r="AX12" s="240"/>
      <c r="AY12" s="233"/>
      <c r="AZ12" s="240"/>
      <c r="BA12" s="233"/>
      <c r="BB12" s="240"/>
      <c r="BC12" s="233"/>
      <c r="BD12" s="240"/>
      <c r="BE12" s="233"/>
      <c r="BF12" s="240"/>
      <c r="BG12" s="234"/>
      <c r="BH12" s="240"/>
      <c r="BI12" s="234"/>
      <c r="BJ12" s="240"/>
      <c r="BK12" s="234"/>
      <c r="BL12" s="240"/>
      <c r="BM12" s="234"/>
      <c r="BN12" s="240"/>
      <c r="BO12" s="234"/>
      <c r="BP12" s="240"/>
      <c r="BQ12" s="234"/>
      <c r="BR12" s="240"/>
      <c r="BS12" s="234"/>
      <c r="BT12" s="240"/>
      <c r="BU12" s="234"/>
      <c r="BV12" s="240"/>
      <c r="BW12" s="234"/>
      <c r="BX12" s="240"/>
      <c r="BY12" s="234"/>
      <c r="BZ12" s="240"/>
      <c r="CA12" s="234"/>
      <c r="CB12" s="240"/>
      <c r="CC12" s="234"/>
      <c r="CD12" s="240"/>
      <c r="CE12" s="234"/>
      <c r="CF12" s="240"/>
      <c r="CG12" s="234"/>
      <c r="CH12" s="240"/>
      <c r="CI12" s="234"/>
      <c r="CJ12" s="234"/>
      <c r="CK12" s="240"/>
      <c r="CL12" s="234"/>
      <c r="CM12" s="234"/>
      <c r="CN12" s="240"/>
      <c r="CO12" s="234"/>
      <c r="CP12" s="234"/>
      <c r="CQ12" s="240"/>
      <c r="CR12" s="234"/>
      <c r="CS12" s="234"/>
      <c r="CT12" s="240"/>
      <c r="CU12" s="234"/>
      <c r="CV12" s="235"/>
      <c r="CW12" s="240"/>
      <c r="CX12" s="234"/>
      <c r="CY12" s="436"/>
      <c r="CZ12" s="240"/>
      <c r="DA12" s="234"/>
      <c r="DB12" s="436"/>
      <c r="DC12" s="240"/>
      <c r="DD12" s="234"/>
      <c r="DE12" s="436"/>
      <c r="DF12" s="500"/>
      <c r="DG12" s="234"/>
      <c r="DH12" s="436"/>
      <c r="DI12" s="500"/>
      <c r="DJ12" s="234"/>
      <c r="DK12" s="436"/>
      <c r="DL12" s="500"/>
      <c r="DM12" s="234"/>
      <c r="DN12" s="436"/>
      <c r="DO12" s="500"/>
      <c r="DP12" s="234"/>
      <c r="DQ12" s="436"/>
      <c r="DR12" s="500"/>
      <c r="DS12" s="234"/>
      <c r="DT12" s="436"/>
      <c r="DU12" s="500"/>
      <c r="DV12" s="234"/>
      <c r="DW12" s="436"/>
      <c r="DX12" s="604"/>
      <c r="DY12" s="580"/>
      <c r="DZ12" s="580"/>
      <c r="EA12" s="604"/>
      <c r="EB12" s="580"/>
      <c r="EC12" s="580"/>
      <c r="ED12" s="604"/>
      <c r="EE12" s="580"/>
      <c r="EF12" s="580"/>
      <c r="EG12" s="240"/>
      <c r="EH12" s="234"/>
      <c r="EI12" s="436"/>
      <c r="EJ12" s="240"/>
      <c r="EK12" s="234"/>
      <c r="EL12" s="436"/>
      <c r="EM12" s="240"/>
      <c r="EN12" s="234"/>
      <c r="EO12" s="436"/>
      <c r="EP12" s="500"/>
      <c r="EQ12" s="234"/>
      <c r="ER12" s="436"/>
      <c r="ES12" s="500"/>
      <c r="ET12" s="234"/>
      <c r="EU12" s="436"/>
      <c r="EV12" s="500"/>
      <c r="EW12" s="234"/>
      <c r="EX12" s="436"/>
      <c r="EY12" s="500"/>
      <c r="EZ12" s="234"/>
      <c r="FA12" s="436"/>
      <c r="FB12" s="500"/>
      <c r="FC12" s="234"/>
      <c r="FD12" s="436"/>
      <c r="FE12" s="500"/>
      <c r="FF12" s="234"/>
      <c r="FG12" s="436"/>
      <c r="FH12" s="604"/>
      <c r="FI12" s="580"/>
      <c r="FJ12" s="580"/>
      <c r="FK12" s="604"/>
      <c r="FL12" s="580"/>
      <c r="FM12" s="580"/>
      <c r="FN12" s="604"/>
      <c r="FO12" s="580"/>
      <c r="FP12" s="580"/>
      <c r="FQ12" s="604"/>
      <c r="FR12" s="580"/>
      <c r="FS12" s="580"/>
      <c r="FT12" s="604"/>
      <c r="FU12" s="580"/>
      <c r="FV12" s="580"/>
      <c r="FW12" s="604"/>
      <c r="FX12" s="580"/>
      <c r="FY12" s="580"/>
      <c r="FZ12" s="604"/>
      <c r="GA12" s="580"/>
      <c r="GB12" s="580"/>
      <c r="GC12" s="604"/>
      <c r="GD12" s="580"/>
      <c r="GE12" s="604"/>
      <c r="GF12" s="580"/>
      <c r="GG12" s="604"/>
      <c r="GH12" s="580"/>
      <c r="GI12" s="604"/>
      <c r="GJ12" s="580"/>
      <c r="GK12" s="604"/>
      <c r="GL12" s="580"/>
      <c r="GM12" s="604"/>
      <c r="GN12" s="580"/>
      <c r="GO12" s="604"/>
      <c r="GP12" s="580"/>
      <c r="GQ12" s="604"/>
      <c r="GR12" s="580"/>
      <c r="GS12" s="580"/>
      <c r="GT12" s="604"/>
      <c r="GU12" s="580"/>
      <c r="GV12" s="580"/>
      <c r="GW12" s="1020"/>
      <c r="GX12" s="580"/>
      <c r="GY12" s="580"/>
      <c r="GZ12" s="1020"/>
      <c r="HA12" s="580"/>
      <c r="HB12" s="580"/>
      <c r="HC12" s="1020"/>
      <c r="HD12" s="580"/>
      <c r="HE12" s="580"/>
      <c r="HF12" s="1020"/>
      <c r="HG12" s="580"/>
      <c r="HH12" s="580"/>
      <c r="HI12" s="1020"/>
      <c r="HJ12" s="580"/>
      <c r="HK12" s="580"/>
      <c r="HL12" s="1020"/>
      <c r="HM12" s="580"/>
      <c r="HN12" s="580"/>
      <c r="HO12" s="604"/>
      <c r="HP12" s="580"/>
      <c r="HQ12" s="580"/>
      <c r="HR12" s="604"/>
      <c r="HS12" s="580"/>
      <c r="HT12" s="580"/>
      <c r="HU12" s="604"/>
      <c r="HV12" s="580"/>
      <c r="HW12" s="580"/>
      <c r="HX12" s="580"/>
      <c r="HY12" s="580"/>
      <c r="HZ12" s="580"/>
      <c r="IA12" s="604"/>
      <c r="IB12" s="580"/>
      <c r="IC12" s="241"/>
      <c r="ID12" s="241"/>
      <c r="IE12" s="241"/>
    </row>
    <row r="13" spans="1:260" ht="14.25" hidden="1" customHeight="1">
      <c r="A13" s="1011"/>
      <c r="B13" s="242" t="s">
        <v>444</v>
      </c>
      <c r="C13" s="230"/>
      <c r="E13" s="234"/>
      <c r="G13" s="233"/>
      <c r="H13" s="240"/>
      <c r="I13" s="233"/>
      <c r="J13" s="240"/>
      <c r="K13" s="233"/>
      <c r="L13" s="240"/>
      <c r="M13" s="233"/>
      <c r="N13" s="240"/>
      <c r="O13" s="233"/>
      <c r="P13" s="240"/>
      <c r="Q13" s="233"/>
      <c r="R13" s="240"/>
      <c r="S13" s="233"/>
      <c r="T13" s="240"/>
      <c r="U13" s="233"/>
      <c r="V13" s="240"/>
      <c r="W13" s="233"/>
      <c r="X13" s="240"/>
      <c r="Y13" s="233"/>
      <c r="Z13" s="240"/>
      <c r="AA13" s="233"/>
      <c r="AB13" s="240"/>
      <c r="AC13" s="233"/>
      <c r="AD13" s="240"/>
      <c r="AE13" s="233"/>
      <c r="AF13" s="240"/>
      <c r="AG13" s="233"/>
      <c r="AH13" s="240"/>
      <c r="AI13" s="233"/>
      <c r="AJ13" s="240"/>
      <c r="AK13" s="233"/>
      <c r="AL13" s="240"/>
      <c r="AM13" s="233"/>
      <c r="AN13" s="240"/>
      <c r="AO13" s="233"/>
      <c r="AP13" s="240"/>
      <c r="AQ13" s="233"/>
      <c r="AR13" s="240"/>
      <c r="AS13" s="233"/>
      <c r="AT13" s="240"/>
      <c r="AU13" s="233"/>
      <c r="AV13" s="240"/>
      <c r="AW13" s="233"/>
      <c r="AX13" s="240"/>
      <c r="AY13" s="233"/>
      <c r="AZ13" s="240"/>
      <c r="BA13" s="233"/>
      <c r="BB13" s="240"/>
      <c r="BC13" s="233"/>
      <c r="BD13" s="240"/>
      <c r="BE13" s="233"/>
      <c r="BF13" s="240"/>
      <c r="BG13" s="234"/>
      <c r="BH13" s="240"/>
      <c r="BI13" s="234"/>
      <c r="BJ13" s="240"/>
      <c r="BK13" s="234"/>
      <c r="BL13" s="240"/>
      <c r="BM13" s="234"/>
      <c r="BN13" s="240"/>
      <c r="BO13" s="234"/>
      <c r="BP13" s="240"/>
      <c r="BQ13" s="234"/>
      <c r="BR13" s="240"/>
      <c r="BS13" s="234"/>
      <c r="BT13" s="240"/>
      <c r="BU13" s="234"/>
      <c r="BV13" s="240"/>
      <c r="BW13" s="234"/>
      <c r="BX13" s="240"/>
      <c r="BY13" s="234"/>
      <c r="BZ13" s="240"/>
      <c r="CA13" s="234"/>
      <c r="CB13" s="240"/>
      <c r="CC13" s="234"/>
      <c r="CD13" s="240"/>
      <c r="CE13" s="234"/>
      <c r="CF13" s="240"/>
      <c r="CG13" s="234"/>
      <c r="CH13" s="240"/>
      <c r="CI13" s="234"/>
      <c r="CJ13" s="234"/>
      <c r="CK13" s="240"/>
      <c r="CL13" s="234"/>
      <c r="CM13" s="234"/>
      <c r="CN13" s="240"/>
      <c r="CO13" s="234"/>
      <c r="CP13" s="234"/>
      <c r="CQ13" s="240"/>
      <c r="CR13" s="234"/>
      <c r="CS13" s="234"/>
      <c r="CT13" s="240"/>
      <c r="CU13" s="234"/>
      <c r="CV13" s="235"/>
      <c r="CW13" s="240"/>
      <c r="CX13" s="234"/>
      <c r="CY13" s="436"/>
      <c r="CZ13" s="240"/>
      <c r="DA13" s="234"/>
      <c r="DB13" s="436"/>
      <c r="DC13" s="240"/>
      <c r="DD13" s="234"/>
      <c r="DE13" s="436"/>
      <c r="DF13" s="500"/>
      <c r="DG13" s="234"/>
      <c r="DH13" s="436"/>
      <c r="DI13" s="500"/>
      <c r="DJ13" s="234"/>
      <c r="DK13" s="436"/>
      <c r="DL13" s="500"/>
      <c r="DM13" s="234"/>
      <c r="DN13" s="436"/>
      <c r="DO13" s="500"/>
      <c r="DP13" s="234"/>
      <c r="DQ13" s="436"/>
      <c r="DR13" s="500"/>
      <c r="DS13" s="234"/>
      <c r="DT13" s="436"/>
      <c r="DU13" s="500"/>
      <c r="DV13" s="234"/>
      <c r="DW13" s="436"/>
      <c r="DX13" s="604"/>
      <c r="DY13" s="580"/>
      <c r="DZ13" s="580"/>
      <c r="EA13" s="604"/>
      <c r="EB13" s="580"/>
      <c r="EC13" s="580"/>
      <c r="ED13" s="604"/>
      <c r="EE13" s="580"/>
      <c r="EF13" s="580"/>
      <c r="EG13" s="240"/>
      <c r="EH13" s="234"/>
      <c r="EI13" s="436"/>
      <c r="EJ13" s="240"/>
      <c r="EK13" s="234"/>
      <c r="EL13" s="436"/>
      <c r="EM13" s="240"/>
      <c r="EN13" s="234"/>
      <c r="EO13" s="436"/>
      <c r="EP13" s="500"/>
      <c r="EQ13" s="234"/>
      <c r="ER13" s="436"/>
      <c r="ES13" s="500"/>
      <c r="ET13" s="234"/>
      <c r="EU13" s="436"/>
      <c r="EV13" s="500"/>
      <c r="EW13" s="234"/>
      <c r="EX13" s="436"/>
      <c r="EY13" s="500"/>
      <c r="EZ13" s="234"/>
      <c r="FA13" s="436"/>
      <c r="FB13" s="500"/>
      <c r="FC13" s="234"/>
      <c r="FD13" s="436"/>
      <c r="FE13" s="500"/>
      <c r="FF13" s="234"/>
      <c r="FG13" s="436"/>
      <c r="FH13" s="604"/>
      <c r="FI13" s="580"/>
      <c r="FJ13" s="580"/>
      <c r="FK13" s="604"/>
      <c r="FL13" s="580"/>
      <c r="FM13" s="580"/>
      <c r="FN13" s="604"/>
      <c r="FO13" s="580"/>
      <c r="FP13" s="580"/>
      <c r="FQ13" s="604"/>
      <c r="FR13" s="580"/>
      <c r="FS13" s="580"/>
      <c r="FT13" s="604"/>
      <c r="FU13" s="580"/>
      <c r="FV13" s="580"/>
      <c r="FW13" s="604"/>
      <c r="FX13" s="580"/>
      <c r="FY13" s="580"/>
      <c r="FZ13" s="604"/>
      <c r="GA13" s="580"/>
      <c r="GB13" s="580"/>
      <c r="GC13" s="604"/>
      <c r="GD13" s="580"/>
      <c r="GE13" s="604"/>
      <c r="GF13" s="580"/>
      <c r="GG13" s="604"/>
      <c r="GH13" s="580"/>
      <c r="GI13" s="604"/>
      <c r="GJ13" s="580"/>
      <c r="GK13" s="604"/>
      <c r="GL13" s="580"/>
      <c r="GM13" s="604"/>
      <c r="GN13" s="580"/>
      <c r="GO13" s="604"/>
      <c r="GP13" s="580"/>
      <c r="GQ13" s="604"/>
      <c r="GR13" s="580"/>
      <c r="GS13" s="580"/>
      <c r="GT13" s="604"/>
      <c r="GU13" s="580"/>
      <c r="GV13" s="580"/>
      <c r="GW13" s="1020"/>
      <c r="GX13" s="580"/>
      <c r="GY13" s="580"/>
      <c r="GZ13" s="1020"/>
      <c r="HA13" s="580"/>
      <c r="HB13" s="580"/>
      <c r="HC13" s="1020"/>
      <c r="HD13" s="580"/>
      <c r="HE13" s="580"/>
      <c r="HF13" s="1020"/>
      <c r="HG13" s="580"/>
      <c r="HH13" s="580"/>
      <c r="HI13" s="1020"/>
      <c r="HJ13" s="580"/>
      <c r="HK13" s="580"/>
      <c r="HL13" s="1020"/>
      <c r="HM13" s="580"/>
      <c r="HN13" s="580"/>
      <c r="HO13" s="604"/>
      <c r="HP13" s="580"/>
      <c r="HQ13" s="580"/>
      <c r="HR13" s="604"/>
      <c r="HS13" s="580"/>
      <c r="HT13" s="580"/>
      <c r="HU13" s="604"/>
      <c r="HV13" s="580"/>
      <c r="HW13" s="580"/>
      <c r="HX13" s="580"/>
      <c r="HY13" s="580"/>
      <c r="HZ13" s="580"/>
      <c r="IA13" s="604"/>
      <c r="IB13" s="580"/>
      <c r="IC13" s="241"/>
      <c r="ID13" s="241"/>
      <c r="IE13" s="241"/>
    </row>
    <row r="14" spans="1:260" ht="14.25" hidden="1" customHeight="1">
      <c r="A14" s="1011"/>
      <c r="B14" s="242" t="s">
        <v>446</v>
      </c>
      <c r="C14" s="230"/>
      <c r="E14" s="234"/>
      <c r="G14" s="233"/>
      <c r="H14" s="240"/>
      <c r="I14" s="233"/>
      <c r="J14" s="240"/>
      <c r="K14" s="233"/>
      <c r="L14" s="240"/>
      <c r="M14" s="233"/>
      <c r="N14" s="240"/>
      <c r="O14" s="233"/>
      <c r="P14" s="240"/>
      <c r="Q14" s="233"/>
      <c r="R14" s="240"/>
      <c r="S14" s="233"/>
      <c r="T14" s="240"/>
      <c r="U14" s="233"/>
      <c r="V14" s="240"/>
      <c r="W14" s="233"/>
      <c r="X14" s="240"/>
      <c r="Y14" s="233"/>
      <c r="Z14" s="240"/>
      <c r="AA14" s="233"/>
      <c r="AB14" s="240"/>
      <c r="AC14" s="233"/>
      <c r="AD14" s="240"/>
      <c r="AE14" s="233"/>
      <c r="AF14" s="240"/>
      <c r="AG14" s="233"/>
      <c r="AH14" s="240"/>
      <c r="AI14" s="233"/>
      <c r="AJ14" s="240"/>
      <c r="AK14" s="233"/>
      <c r="AL14" s="240"/>
      <c r="AM14" s="233"/>
      <c r="AN14" s="240"/>
      <c r="AO14" s="233"/>
      <c r="AP14" s="240"/>
      <c r="AQ14" s="233"/>
      <c r="AR14" s="240"/>
      <c r="AS14" s="233"/>
      <c r="AT14" s="240"/>
      <c r="AU14" s="233"/>
      <c r="AV14" s="240"/>
      <c r="AW14" s="233"/>
      <c r="AX14" s="240"/>
      <c r="AY14" s="233"/>
      <c r="AZ14" s="240"/>
      <c r="BA14" s="233"/>
      <c r="BB14" s="240"/>
      <c r="BC14" s="233"/>
      <c r="BD14" s="240"/>
      <c r="BE14" s="233"/>
      <c r="BF14" s="240"/>
      <c r="BG14" s="234"/>
      <c r="BH14" s="240"/>
      <c r="BI14" s="234"/>
      <c r="BJ14" s="240"/>
      <c r="BK14" s="234"/>
      <c r="BL14" s="240"/>
      <c r="BM14" s="234"/>
      <c r="BN14" s="240"/>
      <c r="BO14" s="234"/>
      <c r="BP14" s="240"/>
      <c r="BQ14" s="234"/>
      <c r="BR14" s="240"/>
      <c r="BS14" s="234"/>
      <c r="BT14" s="240"/>
      <c r="BU14" s="234"/>
      <c r="BV14" s="240"/>
      <c r="BW14" s="234"/>
      <c r="BX14" s="240"/>
      <c r="BY14" s="234"/>
      <c r="BZ14" s="240"/>
      <c r="CA14" s="234"/>
      <c r="CB14" s="240"/>
      <c r="CC14" s="234"/>
      <c r="CD14" s="240"/>
      <c r="CE14" s="234"/>
      <c r="CF14" s="240"/>
      <c r="CG14" s="234"/>
      <c r="CH14" s="240"/>
      <c r="CI14" s="234"/>
      <c r="CJ14" s="234"/>
      <c r="CK14" s="240"/>
      <c r="CL14" s="234"/>
      <c r="CM14" s="234"/>
      <c r="CN14" s="240"/>
      <c r="CO14" s="234"/>
      <c r="CP14" s="234"/>
      <c r="CQ14" s="240"/>
      <c r="CR14" s="234"/>
      <c r="CS14" s="234"/>
      <c r="CT14" s="240"/>
      <c r="CU14" s="234"/>
      <c r="CV14" s="235"/>
      <c r="CW14" s="240"/>
      <c r="CX14" s="234"/>
      <c r="CY14" s="436"/>
      <c r="CZ14" s="240"/>
      <c r="DA14" s="234"/>
      <c r="DB14" s="436"/>
      <c r="DC14" s="240"/>
      <c r="DD14" s="234"/>
      <c r="DE14" s="436"/>
      <c r="DF14" s="500"/>
      <c r="DG14" s="234"/>
      <c r="DH14" s="436"/>
      <c r="DI14" s="500"/>
      <c r="DJ14" s="234"/>
      <c r="DK14" s="436"/>
      <c r="DL14" s="500"/>
      <c r="DM14" s="234"/>
      <c r="DN14" s="436"/>
      <c r="DO14" s="500"/>
      <c r="DP14" s="234"/>
      <c r="DQ14" s="436"/>
      <c r="DR14" s="500"/>
      <c r="DS14" s="234"/>
      <c r="DT14" s="436"/>
      <c r="DU14" s="500"/>
      <c r="DV14" s="234"/>
      <c r="DW14" s="436"/>
      <c r="DX14" s="604"/>
      <c r="DY14" s="580"/>
      <c r="DZ14" s="580"/>
      <c r="EA14" s="604"/>
      <c r="EB14" s="580"/>
      <c r="EC14" s="580"/>
      <c r="ED14" s="604"/>
      <c r="EE14" s="580"/>
      <c r="EF14" s="580"/>
      <c r="EG14" s="240"/>
      <c r="EH14" s="234"/>
      <c r="EI14" s="436"/>
      <c r="EJ14" s="240"/>
      <c r="EK14" s="234"/>
      <c r="EL14" s="436"/>
      <c r="EM14" s="240"/>
      <c r="EN14" s="234"/>
      <c r="EO14" s="436"/>
      <c r="EP14" s="500"/>
      <c r="EQ14" s="234"/>
      <c r="ER14" s="436"/>
      <c r="ES14" s="500"/>
      <c r="ET14" s="234"/>
      <c r="EU14" s="436"/>
      <c r="EV14" s="500"/>
      <c r="EW14" s="234"/>
      <c r="EX14" s="436"/>
      <c r="EY14" s="500"/>
      <c r="EZ14" s="234"/>
      <c r="FA14" s="436"/>
      <c r="FB14" s="500"/>
      <c r="FC14" s="234"/>
      <c r="FD14" s="436"/>
      <c r="FE14" s="500"/>
      <c r="FF14" s="234"/>
      <c r="FG14" s="436"/>
      <c r="FH14" s="604"/>
      <c r="FI14" s="580"/>
      <c r="FJ14" s="580"/>
      <c r="FK14" s="604"/>
      <c r="FL14" s="580"/>
      <c r="FM14" s="580"/>
      <c r="FN14" s="604"/>
      <c r="FO14" s="580"/>
      <c r="FP14" s="580"/>
      <c r="FQ14" s="604"/>
      <c r="FR14" s="580"/>
      <c r="FS14" s="580"/>
      <c r="FT14" s="604"/>
      <c r="FU14" s="580"/>
      <c r="FV14" s="580"/>
      <c r="FW14" s="604"/>
      <c r="FX14" s="580"/>
      <c r="FY14" s="580"/>
      <c r="FZ14" s="604"/>
      <c r="GA14" s="580"/>
      <c r="GB14" s="580"/>
      <c r="GC14" s="604"/>
      <c r="GD14" s="580"/>
      <c r="GE14" s="604"/>
      <c r="GF14" s="580"/>
      <c r="GG14" s="604"/>
      <c r="GH14" s="580"/>
      <c r="GI14" s="604"/>
      <c r="GJ14" s="580"/>
      <c r="GK14" s="604"/>
      <c r="GL14" s="580"/>
      <c r="GM14" s="604"/>
      <c r="GN14" s="580"/>
      <c r="GO14" s="604"/>
      <c r="GP14" s="580"/>
      <c r="GQ14" s="604"/>
      <c r="GR14" s="580"/>
      <c r="GS14" s="580"/>
      <c r="GT14" s="604"/>
      <c r="GU14" s="580"/>
      <c r="GV14" s="580"/>
      <c r="GW14" s="1020"/>
      <c r="GX14" s="580"/>
      <c r="GY14" s="580"/>
      <c r="GZ14" s="1020"/>
      <c r="HA14" s="580"/>
      <c r="HB14" s="580"/>
      <c r="HC14" s="1020"/>
      <c r="HD14" s="580"/>
      <c r="HE14" s="580"/>
      <c r="HF14" s="1020"/>
      <c r="HG14" s="580"/>
      <c r="HH14" s="580"/>
      <c r="HI14" s="1020"/>
      <c r="HJ14" s="580"/>
      <c r="HK14" s="580"/>
      <c r="HL14" s="1020"/>
      <c r="HM14" s="580"/>
      <c r="HN14" s="580"/>
      <c r="HO14" s="604"/>
      <c r="HP14" s="580"/>
      <c r="HQ14" s="580"/>
      <c r="HR14" s="604"/>
      <c r="HS14" s="580"/>
      <c r="HT14" s="580"/>
      <c r="HU14" s="604"/>
      <c r="HV14" s="580"/>
      <c r="HW14" s="580"/>
      <c r="HX14" s="580"/>
      <c r="HY14" s="580"/>
      <c r="HZ14" s="580"/>
      <c r="IA14" s="604"/>
      <c r="IB14" s="580"/>
      <c r="IC14" s="241"/>
      <c r="ID14" s="241"/>
      <c r="IE14" s="241"/>
    </row>
    <row r="15" spans="1:260" ht="14.25" hidden="1" customHeight="1">
      <c r="A15" s="1011"/>
      <c r="B15" s="242" t="s">
        <v>447</v>
      </c>
      <c r="C15" s="230"/>
      <c r="E15" s="234"/>
      <c r="G15" s="233"/>
      <c r="H15" s="240"/>
      <c r="I15" s="233"/>
      <c r="J15" s="240"/>
      <c r="K15" s="233"/>
      <c r="L15" s="240"/>
      <c r="M15" s="233"/>
      <c r="N15" s="240"/>
      <c r="O15" s="233"/>
      <c r="P15" s="240"/>
      <c r="Q15" s="233"/>
      <c r="R15" s="240"/>
      <c r="S15" s="233"/>
      <c r="T15" s="240"/>
      <c r="U15" s="233"/>
      <c r="V15" s="240"/>
      <c r="W15" s="233"/>
      <c r="X15" s="240"/>
      <c r="Y15" s="233"/>
      <c r="Z15" s="240"/>
      <c r="AA15" s="233"/>
      <c r="AB15" s="240"/>
      <c r="AC15" s="233"/>
      <c r="AD15" s="240"/>
      <c r="AE15" s="233"/>
      <c r="AF15" s="240"/>
      <c r="AG15" s="233"/>
      <c r="AH15" s="240"/>
      <c r="AI15" s="233"/>
      <c r="AJ15" s="240"/>
      <c r="AK15" s="233"/>
      <c r="AL15" s="240"/>
      <c r="AM15" s="233"/>
      <c r="AN15" s="240"/>
      <c r="AO15" s="233"/>
      <c r="AP15" s="240"/>
      <c r="AQ15" s="233"/>
      <c r="AR15" s="240"/>
      <c r="AS15" s="233"/>
      <c r="AT15" s="240"/>
      <c r="AU15" s="233"/>
      <c r="AV15" s="240"/>
      <c r="AW15" s="233"/>
      <c r="AX15" s="240"/>
      <c r="AY15" s="233"/>
      <c r="AZ15" s="240"/>
      <c r="BA15" s="233"/>
      <c r="BB15" s="240"/>
      <c r="BC15" s="233"/>
      <c r="BD15" s="240"/>
      <c r="BE15" s="233"/>
      <c r="BF15" s="240"/>
      <c r="BG15" s="234"/>
      <c r="BH15" s="240"/>
      <c r="BI15" s="234"/>
      <c r="BJ15" s="240"/>
      <c r="BK15" s="234"/>
      <c r="BL15" s="240"/>
      <c r="BM15" s="234"/>
      <c r="BN15" s="240"/>
      <c r="BO15" s="234"/>
      <c r="BP15" s="240"/>
      <c r="BQ15" s="234"/>
      <c r="BR15" s="240"/>
      <c r="BS15" s="234"/>
      <c r="BT15" s="240"/>
      <c r="BU15" s="234"/>
      <c r="BV15" s="240"/>
      <c r="BW15" s="234"/>
      <c r="BX15" s="240"/>
      <c r="BY15" s="234"/>
      <c r="BZ15" s="240"/>
      <c r="CA15" s="234"/>
      <c r="CB15" s="240"/>
      <c r="CC15" s="234"/>
      <c r="CD15" s="240"/>
      <c r="CE15" s="234"/>
      <c r="CF15" s="240"/>
      <c r="CG15" s="234"/>
      <c r="CH15" s="240"/>
      <c r="CI15" s="234"/>
      <c r="CJ15" s="234"/>
      <c r="CK15" s="240"/>
      <c r="CL15" s="234"/>
      <c r="CM15" s="234"/>
      <c r="CN15" s="240"/>
      <c r="CO15" s="234"/>
      <c r="CP15" s="234"/>
      <c r="CQ15" s="240"/>
      <c r="CR15" s="234"/>
      <c r="CS15" s="234"/>
      <c r="CT15" s="240"/>
      <c r="CU15" s="234"/>
      <c r="CV15" s="235"/>
      <c r="CW15" s="240"/>
      <c r="CX15" s="234"/>
      <c r="CY15" s="436"/>
      <c r="CZ15" s="240"/>
      <c r="DA15" s="234"/>
      <c r="DB15" s="436"/>
      <c r="DC15" s="240"/>
      <c r="DD15" s="234"/>
      <c r="DE15" s="436"/>
      <c r="DF15" s="500"/>
      <c r="DG15" s="234"/>
      <c r="DH15" s="436"/>
      <c r="DI15" s="500"/>
      <c r="DJ15" s="234"/>
      <c r="DK15" s="436"/>
      <c r="DL15" s="500"/>
      <c r="DM15" s="234"/>
      <c r="DN15" s="436"/>
      <c r="DO15" s="500"/>
      <c r="DP15" s="234"/>
      <c r="DQ15" s="436"/>
      <c r="DR15" s="500"/>
      <c r="DS15" s="234"/>
      <c r="DT15" s="436"/>
      <c r="DU15" s="500"/>
      <c r="DV15" s="234"/>
      <c r="DW15" s="436"/>
      <c r="DX15" s="604"/>
      <c r="DY15" s="580"/>
      <c r="DZ15" s="580"/>
      <c r="EA15" s="604"/>
      <c r="EB15" s="580"/>
      <c r="EC15" s="580"/>
      <c r="ED15" s="604"/>
      <c r="EE15" s="580"/>
      <c r="EF15" s="580"/>
      <c r="EG15" s="240"/>
      <c r="EH15" s="234"/>
      <c r="EI15" s="436"/>
      <c r="EJ15" s="240"/>
      <c r="EK15" s="234"/>
      <c r="EL15" s="436"/>
      <c r="EM15" s="240"/>
      <c r="EN15" s="234"/>
      <c r="EO15" s="436"/>
      <c r="EP15" s="500"/>
      <c r="EQ15" s="234"/>
      <c r="ER15" s="436"/>
      <c r="ES15" s="500"/>
      <c r="ET15" s="234"/>
      <c r="EU15" s="436"/>
      <c r="EV15" s="500"/>
      <c r="EW15" s="234"/>
      <c r="EX15" s="436"/>
      <c r="EY15" s="500"/>
      <c r="EZ15" s="234"/>
      <c r="FA15" s="436"/>
      <c r="FB15" s="500"/>
      <c r="FC15" s="234"/>
      <c r="FD15" s="436"/>
      <c r="FE15" s="500"/>
      <c r="FF15" s="234"/>
      <c r="FG15" s="436"/>
      <c r="FH15" s="604"/>
      <c r="FI15" s="580"/>
      <c r="FJ15" s="580"/>
      <c r="FK15" s="604"/>
      <c r="FL15" s="580"/>
      <c r="FM15" s="580"/>
      <c r="FN15" s="604"/>
      <c r="FO15" s="580"/>
      <c r="FP15" s="580"/>
      <c r="FQ15" s="604"/>
      <c r="FR15" s="580"/>
      <c r="FS15" s="580"/>
      <c r="FT15" s="604"/>
      <c r="FU15" s="580"/>
      <c r="FV15" s="580"/>
      <c r="FW15" s="604"/>
      <c r="FX15" s="580"/>
      <c r="FY15" s="580"/>
      <c r="FZ15" s="604"/>
      <c r="GA15" s="580"/>
      <c r="GB15" s="580"/>
      <c r="GC15" s="604"/>
      <c r="GD15" s="580"/>
      <c r="GE15" s="604"/>
      <c r="GF15" s="580"/>
      <c r="GG15" s="604"/>
      <c r="GH15" s="580"/>
      <c r="GI15" s="604"/>
      <c r="GJ15" s="580"/>
      <c r="GK15" s="604"/>
      <c r="GL15" s="580"/>
      <c r="GM15" s="604"/>
      <c r="GN15" s="580"/>
      <c r="GO15" s="604"/>
      <c r="GP15" s="580"/>
      <c r="GQ15" s="604"/>
      <c r="GR15" s="580"/>
      <c r="GS15" s="580"/>
      <c r="GT15" s="604"/>
      <c r="GU15" s="580"/>
      <c r="GV15" s="580"/>
      <c r="GW15" s="1020"/>
      <c r="GX15" s="580"/>
      <c r="GY15" s="580"/>
      <c r="GZ15" s="1020"/>
      <c r="HA15" s="580"/>
      <c r="HB15" s="580"/>
      <c r="HC15" s="1020"/>
      <c r="HD15" s="580"/>
      <c r="HE15" s="580"/>
      <c r="HF15" s="1020"/>
      <c r="HG15" s="580"/>
      <c r="HH15" s="580"/>
      <c r="HI15" s="1020"/>
      <c r="HJ15" s="580"/>
      <c r="HK15" s="580"/>
      <c r="HL15" s="1020"/>
      <c r="HM15" s="580"/>
      <c r="HN15" s="580"/>
      <c r="HO15" s="604"/>
      <c r="HP15" s="580"/>
      <c r="HQ15" s="580"/>
      <c r="HR15" s="604"/>
      <c r="HS15" s="580"/>
      <c r="HT15" s="580"/>
      <c r="HU15" s="604"/>
      <c r="HV15" s="580"/>
      <c r="HW15" s="580"/>
      <c r="HX15" s="580"/>
      <c r="HY15" s="580"/>
      <c r="HZ15" s="580"/>
      <c r="IA15" s="604"/>
      <c r="IB15" s="580"/>
      <c r="IC15" s="241"/>
      <c r="ID15" s="241"/>
      <c r="IE15" s="241"/>
    </row>
    <row r="17" spans="1:265" ht="14.25" customHeight="1">
      <c r="B17" s="212" t="s">
        <v>448</v>
      </c>
      <c r="E17" s="234"/>
      <c r="G17" s="233"/>
      <c r="H17" s="240"/>
      <c r="I17" s="233"/>
      <c r="J17" s="240"/>
      <c r="K17" s="233"/>
      <c r="L17" s="240"/>
      <c r="M17" s="233"/>
      <c r="N17" s="240"/>
      <c r="O17" s="233"/>
      <c r="P17" s="240"/>
      <c r="Q17" s="233"/>
      <c r="R17" s="240"/>
      <c r="S17" s="233"/>
      <c r="T17" s="240"/>
      <c r="U17" s="233"/>
      <c r="V17" s="240"/>
      <c r="W17" s="233"/>
      <c r="X17" s="240"/>
      <c r="Y17" s="233"/>
      <c r="Z17" s="240"/>
      <c r="AA17" s="233"/>
      <c r="AB17" s="240"/>
      <c r="AC17" s="233"/>
      <c r="AD17" s="240"/>
      <c r="AE17" s="233"/>
      <c r="AF17" s="240"/>
      <c r="AG17" s="233"/>
      <c r="AH17" s="240"/>
      <c r="AI17" s="233"/>
      <c r="AJ17" s="240"/>
      <c r="AK17" s="233"/>
      <c r="AL17" s="240"/>
      <c r="AM17" s="233"/>
      <c r="AN17" s="240"/>
      <c r="AO17" s="233"/>
      <c r="AP17" s="240"/>
      <c r="AQ17" s="233"/>
      <c r="AR17" s="240"/>
      <c r="AS17" s="233"/>
      <c r="AT17" s="240"/>
      <c r="AU17" s="233"/>
      <c r="AV17" s="240"/>
      <c r="AW17" s="233"/>
      <c r="AX17" s="240"/>
      <c r="AY17" s="233"/>
      <c r="AZ17" s="240"/>
      <c r="BA17" s="233"/>
      <c r="BB17" s="240"/>
      <c r="BC17" s="233"/>
      <c r="BD17" s="240"/>
      <c r="BE17" s="233"/>
      <c r="BF17" s="240"/>
      <c r="BG17" s="234"/>
      <c r="BH17" s="240"/>
      <c r="BI17" s="234"/>
      <c r="BJ17" s="240"/>
      <c r="BK17" s="234"/>
      <c r="BL17" s="240"/>
      <c r="BM17" s="234"/>
      <c r="BN17" s="240"/>
      <c r="BO17" s="234"/>
      <c r="BP17" s="240"/>
      <c r="BQ17" s="234"/>
      <c r="BR17" s="240"/>
      <c r="BS17" s="234"/>
      <c r="BT17" s="240"/>
      <c r="BU17" s="234"/>
      <c r="BV17" s="240"/>
      <c r="BW17" s="234"/>
      <c r="BX17" s="240"/>
      <c r="BY17" s="234"/>
      <c r="BZ17" s="240"/>
      <c r="CA17" s="234"/>
      <c r="CB17" s="240"/>
      <c r="CC17" s="234"/>
      <c r="CD17" s="240"/>
      <c r="CE17" s="234"/>
      <c r="CF17" s="240"/>
      <c r="CG17" s="234"/>
      <c r="CH17" s="240"/>
      <c r="CI17" s="234"/>
      <c r="CJ17" s="234"/>
      <c r="CK17" s="240"/>
      <c r="CL17" s="234"/>
      <c r="CM17" s="234"/>
      <c r="CN17" s="240"/>
      <c r="CO17" s="234"/>
      <c r="CP17" s="234"/>
      <c r="CQ17" s="240"/>
      <c r="CR17" s="234"/>
      <c r="CS17" s="234"/>
      <c r="CT17" s="240"/>
      <c r="CU17" s="234"/>
      <c r="CV17" s="235"/>
      <c r="CW17" s="240"/>
      <c r="CX17" s="234"/>
      <c r="CY17" s="436"/>
      <c r="CZ17" s="240"/>
      <c r="DA17" s="234"/>
      <c r="DB17" s="436"/>
      <c r="DC17" s="240"/>
      <c r="DD17" s="234"/>
      <c r="DE17" s="436"/>
      <c r="DF17" s="500"/>
      <c r="DG17" s="234"/>
      <c r="DH17" s="436"/>
      <c r="DI17" s="500"/>
      <c r="DJ17" s="234"/>
      <c r="DK17" s="436"/>
      <c r="DL17" s="500"/>
      <c r="DM17" s="234"/>
      <c r="DN17" s="436"/>
      <c r="DO17" s="500"/>
      <c r="DP17" s="234"/>
      <c r="DQ17" s="436"/>
      <c r="DR17" s="500"/>
      <c r="DS17" s="234"/>
      <c r="DT17" s="436"/>
      <c r="DU17" s="500"/>
      <c r="DV17" s="234"/>
      <c r="DW17" s="436"/>
      <c r="DX17" s="604"/>
      <c r="DY17" s="580"/>
      <c r="DZ17" s="580"/>
      <c r="EA17" s="604"/>
      <c r="EB17" s="580"/>
      <c r="EC17" s="580"/>
      <c r="ED17" s="604"/>
      <c r="EE17" s="580"/>
      <c r="EF17" s="580"/>
      <c r="EG17" s="240"/>
      <c r="EH17" s="234"/>
      <c r="EI17" s="436"/>
      <c r="EJ17" s="240"/>
      <c r="EK17" s="234"/>
      <c r="EL17" s="436"/>
      <c r="EM17" s="240"/>
      <c r="EN17" s="234"/>
      <c r="EO17" s="436"/>
      <c r="EP17" s="500"/>
      <c r="EQ17" s="234"/>
      <c r="ER17" s="436"/>
      <c r="ES17" s="500"/>
      <c r="ET17" s="234"/>
      <c r="EU17" s="436"/>
      <c r="EV17" s="500"/>
      <c r="EW17" s="234"/>
      <c r="EX17" s="436"/>
      <c r="EY17" s="500"/>
      <c r="EZ17" s="234"/>
      <c r="FA17" s="436"/>
      <c r="FB17" s="500"/>
      <c r="FC17" s="234"/>
      <c r="FD17" s="436"/>
      <c r="FE17" s="500"/>
      <c r="FF17" s="234"/>
      <c r="FG17" s="436"/>
      <c r="FH17" s="604"/>
      <c r="FI17" s="580"/>
      <c r="FJ17" s="580"/>
      <c r="FK17" s="604"/>
      <c r="FL17" s="580"/>
      <c r="FM17" s="580"/>
      <c r="FN17" s="604"/>
      <c r="FO17" s="580"/>
      <c r="FP17" s="580"/>
      <c r="FQ17" s="604"/>
      <c r="FR17" s="580"/>
      <c r="FS17" s="580"/>
      <c r="FT17" s="604"/>
      <c r="FU17" s="580"/>
      <c r="FV17" s="580"/>
      <c r="FW17" s="604"/>
      <c r="FX17" s="580"/>
      <c r="FY17" s="580"/>
      <c r="FZ17" s="604"/>
      <c r="GA17" s="580"/>
      <c r="GB17" s="580"/>
      <c r="GC17" s="604"/>
      <c r="GD17" s="580"/>
      <c r="GE17" s="604"/>
      <c r="GF17" s="580"/>
      <c r="GG17" s="604"/>
      <c r="GH17" s="580"/>
      <c r="GI17" s="604"/>
      <c r="GJ17" s="580"/>
      <c r="GK17" s="604"/>
      <c r="GL17" s="580"/>
      <c r="GM17" s="604"/>
      <c r="GN17" s="580"/>
      <c r="GO17" s="604"/>
      <c r="GP17" s="580"/>
      <c r="GQ17" s="604"/>
      <c r="GR17" s="580"/>
      <c r="GS17" s="580"/>
      <c r="GT17" s="604"/>
      <c r="GU17" s="580"/>
      <c r="GV17" s="580"/>
      <c r="GW17" s="1020"/>
      <c r="GX17" s="580"/>
      <c r="GY17" s="580"/>
      <c r="GZ17" s="1020"/>
      <c r="HA17" s="580"/>
      <c r="HB17" s="580"/>
      <c r="HC17" s="1020"/>
      <c r="HD17" s="580"/>
      <c r="HE17" s="580"/>
      <c r="HF17" s="1020"/>
      <c r="HG17" s="580"/>
      <c r="HH17" s="580"/>
      <c r="HI17" s="1020"/>
      <c r="HJ17" s="580"/>
      <c r="HK17" s="580"/>
      <c r="HL17" s="1020"/>
      <c r="HM17" s="580"/>
      <c r="HN17" s="580"/>
      <c r="HO17" s="604"/>
      <c r="HP17" s="580"/>
      <c r="HQ17" s="580"/>
      <c r="HR17" s="604"/>
      <c r="HS17" s="580"/>
      <c r="HT17" s="580"/>
      <c r="HU17" s="604"/>
      <c r="HV17" s="580"/>
      <c r="HW17" s="580"/>
      <c r="HX17" s="580"/>
      <c r="HY17" s="580"/>
      <c r="HZ17" s="580"/>
      <c r="IA17" s="604"/>
      <c r="IB17" s="580"/>
      <c r="IC17" s="241"/>
      <c r="ID17" s="241"/>
      <c r="IE17" s="241"/>
    </row>
    <row r="18" spans="1:265" ht="15" hidden="1" customHeight="1" outlineLevel="1">
      <c r="A18" s="243">
        <v>3</v>
      </c>
      <c r="B18" s="242" t="s">
        <v>450</v>
      </c>
      <c r="E18" s="234"/>
      <c r="G18" s="233"/>
      <c r="H18" s="240"/>
      <c r="I18" s="233"/>
      <c r="J18" s="240"/>
      <c r="K18" s="233"/>
      <c r="L18" s="240"/>
      <c r="M18" s="233"/>
      <c r="N18" s="240"/>
      <c r="O18" s="233"/>
      <c r="P18" s="240"/>
      <c r="Q18" s="233"/>
      <c r="R18" s="240"/>
      <c r="S18" s="233"/>
      <c r="T18" s="240"/>
      <c r="U18" s="233"/>
      <c r="V18" s="240"/>
      <c r="W18" s="233"/>
      <c r="X18" s="240"/>
      <c r="Y18" s="233"/>
      <c r="Z18" s="240"/>
      <c r="AA18" s="233"/>
      <c r="AB18" s="240"/>
      <c r="AC18" s="233"/>
      <c r="AD18" s="240"/>
      <c r="AE18" s="233"/>
      <c r="AF18" s="240"/>
      <c r="AG18" s="233"/>
      <c r="AH18" s="240"/>
      <c r="AI18" s="233"/>
      <c r="AJ18" s="240"/>
      <c r="AK18" s="233"/>
      <c r="AL18" s="240"/>
      <c r="AM18" s="233"/>
      <c r="AN18" s="240"/>
      <c r="AO18" s="233"/>
      <c r="AP18" s="240"/>
      <c r="AQ18" s="233"/>
      <c r="AR18" s="240"/>
      <c r="AS18" s="233"/>
      <c r="AT18" s="240"/>
      <c r="AU18" s="233"/>
      <c r="AV18" s="240"/>
      <c r="AW18" s="233"/>
      <c r="AX18" s="240"/>
      <c r="AY18" s="233"/>
      <c r="AZ18" s="240"/>
      <c r="BA18" s="233"/>
      <c r="BB18" s="244">
        <v>709859.52</v>
      </c>
      <c r="BC18" s="245">
        <f>+BB18/$BB$37</f>
        <v>4.5948115333662842E-3</v>
      </c>
      <c r="BD18" s="244">
        <f>579861.05</f>
        <v>579861.05000000005</v>
      </c>
      <c r="BE18" s="245">
        <f>+BD18/$BD$37</f>
        <v>3.9144408874651603E-3</v>
      </c>
      <c r="BF18" s="246">
        <v>567361.99</v>
      </c>
      <c r="BG18" s="245">
        <f>+BF18/$BF$37</f>
        <v>3.7422607406742267E-3</v>
      </c>
      <c r="BH18" s="246">
        <v>278728.96999999997</v>
      </c>
      <c r="BI18" s="245">
        <f>+BH18/$BH$37</f>
        <v>1.7877874300911583E-3</v>
      </c>
      <c r="BJ18" s="246">
        <v>1521483.33</v>
      </c>
      <c r="BK18" s="245">
        <f>+BJ18/$BJ$37</f>
        <v>9.1777583568304708E-3</v>
      </c>
      <c r="BL18" s="246">
        <v>3583287.5500000003</v>
      </c>
      <c r="BM18" s="245">
        <f>+BL18/$BL$37</f>
        <v>1.9129427760023094E-2</v>
      </c>
      <c r="BN18" s="246">
        <v>1161947.4099999999</v>
      </c>
      <c r="BO18" s="245">
        <f>+BN18/BN$37</f>
        <v>6.2789519254226513E-3</v>
      </c>
      <c r="BP18" s="246">
        <v>2557052.5999999996</v>
      </c>
      <c r="BQ18" s="245">
        <f>+BP18/BP$37</f>
        <v>1.3457605927438433E-2</v>
      </c>
      <c r="BR18" s="246">
        <v>1952047.2900000005</v>
      </c>
      <c r="BS18" s="245">
        <f>+BR18/BR$37</f>
        <v>9.4282517130956957E-3</v>
      </c>
      <c r="BT18" s="246">
        <v>2470052.0399999996</v>
      </c>
      <c r="BU18" s="245">
        <f>+BT18/BT$37</f>
        <v>1.0740694985313366E-2</v>
      </c>
      <c r="BV18" s="244">
        <v>1416750.32</v>
      </c>
      <c r="BW18" s="245">
        <f>+BV18/BV$37</f>
        <v>5.999947099684288E-3</v>
      </c>
      <c r="BX18" s="244">
        <v>2320417.0699999998</v>
      </c>
      <c r="BY18" s="245">
        <f>+BX18/BX$37</f>
        <v>8.8779080452380671E-3</v>
      </c>
      <c r="BZ18" s="244">
        <v>3841101.91</v>
      </c>
      <c r="CA18" s="245">
        <f>+BZ18/BZ$37</f>
        <v>1.4110627674979396E-2</v>
      </c>
      <c r="CB18" s="244">
        <v>3587527.1099999994</v>
      </c>
      <c r="CC18" s="245">
        <f>+CB18/CB$37</f>
        <v>1.2750158633867088E-2</v>
      </c>
      <c r="CD18" s="244">
        <v>1433208.29</v>
      </c>
      <c r="CE18" s="245">
        <f>+CD18/CD$37</f>
        <v>4.5829455747293151E-3</v>
      </c>
      <c r="CF18" s="244">
        <v>1804779.6900000002</v>
      </c>
      <c r="CG18" s="245">
        <f>+CF18/CF$37</f>
        <v>5.309889927064439E-3</v>
      </c>
      <c r="CH18" s="244">
        <v>2613998.6799999997</v>
      </c>
      <c r="CI18" s="245">
        <f>+CH18/CH$37</f>
        <v>7.1330204101804481E-3</v>
      </c>
      <c r="CJ18" s="245"/>
      <c r="CK18" s="244">
        <v>4200035.22</v>
      </c>
      <c r="CL18" s="245">
        <f>+CK18/CK$37</f>
        <v>1.0413094844965122E-2</v>
      </c>
      <c r="CM18" s="279"/>
      <c r="CN18" s="244">
        <v>4376777.16</v>
      </c>
      <c r="CO18" s="245">
        <f>+CN18/CN$37</f>
        <v>1.0988670160801794E-2</v>
      </c>
      <c r="CP18" s="279"/>
      <c r="CQ18" s="244">
        <f>1115153.9+52945+145665</f>
        <v>1313763.8999999999</v>
      </c>
      <c r="CR18" s="245">
        <f>+CQ18/CQ$37</f>
        <v>3.2395928008313833E-3</v>
      </c>
      <c r="CS18" s="279"/>
      <c r="CT18" s="244">
        <f>1432833.38+140665</f>
        <v>1573498.38</v>
      </c>
      <c r="CU18" s="245">
        <f>+CT18/CT$37</f>
        <v>3.551284786882073E-3</v>
      </c>
      <c r="CV18" s="235"/>
      <c r="CW18" s="244">
        <f>2120633.35+140665.34</f>
        <v>2261298.69</v>
      </c>
      <c r="CX18" s="245">
        <f>+CW18/CW$37</f>
        <v>4.9144179728270272E-3</v>
      </c>
      <c r="CY18" s="439"/>
      <c r="CZ18" s="244">
        <v>1416133.29</v>
      </c>
      <c r="DA18" s="245">
        <f>+CZ18/CZ$37</f>
        <v>2.9866154948269999E-3</v>
      </c>
      <c r="DB18" s="439"/>
      <c r="DC18" s="244">
        <v>528516.61999999988</v>
      </c>
      <c r="DD18" s="245">
        <f>+DC18/DC$37</f>
        <v>1.0543123522849974E-3</v>
      </c>
      <c r="DE18" s="439"/>
      <c r="DF18" s="244">
        <v>3254349</v>
      </c>
      <c r="DG18" s="245">
        <f>+DF18/DF$37</f>
        <v>6.0910647200311478E-3</v>
      </c>
      <c r="DH18" s="438"/>
      <c r="DI18" s="244">
        <v>2215350.0299999998</v>
      </c>
      <c r="DJ18" s="245">
        <f>+DI18/DI$37</f>
        <v>3.9960504170638783E-3</v>
      </c>
      <c r="DK18" s="439"/>
      <c r="DL18" s="244">
        <v>5804582</v>
      </c>
      <c r="DM18" s="245">
        <f>+DL18/DL$37</f>
        <v>1.0058535021683454E-2</v>
      </c>
      <c r="DN18" s="438"/>
      <c r="DO18" s="244">
        <v>5872144.8300000001</v>
      </c>
      <c r="DP18" s="245">
        <f>+DO18/DO$37</f>
        <v>9.6003917524774881E-3</v>
      </c>
      <c r="DQ18" s="439"/>
      <c r="DR18" s="244">
        <v>4496156.4299999988</v>
      </c>
      <c r="DS18" s="245">
        <f>+DR18/DR$37</f>
        <v>7.2226482485279551E-3</v>
      </c>
      <c r="DT18" s="438"/>
      <c r="DU18" s="244">
        <v>2696284.5900000003</v>
      </c>
      <c r="DV18" s="245">
        <f>+DU18/DU$37</f>
        <v>3.9213077554075652E-3</v>
      </c>
      <c r="DW18" s="438"/>
      <c r="DX18" s="244">
        <v>735900.00000000012</v>
      </c>
      <c r="DY18" s="325">
        <f>+DX18/DX$37</f>
        <v>1.0965564454885172E-3</v>
      </c>
      <c r="DZ18" s="440"/>
      <c r="EA18" s="244">
        <v>771233.3200000003</v>
      </c>
      <c r="EB18" s="325">
        <f>+EA18/EA$37</f>
        <v>1.1030994464582349E-3</v>
      </c>
      <c r="EC18" s="440"/>
      <c r="ED18" s="244">
        <v>661233.33000000019</v>
      </c>
      <c r="EE18" s="325">
        <f>+ED18/ED$37</f>
        <v>8.9354100804812638E-4</v>
      </c>
      <c r="EF18" s="440"/>
      <c r="EG18" s="244">
        <v>230032.98000000027</v>
      </c>
      <c r="EH18" s="245">
        <f>+EG18/EG$37</f>
        <v>2.8773941188257207E-4</v>
      </c>
      <c r="EI18" s="439"/>
      <c r="EJ18" s="244">
        <v>123366.65</v>
      </c>
      <c r="EK18" s="245">
        <f>+EJ18/EJ$37</f>
        <v>1.4693156091795186E-4</v>
      </c>
      <c r="EL18" s="439"/>
      <c r="EM18" s="244">
        <v>20366.670000000002</v>
      </c>
      <c r="EN18" s="245">
        <f>+EM18/EM$37</f>
        <v>2.2864733947742188E-5</v>
      </c>
      <c r="EO18" s="439"/>
      <c r="EP18" s="244">
        <v>142399.68000000046</v>
      </c>
      <c r="EQ18" s="245">
        <f>+EP18/EP$37</f>
        <v>1.5045842947430872E-4</v>
      </c>
      <c r="ER18" s="438"/>
      <c r="ES18" s="244">
        <v>80900</v>
      </c>
      <c r="ET18" s="245">
        <f>+ES18/ES$37</f>
        <v>8.1286761085081602E-5</v>
      </c>
      <c r="EU18" s="439"/>
      <c r="EV18" s="244">
        <v>27567</v>
      </c>
      <c r="EW18" s="245">
        <f>+EV18/EV$37</f>
        <v>2.5522921760410872E-5</v>
      </c>
      <c r="EX18" s="438"/>
      <c r="EY18" s="244">
        <v>900</v>
      </c>
      <c r="EZ18" s="245">
        <f>+EY18/EY$37</f>
        <v>7.9261235865697716E-7</v>
      </c>
      <c r="FA18" s="439"/>
      <c r="FB18" s="244">
        <v>900</v>
      </c>
      <c r="FC18" s="245">
        <f>+FB18/FB$37</f>
        <v>7.4803623964841911E-7</v>
      </c>
      <c r="FD18" s="438"/>
      <c r="FE18" s="244">
        <v>900</v>
      </c>
      <c r="FF18" s="245">
        <f>+FE18/FE$37</f>
        <v>6.8091418325460054E-7</v>
      </c>
      <c r="FG18" s="438"/>
      <c r="FH18" s="244">
        <v>900</v>
      </c>
      <c r="FI18" s="325">
        <f>+FH18/FH$37</f>
        <v>6.5849517278913844E-7</v>
      </c>
      <c r="FJ18" s="440"/>
      <c r="FK18" s="244">
        <v>900</v>
      </c>
      <c r="FL18" s="325">
        <f>+FK18/FK$37</f>
        <v>6.134642689720582E-7</v>
      </c>
      <c r="FM18" s="440"/>
      <c r="FN18" s="244">
        <v>20900</v>
      </c>
      <c r="FO18" s="325">
        <f>+FN18/FN$37</f>
        <v>1.3089424912193795E-5</v>
      </c>
      <c r="FP18" s="440"/>
      <c r="FQ18" s="244">
        <v>17566.669999999998</v>
      </c>
      <c r="FR18" s="325">
        <f>+FQ18/FQ$37</f>
        <v>1.0546127365839799E-5</v>
      </c>
      <c r="FS18" s="325"/>
      <c r="FT18" s="244">
        <v>510900.01</v>
      </c>
      <c r="FU18" s="325">
        <f>+FT18/FT$37</f>
        <v>2.986636393408987E-4</v>
      </c>
      <c r="FV18" s="440"/>
      <c r="FW18" s="244">
        <v>337566.68999999994</v>
      </c>
      <c r="FX18" s="325">
        <f>+FW18/FW$37</f>
        <v>1.9194523494068153E-4</v>
      </c>
      <c r="FY18" s="440"/>
      <c r="FZ18" s="244">
        <v>166666.68</v>
      </c>
      <c r="GA18" s="325">
        <f>+FZ18/FZ$37</f>
        <v>9.1840342133347032E-5</v>
      </c>
      <c r="GB18" s="440"/>
      <c r="GC18" s="244">
        <v>-2.9103830456733704E-11</v>
      </c>
      <c r="GD18" s="325">
        <f>+GC18/GC$37</f>
        <v>-1.5476737439909998E-20</v>
      </c>
      <c r="GE18" s="244">
        <v>0</v>
      </c>
      <c r="GF18" s="325">
        <f>+GE18/GE$37</f>
        <v>0</v>
      </c>
      <c r="GG18" s="244">
        <v>0</v>
      </c>
      <c r="GH18" s="325">
        <f>+GG18/GG$37</f>
        <v>0</v>
      </c>
      <c r="GI18" s="244">
        <v>0</v>
      </c>
      <c r="GJ18" s="325">
        <f>+GI18/GI$37</f>
        <v>0</v>
      </c>
      <c r="GK18" s="244">
        <v>0</v>
      </c>
      <c r="GL18" s="325">
        <f>+GK18/GK$37</f>
        <v>0</v>
      </c>
      <c r="GM18" s="244">
        <v>0</v>
      </c>
      <c r="GN18" s="325">
        <f>+GM18/GM$37</f>
        <v>0</v>
      </c>
      <c r="GO18" s="244">
        <v>0</v>
      </c>
      <c r="GP18" s="325">
        <f>+GO18/GO$37</f>
        <v>0</v>
      </c>
      <c r="GQ18" s="244">
        <v>0</v>
      </c>
      <c r="GR18" s="325">
        <f>+GQ18/GQ$37</f>
        <v>0</v>
      </c>
      <c r="GS18" s="440"/>
      <c r="GT18" s="244">
        <v>0</v>
      </c>
      <c r="GU18" s="325">
        <f>+GT18/GT$37</f>
        <v>0</v>
      </c>
      <c r="GV18" s="440"/>
      <c r="GW18" s="1038">
        <v>0</v>
      </c>
      <c r="GX18" s="325">
        <f>+GW18/GW$37</f>
        <v>0</v>
      </c>
      <c r="GY18" s="440"/>
      <c r="GZ18" s="1038">
        <v>0</v>
      </c>
      <c r="HA18" s="325">
        <f>+GZ18/GZ$37</f>
        <v>0</v>
      </c>
      <c r="HB18" s="440"/>
      <c r="HC18" s="1038">
        <v>0</v>
      </c>
      <c r="HD18" s="325">
        <f>+HC18/HC$37</f>
        <v>0</v>
      </c>
      <c r="HE18" s="440"/>
      <c r="HF18" s="1038">
        <v>0</v>
      </c>
      <c r="HG18" s="325">
        <f>+HF18/HF$37</f>
        <v>0</v>
      </c>
      <c r="HH18" s="440"/>
      <c r="HI18" s="1038">
        <v>0</v>
      </c>
      <c r="HJ18" s="325">
        <f>+HI18/HI$37</f>
        <v>0</v>
      </c>
      <c r="HK18" s="440"/>
      <c r="HL18" s="1038">
        <v>0</v>
      </c>
      <c r="HM18" s="325">
        <f>+HL18/HL$37</f>
        <v>0</v>
      </c>
      <c r="HN18" s="440"/>
      <c r="HO18" s="244">
        <v>0</v>
      </c>
      <c r="HP18" s="325">
        <f>+HO18/HO$37</f>
        <v>0</v>
      </c>
      <c r="HQ18" s="580"/>
      <c r="HR18" s="244">
        <v>0</v>
      </c>
      <c r="HS18" s="325">
        <f>+HR18/HR$37</f>
        <v>0</v>
      </c>
      <c r="HT18" s="325"/>
      <c r="HU18" s="244">
        <v>0</v>
      </c>
      <c r="HV18" s="325">
        <f>+HU18/HU$37</f>
        <v>0</v>
      </c>
      <c r="HW18" s="325"/>
      <c r="HX18" s="325"/>
      <c r="HY18" s="325"/>
      <c r="HZ18" s="325"/>
      <c r="IA18" s="244">
        <v>661233.33000000019</v>
      </c>
      <c r="IB18" s="325">
        <f>+IA18/IA$37</f>
        <v>8.9354100804812638E-4</v>
      </c>
      <c r="IC18" s="241"/>
      <c r="ID18" s="241"/>
      <c r="IE18" s="241"/>
      <c r="IH18" s="167">
        <f>+BB18</f>
        <v>709859.52</v>
      </c>
      <c r="II18" s="167">
        <f>+BH18</f>
        <v>278728.96999999997</v>
      </c>
      <c r="IJ18" s="167">
        <f>+BN18</f>
        <v>1161947.4099999999</v>
      </c>
      <c r="IK18" s="167"/>
      <c r="IL18" s="167">
        <f>SUM(BT18,BV18,BX18)</f>
        <v>6207219.4299999997</v>
      </c>
      <c r="IM18" s="167">
        <f>SUM(BZ18,CB18,CD18)</f>
        <v>8861837.3099999987</v>
      </c>
      <c r="IN18" s="167">
        <f>SUM(CH18,CK18,CF18)</f>
        <v>8618813.5899999999</v>
      </c>
      <c r="IO18" s="167">
        <f>CQ18+CN18+CT18</f>
        <v>7264039.4400000004</v>
      </c>
      <c r="IP18" s="167">
        <f>CW18+CZ18+DC18</f>
        <v>4205948.5999999996</v>
      </c>
      <c r="IQ18" s="167">
        <f t="shared" ref="IQ18:IQ27" si="0">DF18+DI18+DL18</f>
        <v>11274281.029999999</v>
      </c>
      <c r="IR18" s="167">
        <f>DO18+DR18+DU18</f>
        <v>13064585.849999998</v>
      </c>
      <c r="IS18" s="167">
        <f>DX18+EA18+ED18</f>
        <v>2168366.6500000004</v>
      </c>
      <c r="IW18" s="167">
        <f t="shared" ref="IW18:IW27" si="1">FQ18+FT18+FW18</f>
        <v>866033.37</v>
      </c>
      <c r="IX18" s="167">
        <f>FZ18+GC18+GE18</f>
        <v>166666.67999999996</v>
      </c>
      <c r="IY18" s="167">
        <f t="shared" ref="IY18:IY27" si="2">GG18+GK18+GI18</f>
        <v>0</v>
      </c>
      <c r="IZ18" s="167">
        <f>GM18+GO18+GQ18</f>
        <v>0</v>
      </c>
    </row>
    <row r="19" spans="1:265" ht="14.25" hidden="1" customHeight="1" collapsed="1">
      <c r="A19" s="243">
        <v>4</v>
      </c>
      <c r="B19" s="242" t="s">
        <v>451</v>
      </c>
      <c r="E19" s="234"/>
      <c r="G19" s="233"/>
      <c r="H19" s="240"/>
      <c r="I19" s="233"/>
      <c r="J19" s="240"/>
      <c r="K19" s="233"/>
      <c r="L19" s="240"/>
      <c r="M19" s="233"/>
      <c r="N19" s="240"/>
      <c r="O19" s="233"/>
      <c r="P19" s="240"/>
      <c r="Q19" s="233"/>
      <c r="R19" s="240"/>
      <c r="S19" s="233"/>
      <c r="T19" s="240"/>
      <c r="U19" s="233"/>
      <c r="V19" s="240"/>
      <c r="W19" s="233"/>
      <c r="X19" s="240"/>
      <c r="Y19" s="233"/>
      <c r="Z19" s="240"/>
      <c r="AA19" s="233"/>
      <c r="AB19" s="240"/>
      <c r="AC19" s="233"/>
      <c r="AD19" s="240"/>
      <c r="AE19" s="233"/>
      <c r="AF19" s="240"/>
      <c r="AG19" s="233"/>
      <c r="AH19" s="240"/>
      <c r="AI19" s="233"/>
      <c r="AJ19" s="240"/>
      <c r="AK19" s="233"/>
      <c r="AL19" s="240"/>
      <c r="AM19" s="233"/>
      <c r="AN19" s="240"/>
      <c r="AO19" s="233"/>
      <c r="AP19" s="240"/>
      <c r="AQ19" s="233"/>
      <c r="AR19" s="240"/>
      <c r="AS19" s="233"/>
      <c r="AT19" s="240"/>
      <c r="AU19" s="233"/>
      <c r="AV19" s="240"/>
      <c r="AW19" s="233"/>
      <c r="AX19" s="240"/>
      <c r="AY19" s="233"/>
      <c r="AZ19" s="240"/>
      <c r="BA19" s="233"/>
      <c r="BB19" s="244"/>
      <c r="BC19" s="245"/>
      <c r="BD19" s="244"/>
      <c r="BE19" s="245"/>
      <c r="BF19" s="246"/>
      <c r="BG19" s="245"/>
      <c r="BH19" s="246"/>
      <c r="BI19" s="245"/>
      <c r="BJ19" s="246"/>
      <c r="BK19" s="245"/>
      <c r="BL19" s="246"/>
      <c r="BM19" s="245"/>
      <c r="BN19" s="246"/>
      <c r="BO19" s="245"/>
      <c r="BP19" s="246"/>
      <c r="BQ19" s="245"/>
      <c r="BR19" s="246"/>
      <c r="BS19" s="245"/>
      <c r="BT19" s="157"/>
      <c r="BU19" s="245"/>
      <c r="BV19" s="157"/>
      <c r="BW19" s="245"/>
      <c r="BX19" s="157"/>
      <c r="BY19" s="245"/>
      <c r="BZ19" s="157"/>
      <c r="CA19" s="245"/>
      <c r="CB19" s="244"/>
      <c r="CC19" s="245"/>
      <c r="CD19" s="244"/>
      <c r="CE19" s="245"/>
      <c r="CF19" s="244"/>
      <c r="CG19" s="245"/>
      <c r="CH19" s="244"/>
      <c r="CI19" s="245"/>
      <c r="CJ19" s="245"/>
      <c r="CK19" s="244"/>
      <c r="CL19" s="245"/>
      <c r="CM19" s="279"/>
      <c r="CN19" s="244"/>
      <c r="CO19" s="245"/>
      <c r="CP19" s="279"/>
      <c r="CQ19" s="244"/>
      <c r="CR19" s="245"/>
      <c r="CS19" s="279"/>
      <c r="CT19" s="244"/>
      <c r="CU19" s="245"/>
      <c r="CV19" s="235"/>
      <c r="CW19" s="244"/>
      <c r="CX19" s="245"/>
      <c r="CY19" s="439"/>
      <c r="CZ19" s="244"/>
      <c r="DA19" s="245"/>
      <c r="DB19" s="439"/>
      <c r="DC19" s="244"/>
      <c r="DD19" s="245"/>
      <c r="DE19" s="439"/>
      <c r="DF19" s="244"/>
      <c r="DG19" s="245"/>
      <c r="DH19" s="438"/>
      <c r="DI19" s="244"/>
      <c r="DJ19" s="245"/>
      <c r="DK19" s="439"/>
      <c r="DL19" s="244"/>
      <c r="DM19" s="245"/>
      <c r="DN19" s="438"/>
      <c r="DO19" s="244"/>
      <c r="DP19" s="245"/>
      <c r="DQ19" s="439"/>
      <c r="DR19" s="244"/>
      <c r="DS19" s="245"/>
      <c r="DT19" s="438"/>
      <c r="DU19" s="244"/>
      <c r="DV19" s="245"/>
      <c r="DW19" s="438"/>
      <c r="DX19" s="244"/>
      <c r="DY19" s="325"/>
      <c r="DZ19" s="440"/>
      <c r="EA19" s="244"/>
      <c r="EB19" s="325"/>
      <c r="EC19" s="440"/>
      <c r="ED19" s="244"/>
      <c r="EE19" s="325"/>
      <c r="EF19" s="440"/>
      <c r="EG19" s="244"/>
      <c r="EH19" s="245"/>
      <c r="EI19" s="439"/>
      <c r="EJ19" s="244"/>
      <c r="EK19" s="245"/>
      <c r="EL19" s="439"/>
      <c r="EM19" s="244"/>
      <c r="EN19" s="245"/>
      <c r="EO19" s="439"/>
      <c r="EP19" s="244"/>
      <c r="EQ19" s="245"/>
      <c r="ER19" s="438"/>
      <c r="ES19" s="244"/>
      <c r="ET19" s="245"/>
      <c r="EU19" s="439"/>
      <c r="EV19" s="244"/>
      <c r="EW19" s="245"/>
      <c r="EX19" s="438"/>
      <c r="EY19" s="244"/>
      <c r="EZ19" s="245"/>
      <c r="FA19" s="439"/>
      <c r="FB19" s="244"/>
      <c r="FC19" s="245"/>
      <c r="FD19" s="438"/>
      <c r="FE19" s="244"/>
      <c r="FF19" s="245"/>
      <c r="FG19" s="438"/>
      <c r="FH19" s="244"/>
      <c r="FI19" s="325"/>
      <c r="FJ19" s="440"/>
      <c r="FK19" s="244"/>
      <c r="FL19" s="325"/>
      <c r="FM19" s="440"/>
      <c r="FN19" s="244"/>
      <c r="FO19" s="325"/>
      <c r="FP19" s="440"/>
      <c r="FQ19" s="244"/>
      <c r="FR19" s="325"/>
      <c r="FS19" s="325"/>
      <c r="FT19" s="244"/>
      <c r="FU19" s="325"/>
      <c r="FV19" s="440"/>
      <c r="FW19" s="244"/>
      <c r="FX19" s="325"/>
      <c r="FY19" s="440"/>
      <c r="FZ19" s="244"/>
      <c r="GA19" s="325"/>
      <c r="GB19" s="440"/>
      <c r="GC19" s="244"/>
      <c r="GD19" s="325"/>
      <c r="GE19" s="244"/>
      <c r="GF19" s="325"/>
      <c r="GG19" s="244"/>
      <c r="GH19" s="325"/>
      <c r="GI19" s="244"/>
      <c r="GJ19" s="325"/>
      <c r="GK19" s="244"/>
      <c r="GL19" s="325"/>
      <c r="GM19" s="244">
        <v>0</v>
      </c>
      <c r="GN19" s="325"/>
      <c r="GO19" s="244"/>
      <c r="GP19" s="325"/>
      <c r="GQ19" s="244"/>
      <c r="GR19" s="325"/>
      <c r="GS19" s="440"/>
      <c r="GT19" s="244"/>
      <c r="GU19" s="325"/>
      <c r="GV19" s="440"/>
      <c r="GW19" s="1038"/>
      <c r="GX19" s="325"/>
      <c r="GY19" s="440"/>
      <c r="GZ19" s="1038"/>
      <c r="HA19" s="325"/>
      <c r="HB19" s="440"/>
      <c r="HC19" s="1038"/>
      <c r="HD19" s="325"/>
      <c r="HE19" s="440"/>
      <c r="HF19" s="1038"/>
      <c r="HG19" s="325"/>
      <c r="HH19" s="440"/>
      <c r="HI19" s="1038"/>
      <c r="HJ19" s="325"/>
      <c r="HK19" s="440"/>
      <c r="HL19" s="1038"/>
      <c r="HM19" s="325"/>
      <c r="HN19" s="440"/>
      <c r="HO19" s="244"/>
      <c r="HP19" s="325"/>
      <c r="HQ19" s="580"/>
      <c r="HR19" s="244"/>
      <c r="HS19" s="325"/>
      <c r="HT19" s="325"/>
      <c r="HU19" s="244"/>
      <c r="HV19" s="325"/>
      <c r="HW19" s="325"/>
      <c r="HX19" s="325"/>
      <c r="HY19" s="325"/>
      <c r="HZ19" s="325"/>
      <c r="IA19" s="244"/>
      <c r="IB19" s="325"/>
      <c r="IC19" s="241"/>
      <c r="ID19" s="241"/>
      <c r="IE19" s="241"/>
      <c r="IH19" s="167"/>
      <c r="II19" s="167"/>
      <c r="IJ19" s="167"/>
      <c r="IK19" s="167"/>
      <c r="IL19" s="167"/>
      <c r="IM19" s="167"/>
      <c r="IN19" s="167"/>
      <c r="IO19" s="167"/>
      <c r="IP19" s="167"/>
      <c r="IQ19" s="167">
        <f t="shared" si="0"/>
        <v>0</v>
      </c>
      <c r="IR19" s="167"/>
      <c r="IS19" s="167"/>
      <c r="IW19" s="167">
        <f t="shared" si="1"/>
        <v>0</v>
      </c>
      <c r="IX19" s="167">
        <f>FZ19</f>
        <v>0</v>
      </c>
      <c r="IY19" s="167">
        <f t="shared" si="2"/>
        <v>0</v>
      </c>
      <c r="IZ19" s="167"/>
    </row>
    <row r="20" spans="1:265" ht="14.25" hidden="1" customHeight="1">
      <c r="A20" s="243">
        <v>5</v>
      </c>
      <c r="B20" s="242" t="s">
        <v>452</v>
      </c>
      <c r="E20" s="234"/>
      <c r="G20" s="233"/>
      <c r="H20" s="240"/>
      <c r="I20" s="233"/>
      <c r="J20" s="240"/>
      <c r="K20" s="233"/>
      <c r="L20" s="240"/>
      <c r="M20" s="233"/>
      <c r="N20" s="240"/>
      <c r="O20" s="233"/>
      <c r="P20" s="240"/>
      <c r="Q20" s="233"/>
      <c r="R20" s="240"/>
      <c r="S20" s="233"/>
      <c r="T20" s="240"/>
      <c r="U20" s="233"/>
      <c r="V20" s="240"/>
      <c r="W20" s="233"/>
      <c r="X20" s="240"/>
      <c r="Y20" s="233"/>
      <c r="Z20" s="240"/>
      <c r="AA20" s="233"/>
      <c r="AB20" s="240"/>
      <c r="AC20" s="233"/>
      <c r="AD20" s="240"/>
      <c r="AE20" s="233"/>
      <c r="AF20" s="240"/>
      <c r="AG20" s="233"/>
      <c r="AH20" s="240"/>
      <c r="AI20" s="233"/>
      <c r="AJ20" s="240"/>
      <c r="AK20" s="233"/>
      <c r="AL20" s="240"/>
      <c r="AM20" s="233"/>
      <c r="AN20" s="240"/>
      <c r="AO20" s="233"/>
      <c r="AP20" s="240"/>
      <c r="AQ20" s="233"/>
      <c r="AR20" s="240"/>
      <c r="AS20" s="233"/>
      <c r="AT20" s="240"/>
      <c r="AU20" s="233"/>
      <c r="AV20" s="240"/>
      <c r="AW20" s="233"/>
      <c r="AX20" s="240"/>
      <c r="AY20" s="233"/>
      <c r="AZ20" s="240"/>
      <c r="BA20" s="233"/>
      <c r="BB20" s="244"/>
      <c r="BC20" s="245"/>
      <c r="BD20" s="244"/>
      <c r="BE20" s="245"/>
      <c r="BF20" s="246"/>
      <c r="BG20" s="245"/>
      <c r="BH20" s="246"/>
      <c r="BI20" s="245"/>
      <c r="BJ20" s="246"/>
      <c r="BK20" s="245"/>
      <c r="BL20" s="246"/>
      <c r="BM20" s="245"/>
      <c r="BN20" s="246"/>
      <c r="BO20" s="245"/>
      <c r="BP20" s="246"/>
      <c r="BQ20" s="245">
        <f>+BP20/BP$37</f>
        <v>0</v>
      </c>
      <c r="BR20" s="246">
        <v>113325.91</v>
      </c>
      <c r="BS20" s="245">
        <f>+BR20/BR$37</f>
        <v>5.4735620933426686E-4</v>
      </c>
      <c r="BT20" s="157"/>
      <c r="BU20" s="245"/>
      <c r="BV20" s="157"/>
      <c r="BW20" s="245"/>
      <c r="BX20" s="157"/>
      <c r="BY20" s="245"/>
      <c r="BZ20" s="157"/>
      <c r="CA20" s="245"/>
      <c r="CB20" s="244"/>
      <c r="CC20" s="245"/>
      <c r="CD20" s="244"/>
      <c r="CE20" s="245"/>
      <c r="CF20" s="244"/>
      <c r="CG20" s="245"/>
      <c r="CH20" s="244"/>
      <c r="CI20" s="245"/>
      <c r="CJ20" s="245"/>
      <c r="CK20" s="244"/>
      <c r="CL20" s="245"/>
      <c r="CM20" s="279"/>
      <c r="CN20" s="244"/>
      <c r="CO20" s="245"/>
      <c r="CP20" s="279"/>
      <c r="CQ20" s="244"/>
      <c r="CR20" s="245"/>
      <c r="CS20" s="279"/>
      <c r="CT20" s="244"/>
      <c r="CU20" s="245"/>
      <c r="CV20" s="235"/>
      <c r="CW20" s="244"/>
      <c r="CX20" s="245"/>
      <c r="CY20" s="439"/>
      <c r="CZ20" s="244"/>
      <c r="DA20" s="245"/>
      <c r="DB20" s="439"/>
      <c r="DC20" s="244"/>
      <c r="DD20" s="245"/>
      <c r="DE20" s="439"/>
      <c r="DF20" s="244"/>
      <c r="DG20" s="245"/>
      <c r="DH20" s="438"/>
      <c r="DI20" s="244"/>
      <c r="DJ20" s="245"/>
      <c r="DK20" s="439"/>
      <c r="DL20" s="244"/>
      <c r="DM20" s="245"/>
      <c r="DN20" s="438"/>
      <c r="DO20" s="244"/>
      <c r="DP20" s="245"/>
      <c r="DQ20" s="439"/>
      <c r="DR20" s="244"/>
      <c r="DS20" s="245"/>
      <c r="DT20" s="438"/>
      <c r="DU20" s="244"/>
      <c r="DV20" s="245"/>
      <c r="DW20" s="438"/>
      <c r="DX20" s="244"/>
      <c r="DY20" s="325"/>
      <c r="DZ20" s="440"/>
      <c r="EA20" s="244"/>
      <c r="EB20" s="325"/>
      <c r="EC20" s="440"/>
      <c r="ED20" s="244"/>
      <c r="EE20" s="325"/>
      <c r="EF20" s="440"/>
      <c r="EG20" s="244"/>
      <c r="EH20" s="245"/>
      <c r="EI20" s="439"/>
      <c r="EJ20" s="244"/>
      <c r="EK20" s="245"/>
      <c r="EL20" s="439"/>
      <c r="EM20" s="244"/>
      <c r="EN20" s="245"/>
      <c r="EO20" s="439"/>
      <c r="EP20" s="244"/>
      <c r="EQ20" s="245"/>
      <c r="ER20" s="438"/>
      <c r="ES20" s="244"/>
      <c r="ET20" s="245"/>
      <c r="EU20" s="439"/>
      <c r="EV20" s="244"/>
      <c r="EW20" s="245"/>
      <c r="EX20" s="438"/>
      <c r="EY20" s="244"/>
      <c r="EZ20" s="245"/>
      <c r="FA20" s="439"/>
      <c r="FB20" s="244"/>
      <c r="FC20" s="245"/>
      <c r="FD20" s="438"/>
      <c r="FE20" s="244"/>
      <c r="FF20" s="245"/>
      <c r="FG20" s="438"/>
      <c r="FH20" s="244"/>
      <c r="FI20" s="325"/>
      <c r="FJ20" s="440"/>
      <c r="FK20" s="244"/>
      <c r="FL20" s="325"/>
      <c r="FM20" s="440"/>
      <c r="FN20" s="244"/>
      <c r="FO20" s="325"/>
      <c r="FP20" s="440"/>
      <c r="FQ20" s="244"/>
      <c r="FR20" s="325"/>
      <c r="FS20" s="325"/>
      <c r="FT20" s="244"/>
      <c r="FU20" s="325"/>
      <c r="FV20" s="440"/>
      <c r="FW20" s="244"/>
      <c r="FX20" s="325"/>
      <c r="FY20" s="440"/>
      <c r="FZ20" s="244"/>
      <c r="GA20" s="325"/>
      <c r="GB20" s="440"/>
      <c r="GC20" s="244"/>
      <c r="GD20" s="325"/>
      <c r="GE20" s="244"/>
      <c r="GF20" s="325"/>
      <c r="GG20" s="244"/>
      <c r="GH20" s="325"/>
      <c r="GI20" s="244"/>
      <c r="GJ20" s="325"/>
      <c r="GK20" s="244"/>
      <c r="GL20" s="325"/>
      <c r="GM20" s="244">
        <v>0</v>
      </c>
      <c r="GN20" s="325"/>
      <c r="GO20" s="244"/>
      <c r="GP20" s="325"/>
      <c r="GQ20" s="244"/>
      <c r="GR20" s="325"/>
      <c r="GS20" s="440"/>
      <c r="GT20" s="244"/>
      <c r="GU20" s="325"/>
      <c r="GV20" s="440"/>
      <c r="GW20" s="1038"/>
      <c r="GX20" s="325"/>
      <c r="GY20" s="440"/>
      <c r="GZ20" s="1038"/>
      <c r="HA20" s="325"/>
      <c r="HB20" s="440"/>
      <c r="HC20" s="1038"/>
      <c r="HD20" s="325"/>
      <c r="HE20" s="440"/>
      <c r="HF20" s="1038"/>
      <c r="HG20" s="325"/>
      <c r="HH20" s="440"/>
      <c r="HI20" s="1038"/>
      <c r="HJ20" s="325"/>
      <c r="HK20" s="440"/>
      <c r="HL20" s="1038"/>
      <c r="HM20" s="325"/>
      <c r="HN20" s="440"/>
      <c r="HO20" s="244"/>
      <c r="HP20" s="325"/>
      <c r="HQ20" s="580"/>
      <c r="HR20" s="244"/>
      <c r="HS20" s="325"/>
      <c r="HT20" s="325"/>
      <c r="HU20" s="244"/>
      <c r="HV20" s="325"/>
      <c r="HW20" s="325"/>
      <c r="HX20" s="325"/>
      <c r="HY20" s="325"/>
      <c r="HZ20" s="325"/>
      <c r="IA20" s="244"/>
      <c r="IB20" s="325"/>
      <c r="IC20" s="241"/>
      <c r="ID20" s="241"/>
      <c r="IE20" s="241"/>
      <c r="IH20" s="167"/>
      <c r="II20" s="167"/>
      <c r="IJ20" s="167"/>
      <c r="IK20" s="167"/>
      <c r="IL20" s="167"/>
      <c r="IM20" s="167"/>
      <c r="IN20" s="167"/>
      <c r="IO20" s="167"/>
      <c r="IP20" s="167"/>
      <c r="IQ20" s="167">
        <f t="shared" si="0"/>
        <v>0</v>
      </c>
      <c r="IR20" s="167"/>
      <c r="IS20" s="167"/>
      <c r="IW20" s="167">
        <f t="shared" si="1"/>
        <v>0</v>
      </c>
      <c r="IX20" s="167">
        <f>FZ20</f>
        <v>0</v>
      </c>
      <c r="IY20" s="167">
        <f t="shared" si="2"/>
        <v>0</v>
      </c>
      <c r="IZ20" s="167"/>
    </row>
    <row r="21" spans="1:265" ht="14.25" customHeight="1">
      <c r="A21" s="243">
        <v>6</v>
      </c>
      <c r="B21" s="242" t="s">
        <v>444</v>
      </c>
      <c r="D21" s="244">
        <v>19162344.48</v>
      </c>
      <c r="E21" s="247">
        <v>0.73874040269832775</v>
      </c>
      <c r="F21" s="244">
        <v>19054509.650000013</v>
      </c>
      <c r="G21" s="247">
        <v>0.72480576071317626</v>
      </c>
      <c r="H21" s="244">
        <v>22365687.060000002</v>
      </c>
      <c r="I21" s="248">
        <v>0.73929677253157733</v>
      </c>
      <c r="J21" s="244">
        <v>26237723.070000015</v>
      </c>
      <c r="K21" s="248">
        <v>0.76663486940137238</v>
      </c>
      <c r="L21" s="244">
        <v>27153020.895000007</v>
      </c>
      <c r="M21" s="248">
        <v>0.73373943176021883</v>
      </c>
      <c r="N21" s="244">
        <v>27381140.085000005</v>
      </c>
      <c r="O21" s="248">
        <f>+N21/$N$37</f>
        <v>0.62917985575932012</v>
      </c>
      <c r="P21" s="244">
        <v>27574962.469999999</v>
      </c>
      <c r="Q21" s="248">
        <f>+P21/$P$37</f>
        <v>0.55424328150474989</v>
      </c>
      <c r="R21" s="244">
        <v>28434814.710000001</v>
      </c>
      <c r="S21" s="248">
        <f>+R21/$R$37</f>
        <v>0.55625905409576337</v>
      </c>
      <c r="T21" s="244">
        <v>30966283.829999998</v>
      </c>
      <c r="U21" s="248">
        <f>+T21/$T$37</f>
        <v>0.54443363673272627</v>
      </c>
      <c r="V21" s="244">
        <v>34324844.380000003</v>
      </c>
      <c r="W21" s="248">
        <f>+V21/$V$37</f>
        <v>0.53642769767871856</v>
      </c>
      <c r="X21" s="244">
        <v>30516309.07</v>
      </c>
      <c r="Y21" s="248">
        <f>+X21/$X$37</f>
        <v>0.47865224747074098</v>
      </c>
      <c r="Z21" s="244">
        <v>28875350.259999998</v>
      </c>
      <c r="AA21" s="248">
        <f>+Z21/$Z$37</f>
        <v>0.43462057068363896</v>
      </c>
      <c r="AB21" s="244">
        <v>28738370</v>
      </c>
      <c r="AC21" s="248">
        <f>+AB21/$AB$37</f>
        <v>0.38447618053670657</v>
      </c>
      <c r="AD21" s="244">
        <v>29871543.830000002</v>
      </c>
      <c r="AE21" s="248">
        <f>+AD21/$AD$37</f>
        <v>0.38102126303223094</v>
      </c>
      <c r="AF21" s="244">
        <v>33841340.359999999</v>
      </c>
      <c r="AG21" s="248">
        <f>+AF21/$AF$37</f>
        <v>0.39081720432222761</v>
      </c>
      <c r="AH21" s="244">
        <f>33631747.99-57.58</f>
        <v>33631690.410000004</v>
      </c>
      <c r="AI21" s="248">
        <f>+AH21/$AH$37</f>
        <v>0.35461658255314543</v>
      </c>
      <c r="AJ21" s="244">
        <v>38129555.350000001</v>
      </c>
      <c r="AK21" s="248">
        <f>+AJ21/$AJ$37</f>
        <v>0.35801526366929676</v>
      </c>
      <c r="AL21" s="244">
        <v>40738207.744999997</v>
      </c>
      <c r="AM21" s="248">
        <f>+AL21/$AL$37</f>
        <v>0.3450570360272337</v>
      </c>
      <c r="AN21" s="244">
        <v>50287398.794999994</v>
      </c>
      <c r="AO21" s="248">
        <f>+AN21/$AN$37</f>
        <v>0.35285766336174851</v>
      </c>
      <c r="AP21" s="244">
        <f>51179729.78+573.16</f>
        <v>51180302.939999998</v>
      </c>
      <c r="AQ21" s="248">
        <f>+AP21/$AP$37</f>
        <v>0.34178696452040513</v>
      </c>
      <c r="AR21" s="244">
        <v>52944395.490000002</v>
      </c>
      <c r="AS21" s="248">
        <f>+AR21/$AR$37</f>
        <v>0.33739959371950073</v>
      </c>
      <c r="AT21" s="244">
        <f>61804590.27+10056.61</f>
        <v>61814646.880000003</v>
      </c>
      <c r="AU21" s="248">
        <f>+AT21/$AT$37</f>
        <v>0.34826795026634993</v>
      </c>
      <c r="AV21" s="244">
        <v>56974798.419999897</v>
      </c>
      <c r="AW21" s="248">
        <f>+AV21/$AV$37</f>
        <v>0.33378313797653891</v>
      </c>
      <c r="AX21" s="244">
        <v>49619670.020000003</v>
      </c>
      <c r="AY21" s="245">
        <f>+AX21/$AX$37</f>
        <v>0.3160337355831398</v>
      </c>
      <c r="AZ21" s="244">
        <v>48231493.690000005</v>
      </c>
      <c r="BA21" s="245">
        <f>+AZ21/$AZ$37</f>
        <v>0.31070913672041511</v>
      </c>
      <c r="BB21" s="244">
        <v>49166830.429999977</v>
      </c>
      <c r="BC21" s="245">
        <f>+BB21/$BB$37</f>
        <v>0.31824933406377115</v>
      </c>
      <c r="BD21" s="244">
        <v>44424066.440000005</v>
      </c>
      <c r="BE21" s="245">
        <f>+BD21/$BD$37</f>
        <v>0.29989146893071167</v>
      </c>
      <c r="BF21" s="246">
        <v>41635862.170000002</v>
      </c>
      <c r="BG21" s="245">
        <f>+BF21/$BF$37</f>
        <v>0.27462582116738948</v>
      </c>
      <c r="BH21" s="246">
        <f>41296911.79+5863.77</f>
        <v>41302775.560000002</v>
      </c>
      <c r="BI21" s="245">
        <f>+BH21/$BH$37</f>
        <v>0.26491893890342405</v>
      </c>
      <c r="BJ21" s="246">
        <f>40043738.82</f>
        <v>40043738.82</v>
      </c>
      <c r="BK21" s="245">
        <f>+BJ21/$BJ$37</f>
        <v>0.24154833072932302</v>
      </c>
      <c r="BL21" s="246">
        <f>43100418.76+735.56</f>
        <v>43101154.32</v>
      </c>
      <c r="BM21" s="245">
        <f>+BL21/$BL$37</f>
        <v>0.23009607976843699</v>
      </c>
      <c r="BN21" s="246">
        <v>42697744.000000015</v>
      </c>
      <c r="BO21" s="245">
        <f>+BN21/BN$37</f>
        <v>0.23073082274868498</v>
      </c>
      <c r="BP21" s="246">
        <f>45897669.11-500</f>
        <v>45897169.109999999</v>
      </c>
      <c r="BQ21" s="245">
        <f>+BP21/BP$37</f>
        <v>0.24155389492863003</v>
      </c>
      <c r="BR21" s="246">
        <f>47958567.17+18044.77</f>
        <v>47976611.940000005</v>
      </c>
      <c r="BS21" s="245">
        <f>+BR21/BR$37</f>
        <v>0.23172367597294855</v>
      </c>
      <c r="BT21" s="246">
        <v>47181308.360000014</v>
      </c>
      <c r="BU21" s="245">
        <f>+BT21/BT$37</f>
        <v>0.20516168643263721</v>
      </c>
      <c r="BV21" s="244">
        <v>49876885.330000006</v>
      </c>
      <c r="BW21" s="245">
        <f>+BV21/BV$37</f>
        <v>0.21122894362714478</v>
      </c>
      <c r="BX21" s="244">
        <v>52944643.930000044</v>
      </c>
      <c r="BY21" s="245">
        <f>+BX21/BX$37</f>
        <v>0.20256603279444596</v>
      </c>
      <c r="BZ21" s="244">
        <v>56870503.969999924</v>
      </c>
      <c r="CA21" s="245">
        <f>+BZ21/BZ$37</f>
        <v>0.20891882746456641</v>
      </c>
      <c r="CB21" s="244">
        <v>59373304.700000018</v>
      </c>
      <c r="CC21" s="245">
        <f>+CB21/CB$37</f>
        <v>0.21101416946279933</v>
      </c>
      <c r="CD21" s="244">
        <v>68241619.390000001</v>
      </c>
      <c r="CE21" s="245">
        <f>+CD21/CD$37</f>
        <v>0.21821505623286808</v>
      </c>
      <c r="CF21" s="244">
        <v>75074920.879999965</v>
      </c>
      <c r="CG21" s="245">
        <f>+CF21/CF$37</f>
        <v>0.22087990482421238</v>
      </c>
      <c r="CH21" s="244">
        <v>84646527.820000023</v>
      </c>
      <c r="CI21" s="245">
        <f>+CH21/CH$37</f>
        <v>0.23098152849525055</v>
      </c>
      <c r="CJ21" s="245"/>
      <c r="CK21" s="244">
        <v>92590102.950000077</v>
      </c>
      <c r="CL21" s="245">
        <f>+CK21/CK$37</f>
        <v>0.22955748540685708</v>
      </c>
      <c r="CM21" s="279"/>
      <c r="CN21" s="244">
        <f>85608879+151111</f>
        <v>85759990</v>
      </c>
      <c r="CO21" s="245">
        <f>+CN21/CN$37</f>
        <v>0.21531556409046429</v>
      </c>
      <c r="CP21" s="279"/>
      <c r="CQ21" s="244">
        <f>66003435.77+11974210+618659</f>
        <v>78596304.770000011</v>
      </c>
      <c r="CR21" s="245">
        <f>+CQ21/CQ$37</f>
        <v>0.19380957499657386</v>
      </c>
      <c r="CS21" s="279"/>
      <c r="CT21" s="244">
        <v>65978777.790000051</v>
      </c>
      <c r="CU21" s="245">
        <f>+CT21/CT$37</f>
        <v>0.14890986403347933</v>
      </c>
      <c r="CV21" s="235"/>
      <c r="CW21" s="244">
        <v>69013229.660000026</v>
      </c>
      <c r="CX21" s="245">
        <f>+CW21/CW$37</f>
        <v>0.14998454547547782</v>
      </c>
      <c r="CY21" s="439"/>
      <c r="CZ21" s="244">
        <v>67899276.569999963</v>
      </c>
      <c r="DA21" s="245">
        <f>+CZ21/CZ$37</f>
        <v>0.1431991133345264</v>
      </c>
      <c r="DB21" s="439"/>
      <c r="DC21" s="244">
        <v>68485559.49999994</v>
      </c>
      <c r="DD21" s="245">
        <f>+DC21/DC$37</f>
        <v>0.13661854443479771</v>
      </c>
      <c r="DE21" s="439"/>
      <c r="DF21" s="244">
        <v>73026786</v>
      </c>
      <c r="DG21" s="245">
        <f>+DF21/DF$37</f>
        <v>0.13668198457567537</v>
      </c>
      <c r="DH21" s="439"/>
      <c r="DI21" s="244">
        <v>73940613.99999994</v>
      </c>
      <c r="DJ21" s="245">
        <f>+DI21/DI$37</f>
        <v>0.13337414738593659</v>
      </c>
      <c r="DK21" s="439"/>
      <c r="DL21" s="244">
        <v>81605683.890000015</v>
      </c>
      <c r="DM21" s="245">
        <f>+DL21/DL$37</f>
        <v>0.14141132460115036</v>
      </c>
      <c r="DN21" s="439"/>
      <c r="DO21" s="244">
        <v>83703502.170000032</v>
      </c>
      <c r="DP21" s="245">
        <f>+DO21/DO$37</f>
        <v>0.13684717171499836</v>
      </c>
      <c r="DQ21" s="439"/>
      <c r="DR21" s="244">
        <v>78262200.010000005</v>
      </c>
      <c r="DS21" s="245">
        <f>+DR21/DR$37</f>
        <v>0.12572079077510459</v>
      </c>
      <c r="DT21" s="439"/>
      <c r="DU21" s="244">
        <v>88652291.410000145</v>
      </c>
      <c r="DV21" s="245">
        <f>+DU21/DU$37</f>
        <v>0.12893035072409956</v>
      </c>
      <c r="DW21" s="439"/>
      <c r="DX21" s="244">
        <v>72578447.75999999</v>
      </c>
      <c r="DY21" s="325">
        <f>+DX21/DX$37</f>
        <v>0.10814834175129721</v>
      </c>
      <c r="DZ21" s="325"/>
      <c r="EA21" s="244">
        <v>65047578.64000006</v>
      </c>
      <c r="EB21" s="325">
        <f>+EA21/EA$37</f>
        <v>9.3037925269142355E-2</v>
      </c>
      <c r="EC21" s="325"/>
      <c r="ED21" s="244">
        <v>54885976.179999977</v>
      </c>
      <c r="EE21" s="325">
        <f>+ED21/ED$37</f>
        <v>7.4168781666802269E-2</v>
      </c>
      <c r="EF21" s="325"/>
      <c r="EG21" s="244">
        <v>41075898.479999959</v>
      </c>
      <c r="EH21" s="245">
        <f>+EG21/EG$37</f>
        <v>5.1380262391868374E-2</v>
      </c>
      <c r="EI21" s="439"/>
      <c r="EJ21" s="244">
        <v>32798350.780000038</v>
      </c>
      <c r="EK21" s="245">
        <f>+EJ21/EJ$37</f>
        <v>3.9063335801368768E-2</v>
      </c>
      <c r="EL21" s="439"/>
      <c r="EM21" s="244">
        <v>29460526.490000002</v>
      </c>
      <c r="EN21" s="245">
        <f>+EM21/EM$37</f>
        <v>3.3073992957820847E-2</v>
      </c>
      <c r="EO21" s="439"/>
      <c r="EP21" s="244">
        <v>24924853.570000011</v>
      </c>
      <c r="EQ21" s="245">
        <f>+EP21/EP$37</f>
        <v>2.6335412572691924E-2</v>
      </c>
      <c r="ER21" s="439"/>
      <c r="ES21" s="244">
        <v>18110908.509999987</v>
      </c>
      <c r="ET21" s="245">
        <f>+ES21/ES$37</f>
        <v>1.8197491879927565E-2</v>
      </c>
      <c r="EU21" s="439"/>
      <c r="EV21" s="244">
        <v>15907778.729999978</v>
      </c>
      <c r="EW21" s="245">
        <f>+EV21/EV$37</f>
        <v>1.4728225483647755E-2</v>
      </c>
      <c r="EX21" s="439"/>
      <c r="EY21" s="244">
        <v>14150152.329999989</v>
      </c>
      <c r="EZ21" s="245">
        <f>+EY21/EY$37</f>
        <v>1.2461761792929791E-2</v>
      </c>
      <c r="FA21" s="439"/>
      <c r="FB21" s="244">
        <v>15109039.399999999</v>
      </c>
      <c r="FC21" s="245">
        <f>+FB21/FB$37</f>
        <v>1.2557898908306451E-2</v>
      </c>
      <c r="FD21" s="439"/>
      <c r="FE21" s="244">
        <v>13930742.800000001</v>
      </c>
      <c r="FF21" s="245">
        <f>+FE21/FE$37</f>
        <v>1.0539600395324342E-2</v>
      </c>
      <c r="FG21" s="439"/>
      <c r="FH21" s="244">
        <v>13650772.510000013</v>
      </c>
      <c r="FI21" s="325">
        <f>+FH21/FH$37</f>
        <v>9.9877420029751991E-3</v>
      </c>
      <c r="FJ21" s="325"/>
      <c r="FK21" s="244">
        <v>13713558.370000016</v>
      </c>
      <c r="FL21" s="325">
        <f>+FK21/FK$37</f>
        <v>9.347531178286345E-3</v>
      </c>
      <c r="FM21" s="325"/>
      <c r="FN21" s="244">
        <v>12989314.360000022</v>
      </c>
      <c r="FO21" s="325">
        <f>+FN21/FN$37</f>
        <v>8.1350552620143967E-3</v>
      </c>
      <c r="FP21" s="325"/>
      <c r="FQ21" s="244">
        <v>13496629.320000043</v>
      </c>
      <c r="FR21" s="325">
        <f>+FQ21/FQ$37</f>
        <v>8.10268376523543E-3</v>
      </c>
      <c r="FS21" s="325"/>
      <c r="FT21" s="244">
        <v>14376707.050000032</v>
      </c>
      <c r="FU21" s="325">
        <f>+FT21/FT$37</f>
        <v>8.404383568696671E-3</v>
      </c>
      <c r="FV21" s="440"/>
      <c r="FW21" s="244">
        <v>14150472.100000041</v>
      </c>
      <c r="FX21" s="325">
        <f>+FW21/FW$37</f>
        <v>8.0461602765251137E-3</v>
      </c>
      <c r="FY21" s="440"/>
      <c r="FZ21" s="244">
        <v>12855283.61000005</v>
      </c>
      <c r="GA21" s="325">
        <f>+FZ21/FZ$37</f>
        <v>7.0838013030775741E-3</v>
      </c>
      <c r="GB21" s="440"/>
      <c r="GC21" s="244">
        <v>12684323.290000055</v>
      </c>
      <c r="GD21" s="325">
        <f>+GC21/GC$37</f>
        <v>6.7452269368496768E-3</v>
      </c>
      <c r="GE21" s="244">
        <v>12069884.92000005</v>
      </c>
      <c r="GF21" s="325">
        <f>+GE21/GE$37</f>
        <v>6.0678637629143729E-3</v>
      </c>
      <c r="GG21" s="244">
        <v>11184084.789999999</v>
      </c>
      <c r="GH21" s="325">
        <f>+GG21/GG$37</f>
        <v>5.7749398644972695E-3</v>
      </c>
      <c r="GI21" s="244">
        <v>14331689.500000004</v>
      </c>
      <c r="GJ21" s="325">
        <f>+GI21/GI$37</f>
        <v>7.0984568130958358E-3</v>
      </c>
      <c r="GK21" s="244">
        <v>12439661.61000002</v>
      </c>
      <c r="GL21" s="325">
        <f>+GK21/GK$37</f>
        <v>6.0788724715345032E-3</v>
      </c>
      <c r="GM21" s="244">
        <v>9692563.1999999955</v>
      </c>
      <c r="GN21" s="325">
        <f>+GM21/GM$37</f>
        <v>4.8771677204241482E-3</v>
      </c>
      <c r="GO21" s="244">
        <v>9328782.2100000009</v>
      </c>
      <c r="GP21" s="1018">
        <f>+GO21/GO$37</f>
        <v>4.6909179855102942E-3</v>
      </c>
      <c r="GQ21" s="244">
        <v>8828923.200000003</v>
      </c>
      <c r="GR21" s="325">
        <f>+GQ21/GQ$37</f>
        <v>4.4618281369593017E-3</v>
      </c>
      <c r="GS21" s="440"/>
      <c r="GT21" s="244">
        <v>7038762.7399999993</v>
      </c>
      <c r="GU21" s="325">
        <f>+GT21/GT$37</f>
        <v>3.6714226510686735E-3</v>
      </c>
      <c r="GV21" s="440"/>
      <c r="GW21" s="1038">
        <v>6318503.1500000004</v>
      </c>
      <c r="GX21" s="325">
        <f>+GW21/GW$37</f>
        <v>3.4791863561890782E-3</v>
      </c>
      <c r="GY21" s="440"/>
      <c r="GZ21" s="244">
        <v>6134326.75</v>
      </c>
      <c r="HA21" s="325">
        <f>+GZ21/GZ$37</f>
        <v>3.3943401262334009E-3</v>
      </c>
      <c r="HB21" s="440"/>
      <c r="HC21" s="244">
        <v>6784288.9399999985</v>
      </c>
      <c r="HD21" s="325">
        <f>+HC21/HC$37</f>
        <v>3.8381516477345892E-3</v>
      </c>
      <c r="HE21" s="440"/>
      <c r="HF21" s="244">
        <v>6740136.1700000018</v>
      </c>
      <c r="HG21" s="325">
        <f>+HF21/HF$37</f>
        <v>3.8042478430556463E-3</v>
      </c>
      <c r="HH21" s="440"/>
      <c r="HI21" s="244">
        <v>7355519.6464264495</v>
      </c>
      <c r="HJ21" s="325">
        <f>+HI21/HI$37</f>
        <v>4.0497419194780752E-3</v>
      </c>
      <c r="HK21" s="440"/>
      <c r="HL21" s="244">
        <v>7300407.3866289221</v>
      </c>
      <c r="HM21" s="325">
        <f>+HL21/HL$37</f>
        <v>4.0497419194780752E-3</v>
      </c>
      <c r="HN21" s="440"/>
      <c r="HO21" s="244">
        <f>HI21*0.9</f>
        <v>6619967.6817838047</v>
      </c>
      <c r="HP21" s="325">
        <f>+HO21/HO$37</f>
        <v>3.7479086766612499E-3</v>
      </c>
      <c r="HQ21" s="580"/>
      <c r="HR21" s="244">
        <f>HL21*0.9</f>
        <v>6570366.6479660301</v>
      </c>
      <c r="HS21" s="325">
        <f>+HR21/HR$37</f>
        <v>3.7231208969643313E-3</v>
      </c>
      <c r="HT21" s="325"/>
      <c r="HU21" s="244">
        <f>HO21*0.9</f>
        <v>5957970.9136054246</v>
      </c>
      <c r="HV21" s="325">
        <f>+HU21/HU$37</f>
        <v>3.4134233917001307E-3</v>
      </c>
      <c r="HW21" s="325"/>
      <c r="HX21" s="325"/>
      <c r="HY21" s="325"/>
      <c r="HZ21" s="325"/>
      <c r="IA21" s="244">
        <v>54885976.179999977</v>
      </c>
      <c r="IB21" s="325">
        <f>+IA21/IA$37</f>
        <v>7.4168781666802269E-2</v>
      </c>
      <c r="IC21" s="249">
        <f>+X21</f>
        <v>30516309.07</v>
      </c>
      <c r="ID21" s="249">
        <f>+AD21</f>
        <v>29871543.830000002</v>
      </c>
      <c r="IE21" s="249">
        <f>+AJ21</f>
        <v>38129555.350000001</v>
      </c>
      <c r="IF21" s="249">
        <f>+AP21</f>
        <v>51180302.939999998</v>
      </c>
      <c r="IG21" s="167">
        <f>+AV21</f>
        <v>56974798.419999897</v>
      </c>
      <c r="IH21" s="167">
        <f>+BB21</f>
        <v>49166830.429999977</v>
      </c>
      <c r="II21" s="167">
        <f>+BH21</f>
        <v>41302775.560000002</v>
      </c>
      <c r="IJ21" s="167">
        <f>+BN21</f>
        <v>42697744.000000015</v>
      </c>
      <c r="IK21" s="167"/>
      <c r="IL21" s="167">
        <f>SUM(BT21,BV21,BX21)</f>
        <v>150002837.62000006</v>
      </c>
      <c r="IM21" s="167">
        <f>SUM(BZ21,CB21,CD21)</f>
        <v>184485428.05999994</v>
      </c>
      <c r="IN21" s="167">
        <f>SUM(CH21,CK21,CF21)</f>
        <v>252311551.65000007</v>
      </c>
      <c r="IO21" s="167">
        <f t="shared" ref="IO21:IO27" si="3">CQ21+CN21+CT21</f>
        <v>230335072.56000006</v>
      </c>
      <c r="IP21" s="167">
        <f>CW21+CZ21+DC21</f>
        <v>205398065.72999993</v>
      </c>
      <c r="IQ21" s="167">
        <f t="shared" si="0"/>
        <v>228573083.88999996</v>
      </c>
      <c r="IR21" s="167">
        <f>DO21+DR21+DU21</f>
        <v>250617993.59000018</v>
      </c>
      <c r="IS21" s="167">
        <f>DX21+EA21+ED21</f>
        <v>192512002.58000001</v>
      </c>
      <c r="IW21" s="167">
        <f t="shared" si="1"/>
        <v>42023808.470000118</v>
      </c>
      <c r="IX21" s="167">
        <f>FZ21+GC21+GE21</f>
        <v>37609491.820000157</v>
      </c>
      <c r="IY21" s="167">
        <f t="shared" si="2"/>
        <v>37955435.900000021</v>
      </c>
      <c r="IZ21" s="167">
        <f>+GQ21+GO21+GM21</f>
        <v>27850268.609999999</v>
      </c>
    </row>
    <row r="22" spans="1:265" ht="14.25" hidden="1" customHeight="1">
      <c r="A22" s="243">
        <v>7</v>
      </c>
      <c r="B22" s="242" t="s">
        <v>453</v>
      </c>
      <c r="D22" s="244"/>
      <c r="E22" s="247"/>
      <c r="F22" s="244"/>
      <c r="G22" s="247"/>
      <c r="H22" s="244"/>
      <c r="I22" s="248"/>
      <c r="J22" s="244"/>
      <c r="K22" s="248"/>
      <c r="L22" s="244"/>
      <c r="M22" s="248"/>
      <c r="N22" s="244"/>
      <c r="O22" s="248"/>
      <c r="P22" s="244"/>
      <c r="Q22" s="248"/>
      <c r="R22" s="244"/>
      <c r="S22" s="248"/>
      <c r="T22" s="244"/>
      <c r="U22" s="248"/>
      <c r="V22" s="244"/>
      <c r="W22" s="248"/>
      <c r="X22" s="244"/>
      <c r="Y22" s="248"/>
      <c r="Z22" s="244"/>
      <c r="AA22" s="248"/>
      <c r="AB22" s="244"/>
      <c r="AC22" s="248"/>
      <c r="AD22" s="244"/>
      <c r="AE22" s="248"/>
      <c r="AF22" s="244"/>
      <c r="AG22" s="248"/>
      <c r="AH22" s="244"/>
      <c r="AI22" s="248"/>
      <c r="AJ22" s="244"/>
      <c r="AK22" s="248"/>
      <c r="AL22" s="244"/>
      <c r="AM22" s="248"/>
      <c r="AN22" s="244"/>
      <c r="AO22" s="248"/>
      <c r="AP22" s="244"/>
      <c r="AQ22" s="248"/>
      <c r="AR22" s="244"/>
      <c r="AS22" s="248"/>
      <c r="AT22" s="244"/>
      <c r="AU22" s="248"/>
      <c r="AV22" s="244"/>
      <c r="AW22" s="248"/>
      <c r="AX22" s="244"/>
      <c r="AY22" s="245"/>
      <c r="AZ22" s="244"/>
      <c r="BA22" s="245"/>
      <c r="BB22" s="244"/>
      <c r="BC22" s="245"/>
      <c r="BD22" s="244"/>
      <c r="BE22" s="245"/>
      <c r="BF22" s="246"/>
      <c r="BG22" s="245"/>
      <c r="BH22" s="246"/>
      <c r="BI22" s="245"/>
      <c r="BJ22" s="246">
        <v>344249.9</v>
      </c>
      <c r="BK22" s="245">
        <f>+BJ22/$BJ$37</f>
        <v>2.076554066854649E-3</v>
      </c>
      <c r="BL22" s="246">
        <v>295228.06</v>
      </c>
      <c r="BM22" s="245">
        <f>+BL22/$BL$37</f>
        <v>1.5760788850176879E-3</v>
      </c>
      <c r="BN22" s="246">
        <v>225899.36</v>
      </c>
      <c r="BO22" s="245">
        <f>+BN22/BN$37</f>
        <v>1.2207189492541189E-3</v>
      </c>
      <c r="BP22" s="246">
        <v>175104.24</v>
      </c>
      <c r="BQ22" s="245">
        <f>+BP22/BP$37</f>
        <v>9.2156252794471346E-4</v>
      </c>
      <c r="BR22" s="246">
        <v>145873.16999999998</v>
      </c>
      <c r="BS22" s="245">
        <f>+BR22/BR$37</f>
        <v>7.0455719592080125E-4</v>
      </c>
      <c r="BT22" s="157"/>
      <c r="BU22" s="245"/>
      <c r="BV22" s="157"/>
      <c r="BW22" s="245"/>
      <c r="BX22" s="157"/>
      <c r="BY22" s="245"/>
      <c r="BZ22" s="157"/>
      <c r="CA22" s="245"/>
      <c r="CB22" s="157"/>
      <c r="CC22" s="245"/>
      <c r="CD22" s="244"/>
      <c r="CE22" s="245"/>
      <c r="CF22" s="244"/>
      <c r="CG22" s="245"/>
      <c r="CH22" s="244"/>
      <c r="CI22" s="245"/>
      <c r="CJ22" s="245"/>
      <c r="CK22" s="244"/>
      <c r="CL22" s="245"/>
      <c r="CM22" s="279"/>
      <c r="CN22" s="244"/>
      <c r="CO22" s="245"/>
      <c r="CP22" s="279"/>
      <c r="CQ22" s="244"/>
      <c r="CR22" s="245"/>
      <c r="CS22" s="279"/>
      <c r="CT22" s="244"/>
      <c r="CU22" s="245"/>
      <c r="CV22" s="235"/>
      <c r="CW22" s="244"/>
      <c r="CX22" s="245"/>
      <c r="CY22" s="439"/>
      <c r="CZ22" s="244"/>
      <c r="DA22" s="245"/>
      <c r="DB22" s="439"/>
      <c r="DC22" s="244"/>
      <c r="DD22" s="245"/>
      <c r="DE22" s="439"/>
      <c r="DF22" s="244"/>
      <c r="DG22" s="245"/>
      <c r="DH22" s="439"/>
      <c r="DI22" s="244"/>
      <c r="DJ22" s="245"/>
      <c r="DK22" s="439"/>
      <c r="DL22" s="244"/>
      <c r="DM22" s="245"/>
      <c r="DN22" s="439"/>
      <c r="DO22" s="244"/>
      <c r="DP22" s="245"/>
      <c r="DQ22" s="439"/>
      <c r="DR22" s="244"/>
      <c r="DS22" s="245"/>
      <c r="DT22" s="439"/>
      <c r="DU22" s="244"/>
      <c r="DV22" s="245"/>
      <c r="DW22" s="439"/>
      <c r="DX22" s="244"/>
      <c r="DY22" s="325"/>
      <c r="DZ22" s="325"/>
      <c r="EA22" s="244"/>
      <c r="EB22" s="325"/>
      <c r="EC22" s="325"/>
      <c r="ED22" s="244"/>
      <c r="EE22" s="325"/>
      <c r="EF22" s="325"/>
      <c r="EG22" s="244"/>
      <c r="EH22" s="245"/>
      <c r="EI22" s="439"/>
      <c r="EJ22" s="244"/>
      <c r="EK22" s="245"/>
      <c r="EL22" s="439"/>
      <c r="EM22" s="244"/>
      <c r="EN22" s="245"/>
      <c r="EO22" s="439"/>
      <c r="EP22" s="244"/>
      <c r="EQ22" s="245"/>
      <c r="ER22" s="439"/>
      <c r="ES22" s="244"/>
      <c r="ET22" s="245"/>
      <c r="EU22" s="439"/>
      <c r="EV22" s="244"/>
      <c r="EW22" s="245"/>
      <c r="EX22" s="439"/>
      <c r="EY22" s="244"/>
      <c r="EZ22" s="245"/>
      <c r="FA22" s="439"/>
      <c r="FB22" s="244"/>
      <c r="FC22" s="245"/>
      <c r="FD22" s="439"/>
      <c r="FE22" s="244"/>
      <c r="FF22" s="245"/>
      <c r="FG22" s="439"/>
      <c r="FH22" s="244"/>
      <c r="FI22" s="325"/>
      <c r="FJ22" s="325"/>
      <c r="FK22" s="244"/>
      <c r="FL22" s="325"/>
      <c r="FM22" s="325"/>
      <c r="FN22" s="244"/>
      <c r="FO22" s="325"/>
      <c r="FP22" s="325"/>
      <c r="FQ22" s="244"/>
      <c r="FR22" s="325"/>
      <c r="FS22" s="325"/>
      <c r="FT22" s="244"/>
      <c r="FU22" s="325"/>
      <c r="FV22" s="440"/>
      <c r="FW22" s="244"/>
      <c r="FX22" s="325"/>
      <c r="FY22" s="440"/>
      <c r="FZ22" s="244"/>
      <c r="GA22" s="325"/>
      <c r="GB22" s="440"/>
      <c r="GC22" s="244"/>
      <c r="GD22" s="325"/>
      <c r="GE22" s="244"/>
      <c r="GF22" s="325"/>
      <c r="GG22" s="244"/>
      <c r="GH22" s="325"/>
      <c r="GI22" s="244"/>
      <c r="GJ22" s="325"/>
      <c r="GK22" s="244"/>
      <c r="GL22" s="325"/>
      <c r="GM22" s="244">
        <v>0</v>
      </c>
      <c r="GN22" s="325"/>
      <c r="GO22" s="244"/>
      <c r="GP22" s="1018"/>
      <c r="GQ22" s="244"/>
      <c r="GR22" s="325"/>
      <c r="GS22" s="440"/>
      <c r="GT22" s="244"/>
      <c r="GU22" s="325"/>
      <c r="GV22" s="440"/>
      <c r="GW22" s="1038"/>
      <c r="GX22" s="325"/>
      <c r="GY22" s="440"/>
      <c r="GZ22" s="244"/>
      <c r="HA22" s="325"/>
      <c r="HB22" s="440"/>
      <c r="HC22" s="244">
        <v>28437954.629999988</v>
      </c>
      <c r="HD22" s="325"/>
      <c r="HE22" s="440"/>
      <c r="HF22" s="244">
        <v>28321693.189999998</v>
      </c>
      <c r="HG22" s="325"/>
      <c r="HH22" s="440"/>
      <c r="HI22" s="244">
        <v>7307342.0164264487</v>
      </c>
      <c r="HJ22" s="325"/>
      <c r="HK22" s="440"/>
      <c r="HL22" s="244">
        <v>7307342.0164264487</v>
      </c>
      <c r="HM22" s="325"/>
      <c r="HN22" s="440"/>
      <c r="HO22" s="244">
        <v>7307342.0164264487</v>
      </c>
      <c r="HP22" s="325"/>
      <c r="HQ22" s="580"/>
      <c r="HR22" s="244">
        <v>7307342.0164264487</v>
      </c>
      <c r="HS22" s="325"/>
      <c r="HT22" s="325"/>
      <c r="HU22" s="244">
        <v>7307342.0164264487</v>
      </c>
      <c r="HV22" s="325"/>
      <c r="HW22" s="325"/>
      <c r="HX22" s="325"/>
      <c r="HY22" s="325"/>
      <c r="HZ22" s="325"/>
      <c r="IA22" s="244"/>
      <c r="IB22" s="325"/>
      <c r="IC22" s="249"/>
      <c r="ID22" s="249"/>
      <c r="IE22" s="249"/>
      <c r="IF22" s="249"/>
      <c r="IG22" s="167"/>
      <c r="IH22" s="167"/>
      <c r="II22" s="167"/>
      <c r="IJ22" s="167">
        <f>+BN22</f>
        <v>225899.36</v>
      </c>
      <c r="IK22" s="167"/>
      <c r="IL22" s="167"/>
      <c r="IM22" s="167"/>
      <c r="IN22" s="167"/>
      <c r="IO22" s="167">
        <f t="shared" si="3"/>
        <v>0</v>
      </c>
      <c r="IP22" s="167">
        <f>CW22+CZ22</f>
        <v>0</v>
      </c>
      <c r="IQ22" s="167">
        <f t="shared" si="0"/>
        <v>0</v>
      </c>
      <c r="IR22" s="167">
        <f>DO22+DR22</f>
        <v>0</v>
      </c>
      <c r="IS22" s="167"/>
      <c r="IW22" s="167">
        <f t="shared" si="1"/>
        <v>0</v>
      </c>
      <c r="IX22" s="167">
        <f>FZ22</f>
        <v>0</v>
      </c>
      <c r="IY22" s="167">
        <f t="shared" si="2"/>
        <v>0</v>
      </c>
      <c r="IZ22" s="167">
        <f>GM22+GO22</f>
        <v>0</v>
      </c>
    </row>
    <row r="23" spans="1:265" ht="14.25" hidden="1" customHeight="1">
      <c r="A23" s="243">
        <v>8</v>
      </c>
      <c r="B23" s="242" t="s">
        <v>454</v>
      </c>
      <c r="D23" s="244"/>
      <c r="E23" s="247"/>
      <c r="F23" s="244"/>
      <c r="G23" s="247"/>
      <c r="H23" s="244"/>
      <c r="I23" s="248"/>
      <c r="J23" s="244"/>
      <c r="K23" s="248"/>
      <c r="L23" s="244"/>
      <c r="M23" s="248"/>
      <c r="N23" s="244"/>
      <c r="O23" s="248"/>
      <c r="P23" s="244"/>
      <c r="Q23" s="248"/>
      <c r="R23" s="244"/>
      <c r="S23" s="248"/>
      <c r="T23" s="244"/>
      <c r="U23" s="248"/>
      <c r="V23" s="244"/>
      <c r="W23" s="248"/>
      <c r="X23" s="244"/>
      <c r="Y23" s="248"/>
      <c r="Z23" s="244"/>
      <c r="AA23" s="248"/>
      <c r="AB23" s="244"/>
      <c r="AC23" s="248"/>
      <c r="AD23" s="244"/>
      <c r="AE23" s="248"/>
      <c r="AF23" s="244"/>
      <c r="AG23" s="248"/>
      <c r="AH23" s="244"/>
      <c r="AI23" s="248"/>
      <c r="AJ23" s="244"/>
      <c r="AK23" s="248"/>
      <c r="AL23" s="244"/>
      <c r="AM23" s="248"/>
      <c r="AN23" s="244"/>
      <c r="AO23" s="248"/>
      <c r="AP23" s="244"/>
      <c r="AQ23" s="248"/>
      <c r="AR23" s="244"/>
      <c r="AS23" s="248"/>
      <c r="AT23" s="244"/>
      <c r="AU23" s="248"/>
      <c r="AV23" s="244"/>
      <c r="AW23" s="248"/>
      <c r="AX23" s="244"/>
      <c r="AY23" s="245"/>
      <c r="AZ23" s="244"/>
      <c r="BA23" s="245"/>
      <c r="BB23" s="244"/>
      <c r="BC23" s="245"/>
      <c r="BD23" s="244"/>
      <c r="BE23" s="245"/>
      <c r="BF23" s="246">
        <v>180379.27</v>
      </c>
      <c r="BG23" s="245">
        <f>+BF23/$BF$37</f>
        <v>1.1897629246408917E-3</v>
      </c>
      <c r="BH23" s="246">
        <v>140242.63999999998</v>
      </c>
      <c r="BI23" s="245">
        <f>+BH23/$BH$37</f>
        <v>8.995262636488754E-4</v>
      </c>
      <c r="BJ23" s="246">
        <v>316625.74</v>
      </c>
      <c r="BK23" s="245">
        <f>+BJ23/$BJ$37</f>
        <v>1.9099220306755722E-3</v>
      </c>
      <c r="BL23" s="246">
        <v>176672.73</v>
      </c>
      <c r="BM23" s="245">
        <f>+BL23/$BL$37</f>
        <v>9.4316969501960968E-4</v>
      </c>
      <c r="BN23" s="246">
        <v>298077.48</v>
      </c>
      <c r="BO23" s="245">
        <f>+BN23/BN$37</f>
        <v>1.6107563482336365E-3</v>
      </c>
      <c r="BP23" s="246">
        <v>255454.60000000003</v>
      </c>
      <c r="BQ23" s="245">
        <f>+BP23/BP$37</f>
        <v>1.3444413850350263E-3</v>
      </c>
      <c r="BR23" s="246">
        <v>131433.70000000001</v>
      </c>
      <c r="BS23" s="245">
        <f>+BR23/BR$37</f>
        <v>6.3481556698531899E-4</v>
      </c>
      <c r="BT23" s="157"/>
      <c r="BU23" s="245"/>
      <c r="BV23" s="157"/>
      <c r="BW23" s="245"/>
      <c r="BX23" s="157"/>
      <c r="BY23" s="245"/>
      <c r="BZ23" s="157"/>
      <c r="CA23" s="245"/>
      <c r="CB23" s="157"/>
      <c r="CC23" s="245"/>
      <c r="CD23" s="244"/>
      <c r="CE23" s="245"/>
      <c r="CF23" s="244"/>
      <c r="CG23" s="245"/>
      <c r="CH23" s="244"/>
      <c r="CI23" s="245"/>
      <c r="CJ23" s="245"/>
      <c r="CK23" s="244"/>
      <c r="CL23" s="245"/>
      <c r="CM23" s="279"/>
      <c r="CN23" s="244"/>
      <c r="CO23" s="245"/>
      <c r="CP23" s="279"/>
      <c r="CQ23" s="244"/>
      <c r="CR23" s="245"/>
      <c r="CS23" s="279"/>
      <c r="CT23" s="244"/>
      <c r="CU23" s="245"/>
      <c r="CV23" s="235"/>
      <c r="CW23" s="244"/>
      <c r="CX23" s="245"/>
      <c r="CY23" s="439"/>
      <c r="CZ23" s="244"/>
      <c r="DA23" s="245"/>
      <c r="DB23" s="439"/>
      <c r="DC23" s="244"/>
      <c r="DD23" s="245"/>
      <c r="DE23" s="439"/>
      <c r="DF23" s="244"/>
      <c r="DG23" s="245"/>
      <c r="DH23" s="439"/>
      <c r="DI23" s="244"/>
      <c r="DJ23" s="245"/>
      <c r="DK23" s="439"/>
      <c r="DL23" s="244"/>
      <c r="DM23" s="245"/>
      <c r="DN23" s="439"/>
      <c r="DO23" s="244"/>
      <c r="DP23" s="245"/>
      <c r="DQ23" s="439"/>
      <c r="DR23" s="244"/>
      <c r="DS23" s="245"/>
      <c r="DT23" s="439"/>
      <c r="DU23" s="244"/>
      <c r="DV23" s="245"/>
      <c r="DW23" s="439"/>
      <c r="DX23" s="244"/>
      <c r="DY23" s="325"/>
      <c r="DZ23" s="325"/>
      <c r="EA23" s="244"/>
      <c r="EB23" s="325"/>
      <c r="EC23" s="325"/>
      <c r="ED23" s="244"/>
      <c r="EE23" s="325"/>
      <c r="EF23" s="325"/>
      <c r="EG23" s="244"/>
      <c r="EH23" s="245"/>
      <c r="EI23" s="439"/>
      <c r="EJ23" s="244"/>
      <c r="EK23" s="245"/>
      <c r="EL23" s="439"/>
      <c r="EM23" s="244"/>
      <c r="EN23" s="245"/>
      <c r="EO23" s="439"/>
      <c r="EP23" s="244"/>
      <c r="EQ23" s="245"/>
      <c r="ER23" s="439"/>
      <c r="ES23" s="244"/>
      <c r="ET23" s="245"/>
      <c r="EU23" s="439"/>
      <c r="EV23" s="244"/>
      <c r="EW23" s="245"/>
      <c r="EX23" s="439"/>
      <c r="EY23" s="244"/>
      <c r="EZ23" s="245"/>
      <c r="FA23" s="439"/>
      <c r="FB23" s="244"/>
      <c r="FC23" s="245"/>
      <c r="FD23" s="439"/>
      <c r="FE23" s="244"/>
      <c r="FF23" s="245"/>
      <c r="FG23" s="439"/>
      <c r="FH23" s="244"/>
      <c r="FI23" s="325"/>
      <c r="FJ23" s="325"/>
      <c r="FK23" s="244"/>
      <c r="FL23" s="325"/>
      <c r="FM23" s="325"/>
      <c r="FN23" s="244"/>
      <c r="FO23" s="325"/>
      <c r="FP23" s="325"/>
      <c r="FQ23" s="244"/>
      <c r="FR23" s="325"/>
      <c r="FS23" s="325"/>
      <c r="FT23" s="244"/>
      <c r="FU23" s="325"/>
      <c r="FV23" s="440"/>
      <c r="FW23" s="244"/>
      <c r="FX23" s="325"/>
      <c r="FY23" s="440"/>
      <c r="FZ23" s="244"/>
      <c r="GA23" s="325"/>
      <c r="GB23" s="440"/>
      <c r="GC23" s="244"/>
      <c r="GD23" s="325"/>
      <c r="GE23" s="244"/>
      <c r="GF23" s="325"/>
      <c r="GG23" s="244"/>
      <c r="GH23" s="325"/>
      <c r="GI23" s="244"/>
      <c r="GJ23" s="325"/>
      <c r="GK23" s="244"/>
      <c r="GL23" s="325"/>
      <c r="GM23" s="244">
        <v>0</v>
      </c>
      <c r="GN23" s="325"/>
      <c r="GO23" s="244"/>
      <c r="GP23" s="1018"/>
      <c r="GQ23" s="244"/>
      <c r="GR23" s="325"/>
      <c r="GS23" s="440"/>
      <c r="GT23" s="244"/>
      <c r="GU23" s="325"/>
      <c r="GV23" s="440"/>
      <c r="GW23" s="1038"/>
      <c r="GX23" s="325"/>
      <c r="GY23" s="440"/>
      <c r="GZ23" s="244"/>
      <c r="HA23" s="325"/>
      <c r="HB23" s="440"/>
      <c r="HC23" s="244">
        <v>45196959.609999999</v>
      </c>
      <c r="HD23" s="325"/>
      <c r="HE23" s="440"/>
      <c r="HF23" s="244">
        <v>49365540.090000004</v>
      </c>
      <c r="HG23" s="325"/>
      <c r="HH23" s="440"/>
      <c r="HI23" s="244">
        <v>7307342.0164264487</v>
      </c>
      <c r="HJ23" s="325"/>
      <c r="HK23" s="440"/>
      <c r="HL23" s="244">
        <v>7307342.0164264487</v>
      </c>
      <c r="HM23" s="325"/>
      <c r="HN23" s="440"/>
      <c r="HO23" s="244">
        <v>7307342.0164264487</v>
      </c>
      <c r="HP23" s="325"/>
      <c r="HQ23" s="580"/>
      <c r="HR23" s="244">
        <v>7307342.0164264487</v>
      </c>
      <c r="HS23" s="325"/>
      <c r="HT23" s="325"/>
      <c r="HU23" s="244">
        <v>7307342.0164264487</v>
      </c>
      <c r="HV23" s="325"/>
      <c r="HW23" s="325"/>
      <c r="HX23" s="325"/>
      <c r="HY23" s="325"/>
      <c r="HZ23" s="325"/>
      <c r="IA23" s="244"/>
      <c r="IB23" s="325"/>
      <c r="IC23" s="249"/>
      <c r="ID23" s="249"/>
      <c r="IE23" s="249"/>
      <c r="IF23" s="249"/>
      <c r="IG23" s="167"/>
      <c r="IH23" s="167"/>
      <c r="II23" s="167">
        <f>+BH23</f>
        <v>140242.63999999998</v>
      </c>
      <c r="IJ23" s="167">
        <f>+BN23</f>
        <v>298077.48</v>
      </c>
      <c r="IK23" s="167"/>
      <c r="IL23" s="167"/>
      <c r="IM23" s="167"/>
      <c r="IN23" s="167"/>
      <c r="IO23" s="167">
        <f t="shared" si="3"/>
        <v>0</v>
      </c>
      <c r="IP23" s="167">
        <f>CW23+CZ23</f>
        <v>0</v>
      </c>
      <c r="IQ23" s="167">
        <f t="shared" si="0"/>
        <v>0</v>
      </c>
      <c r="IR23" s="167">
        <f>DO23+DR23</f>
        <v>0</v>
      </c>
      <c r="IS23" s="167"/>
      <c r="IW23" s="167">
        <f t="shared" si="1"/>
        <v>0</v>
      </c>
      <c r="IX23" s="167">
        <f>FZ23</f>
        <v>0</v>
      </c>
      <c r="IY23" s="167">
        <f t="shared" si="2"/>
        <v>0</v>
      </c>
      <c r="IZ23" s="167">
        <f>GM23+GO23</f>
        <v>0</v>
      </c>
    </row>
    <row r="24" spans="1:265" ht="14.25" customHeight="1">
      <c r="A24" s="243">
        <v>9</v>
      </c>
      <c r="B24" s="242" t="s">
        <v>446</v>
      </c>
      <c r="D24" s="244"/>
      <c r="E24" s="247"/>
      <c r="F24" s="244"/>
      <c r="G24" s="247"/>
      <c r="H24" s="244"/>
      <c r="I24" s="248"/>
      <c r="J24" s="244"/>
      <c r="K24" s="248"/>
      <c r="L24" s="244"/>
      <c r="M24" s="248"/>
      <c r="N24" s="244">
        <v>2060000</v>
      </c>
      <c r="O24" s="248">
        <f>+N24/$N$37</f>
        <v>4.7335885169158369E-2</v>
      </c>
      <c r="P24" s="244">
        <v>5520106.7999999998</v>
      </c>
      <c r="Q24" s="248">
        <f>+P24/$P$37</f>
        <v>0.11095145135436639</v>
      </c>
      <c r="R24" s="244">
        <v>5589636.6600000001</v>
      </c>
      <c r="S24" s="248">
        <f>+R24/$R$37</f>
        <v>0.10934785518884087</v>
      </c>
      <c r="T24" s="244">
        <v>7259200.7699999996</v>
      </c>
      <c r="U24" s="248">
        <f>+T24/$T$37</f>
        <v>0.1276276190155978</v>
      </c>
      <c r="V24" s="244">
        <v>10917055.439999999</v>
      </c>
      <c r="W24" s="248">
        <f>+V24/$V$37</f>
        <v>0.1706114338138808</v>
      </c>
      <c r="X24" s="244">
        <v>15178072.460000001</v>
      </c>
      <c r="Y24" s="248">
        <f>+X24/$X$37</f>
        <v>0.2380700260502624</v>
      </c>
      <c r="Z24" s="244">
        <v>18823291.710000001</v>
      </c>
      <c r="AA24" s="248">
        <f>+Z24/$Z$37</f>
        <v>0.28332088481979895</v>
      </c>
      <c r="AB24" s="244">
        <v>24958810.370000001</v>
      </c>
      <c r="AC24" s="248">
        <f>+AB24/$AB$37</f>
        <v>0.33391135550824713</v>
      </c>
      <c r="AD24" s="244">
        <v>27605468.390000001</v>
      </c>
      <c r="AE24" s="248">
        <f>+AD24/$AD$37</f>
        <v>0.35211673331696453</v>
      </c>
      <c r="AF24" s="244">
        <v>31913807.18</v>
      </c>
      <c r="AG24" s="248">
        <f>+AF24/$AF$37</f>
        <v>0.36855705975844022</v>
      </c>
      <c r="AH24" s="244">
        <v>36601687.469999999</v>
      </c>
      <c r="AI24" s="248">
        <f>+AH24/$AH$37</f>
        <v>0.38593258822430038</v>
      </c>
      <c r="AJ24" s="244">
        <v>38636317.060000002</v>
      </c>
      <c r="AK24" s="248">
        <f>+AJ24/$AJ$37</f>
        <v>0.36277347355550654</v>
      </c>
      <c r="AL24" s="244">
        <v>43743609.320000015</v>
      </c>
      <c r="AM24" s="248">
        <f>+AL24/$AL$37</f>
        <v>0.37051311318291974</v>
      </c>
      <c r="AN24" s="244">
        <v>54239116.87000002</v>
      </c>
      <c r="AO24" s="248">
        <f>+AN24/$AN$37</f>
        <v>0.38058616075118873</v>
      </c>
      <c r="AP24" s="244">
        <v>58072344.670000002</v>
      </c>
      <c r="AQ24" s="248">
        <f>+AP24/$AP$37</f>
        <v>0.3878126792373775</v>
      </c>
      <c r="AR24" s="244">
        <v>61232227.889999986</v>
      </c>
      <c r="AS24" s="248">
        <f>+AR24/$AR$37</f>
        <v>0.3902155954642646</v>
      </c>
      <c r="AT24" s="244">
        <v>65370505.380000003</v>
      </c>
      <c r="AU24" s="248">
        <f>+AT24/$AT$37</f>
        <v>0.36830190036940968</v>
      </c>
      <c r="AV24" s="244">
        <v>60203205.369999997</v>
      </c>
      <c r="AW24" s="248">
        <f>+AV24/$AV$37</f>
        <v>0.35269654938508255</v>
      </c>
      <c r="AX24" s="244">
        <v>55847344.280000001</v>
      </c>
      <c r="AY24" s="245">
        <f>+AX24/$AX$37</f>
        <v>0.35569855317643434</v>
      </c>
      <c r="AZ24" s="244">
        <v>55453675.670000002</v>
      </c>
      <c r="BA24" s="245">
        <f>+AZ24/$AZ$37</f>
        <v>0.35723471070878182</v>
      </c>
      <c r="BB24" s="244">
        <f>51725457.55-3274</f>
        <v>51722183.549999997</v>
      </c>
      <c r="BC24" s="245">
        <f>+BB24/$BB$37</f>
        <v>0.33478974192869576</v>
      </c>
      <c r="BD24" s="244">
        <v>49245915.909999996</v>
      </c>
      <c r="BE24" s="245">
        <f>+BD24/$BD$37</f>
        <v>0.33244210277406117</v>
      </c>
      <c r="BF24" s="246">
        <v>48891047.899999999</v>
      </c>
      <c r="BG24" s="245">
        <f>+BF24/$BF$37</f>
        <v>0.3224802724740039</v>
      </c>
      <c r="BH24" s="246">
        <v>45262129.890000001</v>
      </c>
      <c r="BI24" s="245">
        <f>+BH24/$BH$37</f>
        <v>0.29031451907024702</v>
      </c>
      <c r="BJ24" s="246">
        <v>39938924.420000002</v>
      </c>
      <c r="BK24" s="245">
        <f>+BJ24/$BJ$37</f>
        <v>0.24091607849458041</v>
      </c>
      <c r="BL24" s="246">
        <v>44603249.569999985</v>
      </c>
      <c r="BM24" s="245">
        <f>+BL24/$BL$37</f>
        <v>0.23811503503579995</v>
      </c>
      <c r="BN24" s="246">
        <v>45923137.310000002</v>
      </c>
      <c r="BO24" s="245">
        <f>+BN24/BN$37</f>
        <v>0.24816026005348499</v>
      </c>
      <c r="BP24" s="246">
        <v>46028544.329999976</v>
      </c>
      <c r="BQ24" s="245">
        <f>+BP24/BP$37</f>
        <v>0.24224531439312996</v>
      </c>
      <c r="BR24" s="246">
        <v>51603143.120000012</v>
      </c>
      <c r="BS24" s="245">
        <f>+BR24/BR$37</f>
        <v>0.24923956761429808</v>
      </c>
      <c r="BT24" s="246">
        <v>57438296.169999994</v>
      </c>
      <c r="BU24" s="245">
        <f>+BT24/BT$37</f>
        <v>0.24976284290676848</v>
      </c>
      <c r="BV24" s="244">
        <v>57835959.909999967</v>
      </c>
      <c r="BW24" s="245">
        <f>+BV24/BV$37</f>
        <v>0.24493567781192457</v>
      </c>
      <c r="BX24" s="244">
        <f>61936024.6+7894.21</f>
        <v>61943918.810000002</v>
      </c>
      <c r="BY24" s="245">
        <f>+BX24/BX$37</f>
        <v>0.23699722875977319</v>
      </c>
      <c r="BZ24" s="244">
        <v>66514491.150000036</v>
      </c>
      <c r="CA24" s="245">
        <f>+BZ24/BZ$37</f>
        <v>0.24434686753946672</v>
      </c>
      <c r="CB24" s="244">
        <v>70008647.729999989</v>
      </c>
      <c r="CC24" s="245">
        <f>+CB24/CB$37</f>
        <v>0.24881243735047873</v>
      </c>
      <c r="CD24" s="244">
        <f>76531815.7200002+2368.63</f>
        <v>76534184.350000203</v>
      </c>
      <c r="CE24" s="245">
        <f>+CD24/CD$37</f>
        <v>0.24473204901874451</v>
      </c>
      <c r="CF24" s="244">
        <v>78846118.270000011</v>
      </c>
      <c r="CG24" s="245">
        <f>+CF24/CF$37</f>
        <v>0.2319752441307695</v>
      </c>
      <c r="CH24" s="244">
        <v>81522613.220000044</v>
      </c>
      <c r="CI24" s="245">
        <f>+CH24/CH$37</f>
        <v>0.2224570610684114</v>
      </c>
      <c r="CJ24" s="245"/>
      <c r="CK24" s="244">
        <v>87520350.480000004</v>
      </c>
      <c r="CL24" s="245">
        <f>+CK24/CK$37</f>
        <v>0.2169881114503675</v>
      </c>
      <c r="CM24" s="279"/>
      <c r="CN24" s="244">
        <v>80952149.699999973</v>
      </c>
      <c r="CO24" s="245">
        <f>+CN24/CN$37</f>
        <v>0.20324463397198628</v>
      </c>
      <c r="CP24" s="279"/>
      <c r="CQ24" s="244">
        <v>77615987.949999973</v>
      </c>
      <c r="CR24" s="245">
        <f>+CQ24/CQ$37</f>
        <v>0.19139222488320415</v>
      </c>
      <c r="CS24" s="279"/>
      <c r="CT24" s="244">
        <f>82536755.53+100431</f>
        <v>82637186.530000001</v>
      </c>
      <c r="CU24" s="245">
        <f>+CT24/CT$37</f>
        <v>0.18650682268559132</v>
      </c>
      <c r="CV24" s="235"/>
      <c r="CW24" s="244">
        <f>81581806.68+78118</f>
        <v>81659924.680000007</v>
      </c>
      <c r="CX24" s="245">
        <f>+CW24/CW$37</f>
        <v>0.17746925838757435</v>
      </c>
      <c r="CY24" s="439"/>
      <c r="CZ24" s="244">
        <v>81144676.560000032</v>
      </c>
      <c r="DA24" s="245">
        <f>+CZ24/CZ$37</f>
        <v>0.17113357199365134</v>
      </c>
      <c r="DB24" s="439"/>
      <c r="DC24" s="244">
        <v>78103738.640000015</v>
      </c>
      <c r="DD24" s="245">
        <f>+DC24/DC$37</f>
        <v>0.15580538679709083</v>
      </c>
      <c r="DE24" s="439"/>
      <c r="DF24" s="244">
        <v>73951943</v>
      </c>
      <c r="DG24" s="245">
        <f>+DF24/DF$37</f>
        <v>0.13841357241803334</v>
      </c>
      <c r="DH24" s="439"/>
      <c r="DI24" s="244">
        <v>73012285.899999976</v>
      </c>
      <c r="DJ24" s="245">
        <f>+DI24/DI$37</f>
        <v>0.13169962830726215</v>
      </c>
      <c r="DK24" s="439"/>
      <c r="DL24" s="244">
        <v>67427670.720000014</v>
      </c>
      <c r="DM24" s="245">
        <f>+DL24/DL$37</f>
        <v>0.11684279546187136</v>
      </c>
      <c r="DN24" s="439"/>
      <c r="DO24" s="244">
        <v>67883886.48999998</v>
      </c>
      <c r="DP24" s="245">
        <f>+DO24/DO$37</f>
        <v>0.11098362231381029</v>
      </c>
      <c r="DQ24" s="439"/>
      <c r="DR24" s="244">
        <v>68449246.439999998</v>
      </c>
      <c r="DS24" s="245">
        <f>+DR24/DR$37</f>
        <v>0.10995721292395615</v>
      </c>
      <c r="DT24" s="439"/>
      <c r="DU24" s="244">
        <v>73517041.849999994</v>
      </c>
      <c r="DV24" s="245">
        <f>+DU24/DU$37</f>
        <v>0.10691858991080296</v>
      </c>
      <c r="DW24" s="439"/>
      <c r="DX24" s="244">
        <v>71356421.730000019</v>
      </c>
      <c r="DY24" s="325">
        <f>+DX24/DX$37</f>
        <v>0.10632741428866477</v>
      </c>
      <c r="DZ24" s="325"/>
      <c r="EA24" s="244">
        <v>78341671.770000041</v>
      </c>
      <c r="EB24" s="325">
        <f>+EA24/EA$37</f>
        <v>0.11205254301525737</v>
      </c>
      <c r="EC24" s="325"/>
      <c r="ED24" s="244">
        <v>90637041.579999954</v>
      </c>
      <c r="EE24" s="325">
        <f>+ED24/ED$37</f>
        <v>0.12248008354311644</v>
      </c>
      <c r="EF24" s="325"/>
      <c r="EG24" s="244">
        <v>100108925.75</v>
      </c>
      <c r="EH24" s="245">
        <f>+EG24/EG$37</f>
        <v>0.12522240688922537</v>
      </c>
      <c r="EI24" s="439"/>
      <c r="EJ24" s="244">
        <v>100044824.37</v>
      </c>
      <c r="EK24" s="245">
        <f>+EJ24/EJ$37</f>
        <v>0.11915491104319079</v>
      </c>
      <c r="EL24" s="439"/>
      <c r="EM24" s="244">
        <v>109833271.02999999</v>
      </c>
      <c r="EN24" s="245">
        <f>+EM24/EM$37</f>
        <v>0.12330481716997473</v>
      </c>
      <c r="EO24" s="439"/>
      <c r="EP24" s="244">
        <v>121108840.78999753</v>
      </c>
      <c r="EQ24" s="245">
        <f>+EP24/EP$37</f>
        <v>0.12796268910658415</v>
      </c>
      <c r="ER24" s="439"/>
      <c r="ES24" s="244">
        <v>124090821.31999998</v>
      </c>
      <c r="ET24" s="245">
        <f>+ES24/ES$37</f>
        <v>0.12468406607528291</v>
      </c>
      <c r="EU24" s="439"/>
      <c r="EV24" s="244">
        <v>127284148.27</v>
      </c>
      <c r="EW24" s="245">
        <f>+EV24/EV$37</f>
        <v>0.11784609705937341</v>
      </c>
      <c r="EX24" s="439"/>
      <c r="EY24" s="244">
        <v>133496113.32000011</v>
      </c>
      <c r="EZ24" s="245">
        <f>+EY24/EY$37</f>
        <v>0.11756741027789377</v>
      </c>
      <c r="FA24" s="439"/>
      <c r="FB24" s="244">
        <v>136906746.65000013</v>
      </c>
      <c r="FC24" s="245">
        <f>+FB24/FB$37</f>
        <v>0.11379023105173877</v>
      </c>
      <c r="FD24" s="439"/>
      <c r="FE24" s="244">
        <v>135570205.51999998</v>
      </c>
      <c r="FF24" s="245">
        <f>+FE24/FE$37</f>
        <v>0.10256852862812126</v>
      </c>
      <c r="FG24" s="439"/>
      <c r="FH24" s="244">
        <v>126250514.71000014</v>
      </c>
      <c r="FI24" s="325">
        <f>+FH24/FH$37</f>
        <v>9.2372616109643563E-2</v>
      </c>
      <c r="FJ24" s="325"/>
      <c r="FK24" s="244">
        <v>113930375.67000017</v>
      </c>
      <c r="FL24" s="325">
        <f>+FK24/FK$37</f>
        <v>7.7658016249009573E-2</v>
      </c>
      <c r="FM24" s="325"/>
      <c r="FN24" s="244">
        <v>101589169.17999983</v>
      </c>
      <c r="FO24" s="325">
        <f>+FN24/FN$37</f>
        <v>6.3624105352811475E-2</v>
      </c>
      <c r="FP24" s="325"/>
      <c r="FQ24" s="244">
        <v>92235872.830000147</v>
      </c>
      <c r="FR24" s="325">
        <f>+FQ24/FQ$37</f>
        <v>5.5373685653831044E-2</v>
      </c>
      <c r="FS24" s="325"/>
      <c r="FT24" s="244">
        <v>77807769.890000314</v>
      </c>
      <c r="FU24" s="325">
        <f>+FT24/FT$37</f>
        <v>4.5485126775289528E-2</v>
      </c>
      <c r="FV24" s="440"/>
      <c r="FW24" s="244">
        <v>66317687.030000009</v>
      </c>
      <c r="FX24" s="325">
        <f>+FW24/FW$37</f>
        <v>3.7709182791986796E-2</v>
      </c>
      <c r="FY24" s="440"/>
      <c r="FZ24" s="244">
        <v>60461188.730000019</v>
      </c>
      <c r="GA24" s="325">
        <f>+FZ24/FZ$37</f>
        <v>3.3316654887180011E-2</v>
      </c>
      <c r="GB24" s="440"/>
      <c r="GC24" s="244">
        <v>55108894.370000072</v>
      </c>
      <c r="GD24" s="325">
        <f>+GC24/GC$37</f>
        <v>2.9305623190602734E-2</v>
      </c>
      <c r="GE24" s="244">
        <v>49217054.380000077</v>
      </c>
      <c r="GF24" s="325">
        <f>+GE24/GE$37</f>
        <v>2.474276952673608E-2</v>
      </c>
      <c r="GG24" s="244">
        <v>44483222.269999951</v>
      </c>
      <c r="GH24" s="325">
        <f>+GG24/GG$37</f>
        <v>2.2969061698996245E-2</v>
      </c>
      <c r="GI24" s="244">
        <v>47044047.410000004</v>
      </c>
      <c r="GJ24" s="325">
        <f>+GI24/GI$37</f>
        <v>2.3300821501409025E-2</v>
      </c>
      <c r="GK24" s="244">
        <v>43951743.87000002</v>
      </c>
      <c r="GL24" s="325">
        <f>+GK24/GK$37</f>
        <v>2.1477838727743177E-2</v>
      </c>
      <c r="GM24" s="244">
        <v>43739923.470000014</v>
      </c>
      <c r="GN24" s="325">
        <f>+GM24/GM$37</f>
        <v>2.2009342465954391E-2</v>
      </c>
      <c r="GO24" s="244">
        <v>42552350.100000001</v>
      </c>
      <c r="GP24" s="1018">
        <f>+GO24/GO$37</f>
        <v>2.1397174884825693E-2</v>
      </c>
      <c r="GQ24" s="244">
        <v>41060210.529999994</v>
      </c>
      <c r="GR24" s="325">
        <f>+GQ24/GQ$37</f>
        <v>2.0750390336641108E-2</v>
      </c>
      <c r="GS24" s="440"/>
      <c r="GT24" s="244">
        <v>38109687.530000009</v>
      </c>
      <c r="GU24" s="325">
        <f>+GT24/GT$37</f>
        <v>1.9878034704546872E-2</v>
      </c>
      <c r="GV24" s="440"/>
      <c r="GW24" s="1038">
        <v>33310712.629999995</v>
      </c>
      <c r="GX24" s="325">
        <f>+GW24/GW$37</f>
        <v>1.834203040592473E-2</v>
      </c>
      <c r="GY24" s="440"/>
      <c r="GZ24" s="244">
        <v>31483507.310000002</v>
      </c>
      <c r="HA24" s="325">
        <f>+GZ24/GZ$37</f>
        <v>1.7420939009630619E-2</v>
      </c>
      <c r="HB24" s="440"/>
      <c r="HC24" s="244">
        <v>28437954.629999988</v>
      </c>
      <c r="HD24" s="325">
        <f>+HC24/HC$37</f>
        <v>1.6088522081922997E-2</v>
      </c>
      <c r="HE24" s="440"/>
      <c r="HF24" s="244">
        <v>28321693.189999998</v>
      </c>
      <c r="HG24" s="325">
        <f>+HF24/HF$37</f>
        <v>1.598524681286094E-2</v>
      </c>
      <c r="HH24" s="440"/>
      <c r="HI24" s="244">
        <v>28750474.683195617</v>
      </c>
      <c r="HJ24" s="325">
        <f>+HI24/HI$37</f>
        <v>1.5829201487619828E-2</v>
      </c>
      <c r="HK24" s="440"/>
      <c r="HL24" s="244">
        <v>28535057.730185054</v>
      </c>
      <c r="HM24" s="325">
        <f>+HL24/HL$37</f>
        <v>1.5829201487619828E-2</v>
      </c>
      <c r="HN24" s="440"/>
      <c r="HO24" s="244">
        <f>HI24*0.9</f>
        <v>25875427.214876056</v>
      </c>
      <c r="HP24" s="325">
        <f>+HO24/HO$37</f>
        <v>1.4649427736302617E-2</v>
      </c>
      <c r="HQ24" s="580"/>
      <c r="HR24" s="244">
        <f>HL24*0.9</f>
        <v>25681551.957166549</v>
      </c>
      <c r="HS24" s="325">
        <f>+HR24/HR$37</f>
        <v>1.4552539893310432E-2</v>
      </c>
      <c r="HT24" s="325"/>
      <c r="HU24" s="244">
        <f>HO24*0.9</f>
        <v>23287884.493388452</v>
      </c>
      <c r="HV24" s="325">
        <f>+HU24/HU$37</f>
        <v>1.3342027147433525E-2</v>
      </c>
      <c r="HW24" s="325"/>
      <c r="HX24" s="325"/>
      <c r="HY24" s="325"/>
      <c r="HZ24" s="325"/>
      <c r="IA24" s="244">
        <v>90637041.579999954</v>
      </c>
      <c r="IB24" s="325">
        <f>+IA24/IA$37</f>
        <v>0.12248008354311644</v>
      </c>
      <c r="IC24" s="249">
        <f>+X24</f>
        <v>15178072.460000001</v>
      </c>
      <c r="ID24" s="249">
        <f>+AD24</f>
        <v>27605468.390000001</v>
      </c>
      <c r="IE24" s="249">
        <f>+AJ24</f>
        <v>38636317.060000002</v>
      </c>
      <c r="IF24" s="249">
        <f>+AP24</f>
        <v>58072344.670000002</v>
      </c>
      <c r="IG24" s="167">
        <f>+AV24</f>
        <v>60203205.369999997</v>
      </c>
      <c r="IH24" s="167">
        <f>+BB24</f>
        <v>51722183.549999997</v>
      </c>
      <c r="II24" s="167">
        <f>+BH24</f>
        <v>45262129.890000001</v>
      </c>
      <c r="IJ24" s="167">
        <f>+BN24</f>
        <v>45923137.310000002</v>
      </c>
      <c r="IK24" s="167"/>
      <c r="IL24" s="167">
        <f>SUM(BT24,BV24,BX24)</f>
        <v>177218174.88999996</v>
      </c>
      <c r="IM24" s="167">
        <f>SUM(BZ24,CB24,CD24)</f>
        <v>213057323.23000023</v>
      </c>
      <c r="IN24" s="167">
        <f>SUM(CH24,CK24,CF24)</f>
        <v>247889081.97000006</v>
      </c>
      <c r="IO24" s="167">
        <f t="shared" si="3"/>
        <v>241205324.17999995</v>
      </c>
      <c r="IP24" s="167">
        <f>CW24+CZ24+DC24</f>
        <v>240908339.88000005</v>
      </c>
      <c r="IQ24" s="167">
        <f t="shared" si="0"/>
        <v>214391899.62</v>
      </c>
      <c r="IR24" s="167">
        <f>DO24+DR24+DU24</f>
        <v>209850174.77999997</v>
      </c>
      <c r="IS24" s="167">
        <f>DX24+EA24+ED24</f>
        <v>240335135.08000001</v>
      </c>
      <c r="IW24" s="167">
        <f t="shared" si="1"/>
        <v>236361329.75000045</v>
      </c>
      <c r="IX24" s="167">
        <f>FZ24+GC24+GE24</f>
        <v>164787137.48000017</v>
      </c>
      <c r="IY24" s="167">
        <f t="shared" si="2"/>
        <v>135479013.54999998</v>
      </c>
      <c r="IZ24" s="167">
        <f>+GQ24+GO24+GM24</f>
        <v>127352484.10000001</v>
      </c>
    </row>
    <row r="25" spans="1:265" ht="14.25" hidden="1" customHeight="1">
      <c r="A25" s="243">
        <v>10</v>
      </c>
      <c r="B25" s="242" t="s">
        <v>455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4"/>
      <c r="BK25" s="244"/>
      <c r="BL25" s="244"/>
      <c r="BM25" s="244"/>
      <c r="BN25" s="244"/>
      <c r="BO25" s="244"/>
      <c r="BP25" s="244"/>
      <c r="BQ25" s="244"/>
      <c r="BR25" s="244"/>
      <c r="BS25" s="244"/>
      <c r="BT25" s="244"/>
      <c r="BU25" s="323"/>
      <c r="BV25" s="244"/>
      <c r="BW25" s="244"/>
      <c r="BX25" s="244"/>
      <c r="BY25" s="244"/>
      <c r="BZ25" s="244"/>
      <c r="CA25" s="245"/>
      <c r="CB25" s="244"/>
      <c r="CC25" s="245"/>
      <c r="CD25" s="244"/>
      <c r="CE25" s="245"/>
      <c r="CF25" s="244"/>
      <c r="CG25" s="245"/>
      <c r="CH25" s="244"/>
      <c r="CI25" s="245"/>
      <c r="CJ25" s="245"/>
      <c r="CK25" s="244"/>
      <c r="CL25" s="245"/>
      <c r="CM25" s="245"/>
      <c r="CN25" s="244"/>
      <c r="CO25" s="245"/>
      <c r="CP25" s="245"/>
      <c r="CQ25" s="244"/>
      <c r="CR25" s="245"/>
      <c r="CS25" s="245"/>
      <c r="CT25" s="244"/>
      <c r="CU25" s="245"/>
      <c r="CV25" s="244"/>
      <c r="CW25" s="244"/>
      <c r="CX25" s="245"/>
      <c r="CY25" s="439"/>
      <c r="CZ25" s="244"/>
      <c r="DA25" s="245"/>
      <c r="DB25" s="439"/>
      <c r="DC25" s="244"/>
      <c r="DD25" s="245"/>
      <c r="DE25" s="439"/>
      <c r="DF25" s="244"/>
      <c r="DG25" s="245"/>
      <c r="DH25" s="439"/>
      <c r="DI25" s="244"/>
      <c r="DJ25" s="245"/>
      <c r="DK25" s="439"/>
      <c r="DL25" s="244"/>
      <c r="DM25" s="245"/>
      <c r="DN25" s="439"/>
      <c r="DO25" s="244"/>
      <c r="DP25" s="245"/>
      <c r="DQ25" s="439"/>
      <c r="DR25" s="244"/>
      <c r="DS25" s="245"/>
      <c r="DT25" s="439"/>
      <c r="DU25" s="244"/>
      <c r="DV25" s="245"/>
      <c r="DW25" s="439"/>
      <c r="DX25" s="244"/>
      <c r="DY25" s="325"/>
      <c r="DZ25" s="325"/>
      <c r="EA25" s="244"/>
      <c r="EB25" s="325"/>
      <c r="EC25" s="325"/>
      <c r="ED25" s="244"/>
      <c r="EE25" s="325"/>
      <c r="EF25" s="325"/>
      <c r="EG25" s="244"/>
      <c r="EH25" s="245"/>
      <c r="EI25" s="439"/>
      <c r="EJ25" s="244"/>
      <c r="EK25" s="245"/>
      <c r="EL25" s="439"/>
      <c r="EM25" s="244"/>
      <c r="EN25" s="245"/>
      <c r="EO25" s="439"/>
      <c r="EP25" s="244"/>
      <c r="EQ25" s="245"/>
      <c r="ER25" s="439"/>
      <c r="ES25" s="244"/>
      <c r="ET25" s="245"/>
      <c r="EU25" s="439"/>
      <c r="EV25" s="244"/>
      <c r="EW25" s="245"/>
      <c r="EX25" s="439"/>
      <c r="EY25" s="244"/>
      <c r="EZ25" s="245"/>
      <c r="FA25" s="439"/>
      <c r="FB25" s="244"/>
      <c r="FC25" s="245"/>
      <c r="FD25" s="439"/>
      <c r="FE25" s="244"/>
      <c r="FF25" s="245"/>
      <c r="FG25" s="439"/>
      <c r="FH25" s="244"/>
      <c r="FI25" s="325"/>
      <c r="FJ25" s="325"/>
      <c r="FK25" s="244"/>
      <c r="FL25" s="325"/>
      <c r="FM25" s="325"/>
      <c r="FN25" s="244"/>
      <c r="FO25" s="325"/>
      <c r="FP25" s="325"/>
      <c r="FQ25" s="244"/>
      <c r="FR25" s="325"/>
      <c r="FS25" s="325"/>
      <c r="FT25" s="244"/>
      <c r="FU25" s="325"/>
      <c r="FV25" s="440"/>
      <c r="FW25" s="244"/>
      <c r="FX25" s="325"/>
      <c r="FY25" s="440"/>
      <c r="FZ25" s="244"/>
      <c r="GA25" s="325"/>
      <c r="GB25" s="440"/>
      <c r="GC25" s="244"/>
      <c r="GD25" s="325"/>
      <c r="GE25" s="244"/>
      <c r="GF25" s="325"/>
      <c r="GG25" s="244"/>
      <c r="GH25" s="325"/>
      <c r="GI25" s="244"/>
      <c r="GJ25" s="325"/>
      <c r="GK25" s="244"/>
      <c r="GL25" s="325"/>
      <c r="GM25" s="244">
        <v>0</v>
      </c>
      <c r="GN25" s="325"/>
      <c r="GO25" s="244"/>
      <c r="GP25" s="1018"/>
      <c r="GQ25" s="244"/>
      <c r="GR25" s="325"/>
      <c r="GS25" s="440"/>
      <c r="GT25" s="244"/>
      <c r="GU25" s="325"/>
      <c r="GV25" s="440"/>
      <c r="GW25" s="1038"/>
      <c r="GX25" s="325"/>
      <c r="GY25" s="440"/>
      <c r="GZ25" s="244"/>
      <c r="HA25" s="325"/>
      <c r="HB25" s="440"/>
      <c r="HC25" s="244">
        <v>45196959.609999999</v>
      </c>
      <c r="HD25" s="325"/>
      <c r="HE25" s="440"/>
      <c r="HF25" s="244">
        <v>45196959.609999999</v>
      </c>
      <c r="HG25" s="325"/>
      <c r="HH25" s="440"/>
      <c r="HI25" s="244">
        <v>45196959.609999999</v>
      </c>
      <c r="HJ25" s="325"/>
      <c r="HK25" s="440"/>
      <c r="HL25" s="244">
        <v>58541544.005427919</v>
      </c>
      <c r="HM25" s="325"/>
      <c r="HN25" s="440"/>
      <c r="HO25" s="244">
        <v>58541544.005427919</v>
      </c>
      <c r="HP25" s="325"/>
      <c r="HQ25" s="580"/>
      <c r="HR25" s="244">
        <v>58541544.005427919</v>
      </c>
      <c r="HS25" s="325"/>
      <c r="HT25" s="325"/>
      <c r="HU25" s="244">
        <v>58541544.005427919</v>
      </c>
      <c r="HV25" s="325"/>
      <c r="HW25" s="325"/>
      <c r="HX25" s="325"/>
      <c r="HY25" s="325"/>
      <c r="HZ25" s="325"/>
      <c r="IA25" s="244"/>
      <c r="IB25" s="325"/>
      <c r="IC25" s="244"/>
      <c r="ID25" s="244"/>
      <c r="IE25" s="244"/>
      <c r="IF25" s="244"/>
      <c r="IG25" s="244"/>
      <c r="IH25" s="244"/>
      <c r="II25" s="244"/>
      <c r="IJ25" s="244"/>
      <c r="IK25" s="244"/>
      <c r="IL25" s="244"/>
      <c r="IM25" s="167"/>
      <c r="IN25" s="167"/>
      <c r="IO25" s="167">
        <f t="shared" si="3"/>
        <v>0</v>
      </c>
      <c r="IP25" s="167">
        <f>CW25+CZ25</f>
        <v>0</v>
      </c>
      <c r="IQ25" s="167">
        <f t="shared" si="0"/>
        <v>0</v>
      </c>
      <c r="IR25" s="167">
        <f>DO25+DR25</f>
        <v>0</v>
      </c>
      <c r="IS25" s="167"/>
      <c r="IT25" s="244"/>
      <c r="IU25" s="244"/>
      <c r="IW25" s="167">
        <f t="shared" si="1"/>
        <v>0</v>
      </c>
      <c r="IX25" s="167">
        <f>FZ25</f>
        <v>0</v>
      </c>
      <c r="IY25" s="167">
        <f t="shared" si="2"/>
        <v>0</v>
      </c>
      <c r="IZ25" s="167">
        <f>GM25+GO25</f>
        <v>0</v>
      </c>
      <c r="JA25" s="244"/>
      <c r="JB25" s="244"/>
    </row>
    <row r="26" spans="1:265" ht="14.85" hidden="1" customHeight="1">
      <c r="A26" s="243">
        <v>11</v>
      </c>
      <c r="B26" s="242" t="s">
        <v>456</v>
      </c>
      <c r="BU26" s="231"/>
      <c r="CB26" s="244"/>
      <c r="CC26" s="245"/>
      <c r="CD26" s="244"/>
      <c r="CE26" s="245"/>
      <c r="CF26" s="244"/>
      <c r="CG26" s="245"/>
      <c r="CH26" s="244"/>
      <c r="CI26" s="245"/>
      <c r="CJ26" s="245"/>
      <c r="CK26" s="244"/>
      <c r="CL26" s="245"/>
      <c r="CM26" s="279"/>
      <c r="CN26" s="244"/>
      <c r="CO26" s="245"/>
      <c r="CP26" s="279"/>
      <c r="CQ26" s="244"/>
      <c r="CR26" s="245"/>
      <c r="CS26" s="279"/>
      <c r="CT26" s="244"/>
      <c r="CU26" s="245"/>
      <c r="CW26" s="244"/>
      <c r="CX26" s="245"/>
      <c r="CY26" s="439"/>
      <c r="CZ26" s="244"/>
      <c r="DA26" s="245"/>
      <c r="DB26" s="439"/>
      <c r="DC26" s="244"/>
      <c r="DD26" s="245"/>
      <c r="DE26" s="439"/>
      <c r="DF26" s="244"/>
      <c r="DG26" s="245"/>
      <c r="DH26" s="438"/>
      <c r="DI26" s="244"/>
      <c r="DJ26" s="245"/>
      <c r="DK26" s="439"/>
      <c r="DL26" s="244"/>
      <c r="DM26" s="245"/>
      <c r="DN26" s="438"/>
      <c r="DO26" s="244"/>
      <c r="DP26" s="245"/>
      <c r="DQ26" s="439"/>
      <c r="DR26" s="244"/>
      <c r="DS26" s="245"/>
      <c r="DT26" s="438"/>
      <c r="DU26" s="244"/>
      <c r="DV26" s="245"/>
      <c r="DW26" s="438"/>
      <c r="DX26" s="244"/>
      <c r="DY26" s="325"/>
      <c r="DZ26" s="440"/>
      <c r="EA26" s="244"/>
      <c r="EB26" s="325"/>
      <c r="EC26" s="440"/>
      <c r="ED26" s="244"/>
      <c r="EE26" s="325"/>
      <c r="EF26" s="440"/>
      <c r="EG26" s="244"/>
      <c r="EH26" s="245"/>
      <c r="EI26" s="439"/>
      <c r="EJ26" s="244"/>
      <c r="EK26" s="245"/>
      <c r="EL26" s="439"/>
      <c r="EM26" s="244"/>
      <c r="EN26" s="245"/>
      <c r="EO26" s="439"/>
      <c r="EP26" s="244"/>
      <c r="EQ26" s="245"/>
      <c r="ER26" s="438"/>
      <c r="ES26" s="244"/>
      <c r="ET26" s="245"/>
      <c r="EU26" s="439"/>
      <c r="EV26" s="244"/>
      <c r="EW26" s="245"/>
      <c r="EX26" s="438"/>
      <c r="EY26" s="244"/>
      <c r="EZ26" s="245"/>
      <c r="FA26" s="439"/>
      <c r="FB26" s="244"/>
      <c r="FC26" s="245"/>
      <c r="FD26" s="438"/>
      <c r="FE26" s="244"/>
      <c r="FF26" s="245"/>
      <c r="FG26" s="438"/>
      <c r="FH26" s="244"/>
      <c r="FI26" s="325"/>
      <c r="FJ26" s="440"/>
      <c r="FK26" s="244"/>
      <c r="FL26" s="325"/>
      <c r="FM26" s="440"/>
      <c r="FN26" s="244"/>
      <c r="FO26" s="325"/>
      <c r="FP26" s="440"/>
      <c r="FQ26" s="244"/>
      <c r="FR26" s="325"/>
      <c r="FS26" s="325"/>
      <c r="FT26" s="244"/>
      <c r="FU26" s="325"/>
      <c r="FV26" s="440"/>
      <c r="FW26" s="244"/>
      <c r="FX26" s="325"/>
      <c r="FY26" s="440"/>
      <c r="FZ26" s="244"/>
      <c r="GA26" s="325"/>
      <c r="GB26" s="440"/>
      <c r="GC26" s="244"/>
      <c r="GD26" s="325"/>
      <c r="GE26" s="244"/>
      <c r="GF26" s="325"/>
      <c r="GG26" s="244"/>
      <c r="GH26" s="325"/>
      <c r="GI26" s="244"/>
      <c r="GJ26" s="325"/>
      <c r="GK26" s="244"/>
      <c r="GL26" s="325"/>
      <c r="GM26" s="244">
        <v>0</v>
      </c>
      <c r="GN26" s="325"/>
      <c r="GO26" s="244"/>
      <c r="GP26" s="1018"/>
      <c r="GQ26" s="244"/>
      <c r="GR26" s="325"/>
      <c r="GS26" s="440"/>
      <c r="GT26" s="244"/>
      <c r="GU26" s="325"/>
      <c r="GV26" s="440"/>
      <c r="GW26" s="1038"/>
      <c r="GX26" s="325"/>
      <c r="GY26" s="440"/>
      <c r="GZ26" s="244"/>
      <c r="HA26" s="325"/>
      <c r="HB26" s="440"/>
      <c r="HC26" s="244"/>
      <c r="HD26" s="325"/>
      <c r="HE26" s="440"/>
      <c r="HF26" s="244"/>
      <c r="HG26" s="325"/>
      <c r="HH26" s="440"/>
      <c r="HI26" s="244"/>
      <c r="HJ26" s="325"/>
      <c r="HK26" s="440"/>
      <c r="HL26" s="244"/>
      <c r="HM26" s="325"/>
      <c r="HN26" s="440"/>
      <c r="HO26" s="244"/>
      <c r="HP26" s="325"/>
      <c r="HQ26" s="580"/>
      <c r="HR26" s="244"/>
      <c r="HS26" s="325"/>
      <c r="HT26" s="325"/>
      <c r="HU26" s="244"/>
      <c r="HV26" s="325"/>
      <c r="HW26" s="325"/>
      <c r="HX26" s="325"/>
      <c r="HY26" s="325"/>
      <c r="HZ26" s="325"/>
      <c r="IA26" s="244"/>
      <c r="IB26" s="325"/>
      <c r="IN26" s="167"/>
      <c r="IO26" s="167">
        <f t="shared" si="3"/>
        <v>0</v>
      </c>
      <c r="IP26" s="167">
        <f>CW26+CZ26</f>
        <v>0</v>
      </c>
      <c r="IQ26" s="167">
        <f t="shared" si="0"/>
        <v>0</v>
      </c>
      <c r="IR26" s="167">
        <f>DO26+DR26</f>
        <v>0</v>
      </c>
      <c r="IS26" s="167"/>
      <c r="IW26" s="167">
        <f t="shared" si="1"/>
        <v>0</v>
      </c>
      <c r="IX26" s="167">
        <f>FZ26</f>
        <v>0</v>
      </c>
      <c r="IY26" s="167">
        <f t="shared" si="2"/>
        <v>0</v>
      </c>
      <c r="IZ26" s="167">
        <f>GM26+GO26</f>
        <v>0</v>
      </c>
    </row>
    <row r="27" spans="1:265" ht="14.25" customHeight="1">
      <c r="A27" s="243">
        <v>12</v>
      </c>
      <c r="B27" s="242" t="s">
        <v>447</v>
      </c>
      <c r="D27" s="244">
        <v>4740458.0399999991</v>
      </c>
      <c r="E27" s="247">
        <v>0.18275257941945341</v>
      </c>
      <c r="F27" s="244">
        <v>3898704.3099999996</v>
      </c>
      <c r="G27" s="247">
        <v>0.14830102663939645</v>
      </c>
      <c r="H27" s="244">
        <v>4899576.1499999994</v>
      </c>
      <c r="I27" s="248">
        <v>0.16195526767187499</v>
      </c>
      <c r="J27" s="244">
        <v>4813864.6799999988</v>
      </c>
      <c r="K27" s="248">
        <v>0.14065536519391567</v>
      </c>
      <c r="L27" s="244">
        <v>5863499.3499999987</v>
      </c>
      <c r="M27" s="248">
        <v>0.15844574708030515</v>
      </c>
      <c r="N27" s="244">
        <v>7490903.1699999999</v>
      </c>
      <c r="O27" s="248">
        <f>+N27/$N$37</f>
        <v>0.17213035547009922</v>
      </c>
      <c r="P27" s="244">
        <v>8290261.8399999999</v>
      </c>
      <c r="Q27" s="248">
        <f>+P27/$P$37</f>
        <v>0.16663021506317957</v>
      </c>
      <c r="R27" s="244">
        <v>7814755.8399999999</v>
      </c>
      <c r="S27" s="248">
        <f>+R27/$R$37</f>
        <v>0.1528769832292585</v>
      </c>
      <c r="T27" s="244">
        <v>8761262.7200000007</v>
      </c>
      <c r="U27" s="248">
        <f>+T27/$T$37</f>
        <v>0.15403611719141364</v>
      </c>
      <c r="V27" s="244">
        <v>8725717.8900000006</v>
      </c>
      <c r="W27" s="248">
        <f>+V27/$V$37</f>
        <v>0.13636527252703326</v>
      </c>
      <c r="X27" s="244">
        <v>7716564.1399999997</v>
      </c>
      <c r="Y27" s="248">
        <f>+X27/$X$37</f>
        <v>0.12103530475755289</v>
      </c>
      <c r="Z27" s="244">
        <f>7155821.35-177192.29</f>
        <v>6978629.0599999996</v>
      </c>
      <c r="AA27" s="248">
        <f>+Z27/$Z$37</f>
        <v>0.10503961743619823</v>
      </c>
      <c r="AB27" s="244">
        <v>8455729.5899999999</v>
      </c>
      <c r="AC27" s="248">
        <f>+AB27/$AB$37</f>
        <v>0.11312494815866077</v>
      </c>
      <c r="AD27" s="244">
        <v>7612751.2400000002</v>
      </c>
      <c r="AE27" s="248">
        <f>+AD27/$AD$37</f>
        <v>9.7103119581716718E-2</v>
      </c>
      <c r="AF27" s="244">
        <v>7382402.6100000003</v>
      </c>
      <c r="AG27" s="248">
        <f>+AF27/$AF$37</f>
        <v>8.5255782381230619E-2</v>
      </c>
      <c r="AH27" s="244">
        <v>10008199.91</v>
      </c>
      <c r="AI27" s="248">
        <f>+AH27/$AH$37</f>
        <v>0.10552766174779073</v>
      </c>
      <c r="AJ27" s="244">
        <v>11932074.41</v>
      </c>
      <c r="AK27" s="248">
        <f>+AJ27/$AJ$37</f>
        <v>0.11203552537671589</v>
      </c>
      <c r="AL27" s="244">
        <v>11428661.5</v>
      </c>
      <c r="AM27" s="248">
        <f>+AL27/$AL$37</f>
        <v>9.6802001885627112E-2</v>
      </c>
      <c r="AN27" s="244">
        <v>14012494.799999999</v>
      </c>
      <c r="AO27" s="248">
        <f>+AN27/$AN$37</f>
        <v>9.8323164281232764E-2</v>
      </c>
      <c r="AP27" s="244">
        <v>15755187.390000001</v>
      </c>
      <c r="AQ27" s="248">
        <f>+AP27/$AP$37</f>
        <v>0.10521465024916214</v>
      </c>
      <c r="AR27" s="244">
        <v>14118152.379999999</v>
      </c>
      <c r="AS27" s="248">
        <f>+AR27/$AR$37</f>
        <v>8.9970974887827584E-2</v>
      </c>
      <c r="AT27" s="244">
        <v>14959507.180000002</v>
      </c>
      <c r="AU27" s="248">
        <f>+AT27/$AT$37</f>
        <v>8.4282887075085813E-2</v>
      </c>
      <c r="AV27" s="244">
        <v>15991904.700000001</v>
      </c>
      <c r="AW27" s="248">
        <f>+AV27/$AV$37</f>
        <v>9.3687529943309464E-2</v>
      </c>
      <c r="AX27" s="244">
        <v>14992376.310000002</v>
      </c>
      <c r="AY27" s="245">
        <f>+AX27/$AX$37</f>
        <v>9.5488274883885838E-2</v>
      </c>
      <c r="AZ27" s="244">
        <v>14062798.16</v>
      </c>
      <c r="BA27" s="245">
        <f>+AZ27/$AZ$37</f>
        <v>9.0593086422968747E-2</v>
      </c>
      <c r="BB27" s="244">
        <v>13382562.270000001</v>
      </c>
      <c r="BC27" s="245">
        <f>+BB27/$BB$37</f>
        <v>8.6623268029410214E-2</v>
      </c>
      <c r="BD27" s="244">
        <v>13756316.219999999</v>
      </c>
      <c r="BE27" s="245">
        <f>+BD27/$BD$37</f>
        <v>9.2864120934606956E-2</v>
      </c>
      <c r="BF27" s="246">
        <v>12523491.819999998</v>
      </c>
      <c r="BG27" s="245">
        <f>+BF27/$BF$37</f>
        <v>8.2603650932169093E-2</v>
      </c>
      <c r="BH27" s="246">
        <v>11202450.230000002</v>
      </c>
      <c r="BI27" s="245">
        <f>+BH27/$BH$37</f>
        <v>7.1853312224473151E-2</v>
      </c>
      <c r="BJ27" s="246">
        <v>8411678.4399999976</v>
      </c>
      <c r="BK27" s="245">
        <f>+BJ27/$BJ$37</f>
        <v>5.0740189245241797E-2</v>
      </c>
      <c r="BL27" s="246">
        <v>8193893.620000001</v>
      </c>
      <c r="BM27" s="245">
        <f>+BL27/$BL$37</f>
        <v>4.3743208963819863E-2</v>
      </c>
      <c r="BN27" s="246">
        <v>7109876.3799999999</v>
      </c>
      <c r="BO27" s="245">
        <f>+BN27/BN$37</f>
        <v>3.8420475489263355E-2</v>
      </c>
      <c r="BP27" s="246">
        <v>7123989.0299999993</v>
      </c>
      <c r="BQ27" s="245">
        <f>+BP27/BP$37</f>
        <v>3.7493103191203171E-2</v>
      </c>
      <c r="BR27" s="246">
        <v>11986188.050000001</v>
      </c>
      <c r="BS27" s="245">
        <f>+BR27/BR$37</f>
        <v>5.7892448914954119E-2</v>
      </c>
      <c r="BT27" s="246">
        <v>16309625.17</v>
      </c>
      <c r="BU27" s="245">
        <f>+BT27/BT$37</f>
        <v>7.092025043964649E-2</v>
      </c>
      <c r="BV27" s="244">
        <v>18252933.439999998</v>
      </c>
      <c r="BW27" s="245">
        <f>+BV27/BV$37</f>
        <v>7.7301295442134321E-2</v>
      </c>
      <c r="BX27" s="244">
        <v>20391899.5</v>
      </c>
      <c r="BY27" s="245">
        <f>+BX27/BX$37</f>
        <v>7.8019340130408593E-2</v>
      </c>
      <c r="BZ27" s="244">
        <v>20564343.140000004</v>
      </c>
      <c r="CA27" s="245">
        <f>+BZ27/BZ$37</f>
        <v>7.554493377892614E-2</v>
      </c>
      <c r="CB27" s="244">
        <v>19468382.919999998</v>
      </c>
      <c r="CC27" s="245">
        <f>+CB27/CB$37</f>
        <v>6.9191106565566429E-2</v>
      </c>
      <c r="CD27" s="244">
        <v>22093248.93</v>
      </c>
      <c r="CE27" s="245">
        <f>+CD27/CD$37</f>
        <v>7.0647203286227617E-2</v>
      </c>
      <c r="CF27" s="244">
        <v>23566580.390000001</v>
      </c>
      <c r="CG27" s="245">
        <f>+CF27/CF$37</f>
        <v>6.9335857734644249E-2</v>
      </c>
      <c r="CH27" s="244">
        <v>27332867.059999999</v>
      </c>
      <c r="CI27" s="245">
        <f>+CH27/CH$37</f>
        <v>7.4585308745346746E-2</v>
      </c>
      <c r="CJ27" s="245"/>
      <c r="CK27" s="244">
        <v>30895308.840000004</v>
      </c>
      <c r="CL27" s="245">
        <f>+CK27/CK$37</f>
        <v>7.6598353195573773E-2</v>
      </c>
      <c r="CM27" s="279"/>
      <c r="CN27" s="244">
        <v>28521822.75</v>
      </c>
      <c r="CO27" s="245">
        <f>+CN27/CN$37</f>
        <v>7.1609060988748807E-2</v>
      </c>
      <c r="CP27" s="279"/>
      <c r="CQ27" s="244">
        <v>31321089.670000002</v>
      </c>
      <c r="CR27" s="245">
        <f>+CQ27/CQ$37</f>
        <v>7.723425541615675E-2</v>
      </c>
      <c r="CS27" s="279"/>
      <c r="CT27" s="244">
        <v>38029471.689999998</v>
      </c>
      <c r="CU27" s="245">
        <f>+CT27/CT$37</f>
        <v>8.5830075189438373E-2</v>
      </c>
      <c r="CV27" s="235"/>
      <c r="CW27" s="244">
        <v>39479964.82</v>
      </c>
      <c r="CX27" s="245">
        <f>+CW27/CW$37</f>
        <v>8.5800716878311534E-2</v>
      </c>
      <c r="CY27" s="439"/>
      <c r="CZ27" s="244">
        <v>42031034.890000008</v>
      </c>
      <c r="DA27" s="245">
        <f>+CZ27/CZ$37</f>
        <v>8.864316724458067E-2</v>
      </c>
      <c r="DB27" s="439"/>
      <c r="DC27" s="244">
        <v>41718941.079999998</v>
      </c>
      <c r="DD27" s="245">
        <f>+DC27/DC$37</f>
        <v>8.322310640844939E-2</v>
      </c>
      <c r="DE27" s="439"/>
      <c r="DF27" s="244">
        <v>44802408</v>
      </c>
      <c r="DG27" s="245">
        <f>+DF27/DF$37</f>
        <v>8.3855286185114522E-2</v>
      </c>
      <c r="DH27" s="439"/>
      <c r="DI27" s="244">
        <v>45872249.039999999</v>
      </c>
      <c r="DJ27" s="245">
        <f>+DI27/DI$37</f>
        <v>8.2744404913723771E-2</v>
      </c>
      <c r="DK27" s="439"/>
      <c r="DL27" s="244">
        <v>44509525.030000001</v>
      </c>
      <c r="DM27" s="245">
        <f>+DL27/DL$37</f>
        <v>7.7128829657803322E-2</v>
      </c>
      <c r="DN27" s="439"/>
      <c r="DO27" s="244">
        <v>52192444.95999983</v>
      </c>
      <c r="DP27" s="245">
        <f>+DO27/DO$37</f>
        <v>8.5329625314370453E-2</v>
      </c>
      <c r="DQ27" s="439"/>
      <c r="DR27" s="244">
        <v>50336728.310000025</v>
      </c>
      <c r="DS27" s="245">
        <f>+DR27/DR$37</f>
        <v>8.0861172920722715E-2</v>
      </c>
      <c r="DT27" s="439"/>
      <c r="DU27" s="244">
        <v>48589331.340000004</v>
      </c>
      <c r="DV27" s="245">
        <f>+DU27/DU$37</f>
        <v>7.0665286045939926E-2</v>
      </c>
      <c r="DW27" s="439"/>
      <c r="DX27" s="244">
        <v>41126912.220000006</v>
      </c>
      <c r="DY27" s="325">
        <f>+DX27/DX$37</f>
        <v>6.1282756730372964E-2</v>
      </c>
      <c r="DZ27" s="325"/>
      <c r="EA27" s="244">
        <v>39664817.250000007</v>
      </c>
      <c r="EB27" s="325">
        <f>+EA27/EA$37</f>
        <v>5.6732815890711316E-2</v>
      </c>
      <c r="EC27" s="325"/>
      <c r="ED27" s="244">
        <v>41940540.980000019</v>
      </c>
      <c r="EE27" s="325">
        <f>+ED27/ED$37</f>
        <v>5.6675293826088533E-2</v>
      </c>
      <c r="EF27" s="325"/>
      <c r="EG27" s="244">
        <v>54478140.559999995</v>
      </c>
      <c r="EH27" s="245">
        <f>+EG27/EG$37</f>
        <v>6.8144611808230601E-2</v>
      </c>
      <c r="EI27" s="439"/>
      <c r="EJ27" s="244">
        <v>51290807.210000008</v>
      </c>
      <c r="EK27" s="245">
        <f>+EJ27/EJ$37</f>
        <v>6.1088133333498489E-2</v>
      </c>
      <c r="EL27" s="439"/>
      <c r="EM27" s="244">
        <v>59535019.669999994</v>
      </c>
      <c r="EN27" s="245">
        <f>+EM27/EM$37</f>
        <v>6.6837258389719462E-2</v>
      </c>
      <c r="EO27" s="439"/>
      <c r="EP27" s="244">
        <v>58179045.539999999</v>
      </c>
      <c r="EQ27" s="245">
        <f>+EP27/EP$37</f>
        <v>6.1471541370476793E-2</v>
      </c>
      <c r="ER27" s="439"/>
      <c r="ES27" s="244">
        <v>67056036.25</v>
      </c>
      <c r="ET27" s="245">
        <f>+ES27/ES$37</f>
        <v>6.7376613077457612E-2</v>
      </c>
      <c r="EU27" s="439"/>
      <c r="EV27" s="244">
        <v>86852319.420000046</v>
      </c>
      <c r="EW27" s="245">
        <f>+EV27/EV$37</f>
        <v>8.0412266596542062E-2</v>
      </c>
      <c r="EX27" s="439"/>
      <c r="EY27" s="244">
        <v>89834833.380000055</v>
      </c>
      <c r="EZ27" s="245">
        <f>+EY27/EY$37</f>
        <v>7.9115776860975984E-2</v>
      </c>
      <c r="FA27" s="439"/>
      <c r="FB27" s="244">
        <v>90163429.599999994</v>
      </c>
      <c r="FC27" s="245">
        <f>+FB27/FB$37</f>
        <v>7.4939458701987732E-2</v>
      </c>
      <c r="FD27" s="439"/>
      <c r="FE27" s="244">
        <v>106552812.72999997</v>
      </c>
      <c r="FF27" s="245">
        <f>+FE27/FE$37</f>
        <v>8.0614801615031484E-2</v>
      </c>
      <c r="FG27" s="439"/>
      <c r="FH27" s="244">
        <v>117505540.27999999</v>
      </c>
      <c r="FI27" s="325">
        <f>+FH27/FH$37</f>
        <v>8.5974256722621836E-2</v>
      </c>
      <c r="FJ27" s="325"/>
      <c r="FK27" s="244">
        <v>114461863.28000002</v>
      </c>
      <c r="FL27" s="325">
        <f>+FK27/FK$37</f>
        <v>7.8020292535827651E-2</v>
      </c>
      <c r="FM27" s="325"/>
      <c r="FN27" s="244">
        <v>113027317.32000002</v>
      </c>
      <c r="FO27" s="325">
        <f>+FN27/FN$37</f>
        <v>7.0787683401284288E-2</v>
      </c>
      <c r="FP27" s="325"/>
      <c r="FQ27" s="244">
        <v>104137962.36999995</v>
      </c>
      <c r="FR27" s="325">
        <f>+FQ27/FQ$37</f>
        <v>6.25190895470258E-2</v>
      </c>
      <c r="FS27" s="325"/>
      <c r="FT27" s="244">
        <v>94250530.399999976</v>
      </c>
      <c r="FU27" s="325">
        <f>+FT27/FT$37</f>
        <v>5.5097290796831261E-2</v>
      </c>
      <c r="FV27" s="440"/>
      <c r="FW27" s="244">
        <v>89826935.310000062</v>
      </c>
      <c r="FX27" s="325">
        <f>+FW27/FW$37</f>
        <v>5.1076876696807272E-2</v>
      </c>
      <c r="FY27" s="440"/>
      <c r="FZ27" s="244">
        <v>86464778.840000153</v>
      </c>
      <c r="GA27" s="325">
        <f>+FZ27/FZ$37</f>
        <v>4.7645725415240758E-2</v>
      </c>
      <c r="GB27" s="440"/>
      <c r="GC27" s="244">
        <v>84711856.619999975</v>
      </c>
      <c r="GD27" s="325">
        <f>+GC27/GC$37</f>
        <v>4.5047787263057769E-2</v>
      </c>
      <c r="GE27" s="244">
        <v>76465230.00000003</v>
      </c>
      <c r="GF27" s="325">
        <f>+GE27/GE$37</f>
        <v>3.8441178297490448E-2</v>
      </c>
      <c r="GG27" s="244">
        <v>61844705.849999972</v>
      </c>
      <c r="GH27" s="325">
        <f>+GG27/GG$37</f>
        <v>3.1933722242575409E-2</v>
      </c>
      <c r="GI27" s="244">
        <v>59005809.300000012</v>
      </c>
      <c r="GJ27" s="325">
        <f>+GI27/GI$37</f>
        <v>2.9225457964172235E-2</v>
      </c>
      <c r="GK27" s="244">
        <v>55299402.610000022</v>
      </c>
      <c r="GL27" s="325">
        <f>+GK27/GK$37</f>
        <v>2.7023083646262613E-2</v>
      </c>
      <c r="GM27" s="244">
        <v>50757269.20000001</v>
      </c>
      <c r="GN27" s="325">
        <f>+GM27/GM$37</f>
        <v>2.5540376658995528E-2</v>
      </c>
      <c r="GO27" s="244">
        <v>48199600.180000015</v>
      </c>
      <c r="GP27" s="1018">
        <f>+GO27/GO$37</f>
        <v>2.4236858176022016E-2</v>
      </c>
      <c r="GQ27" s="244">
        <v>48846896.350000009</v>
      </c>
      <c r="GR27" s="325">
        <f>+GQ27/GQ$37</f>
        <v>2.4685508255136317E-2</v>
      </c>
      <c r="GS27" s="440"/>
      <c r="GT27" s="244">
        <v>45753322.99000001</v>
      </c>
      <c r="GU27" s="325">
        <f>+GT27/GT$37</f>
        <v>2.3864959310611333E-2</v>
      </c>
      <c r="GV27" s="440"/>
      <c r="GW27" s="1038">
        <v>42678660.490000002</v>
      </c>
      <c r="GX27" s="325">
        <f>+GW27/GW$37</f>
        <v>2.3500346482732051E-2</v>
      </c>
      <c r="GY27" s="440"/>
      <c r="GZ27" s="244">
        <v>45832011.710000001</v>
      </c>
      <c r="HA27" s="325">
        <f>+GZ27/GZ$37</f>
        <v>2.5360474385107072E-2</v>
      </c>
      <c r="HB27" s="440"/>
      <c r="HC27" s="244">
        <v>45196959.609999999</v>
      </c>
      <c r="HD27" s="325">
        <f>+HC27/HC$37</f>
        <v>2.5569781377813076E-2</v>
      </c>
      <c r="HE27" s="440"/>
      <c r="HF27" s="244">
        <v>49365540.090000004</v>
      </c>
      <c r="HG27" s="325">
        <f>+HF27/HF$37</f>
        <v>2.7862753017445268E-2</v>
      </c>
      <c r="HH27" s="440"/>
      <c r="HI27" s="244">
        <v>58983486.024730124</v>
      </c>
      <c r="HJ27" s="325">
        <f>+HI27/HI$37</f>
        <v>3.2474645897703311E-2</v>
      </c>
      <c r="HK27" s="440"/>
      <c r="HL27" s="244">
        <v>58541544.005427919</v>
      </c>
      <c r="HM27" s="325">
        <f>+HL27/HL$37</f>
        <v>3.2474645897703311E-2</v>
      </c>
      <c r="HN27" s="440"/>
      <c r="HO27" s="244">
        <v>41896608.460000001</v>
      </c>
      <c r="HP27" s="325">
        <f>+HO27/HO$37</f>
        <v>2.3719853316202525E-2</v>
      </c>
      <c r="HQ27" s="580"/>
      <c r="HR27" s="244">
        <v>41896608.460000001</v>
      </c>
      <c r="HS27" s="325">
        <f>+HR27/HR$37</f>
        <v>2.3740857523932363E-2</v>
      </c>
      <c r="HT27" s="325"/>
      <c r="HU27" s="244">
        <v>41896608.460000001</v>
      </c>
      <c r="HV27" s="325">
        <f>+HU27/HU$37</f>
        <v>2.4003283235856477E-2</v>
      </c>
      <c r="HW27" s="325"/>
      <c r="HX27" s="325"/>
      <c r="HY27" s="325"/>
      <c r="HZ27" s="325"/>
      <c r="IA27" s="244">
        <v>41940540.980000019</v>
      </c>
      <c r="IB27" s="325">
        <f>+IA27/IA$37</f>
        <v>5.6675293826088533E-2</v>
      </c>
      <c r="IC27" s="249">
        <f>+X27</f>
        <v>7716564.1399999997</v>
      </c>
      <c r="ID27" s="249">
        <f>+AD27</f>
        <v>7612751.2400000002</v>
      </c>
      <c r="IE27" s="249">
        <f>+AJ27</f>
        <v>11932074.41</v>
      </c>
      <c r="IF27" s="249">
        <f>+AP27</f>
        <v>15755187.390000001</v>
      </c>
      <c r="IG27" s="167">
        <f>+AV27</f>
        <v>15991904.700000001</v>
      </c>
      <c r="IH27" s="167">
        <f>+BB27</f>
        <v>13382562.270000001</v>
      </c>
      <c r="II27" s="167">
        <f>+BH27</f>
        <v>11202450.230000002</v>
      </c>
      <c r="IJ27" s="167">
        <f>+BN27</f>
        <v>7109876.3799999999</v>
      </c>
      <c r="IK27" s="167"/>
      <c r="IL27" s="167">
        <f>SUM(BT27,BV27,BX27)</f>
        <v>54954458.109999999</v>
      </c>
      <c r="IM27" s="167">
        <f>SUM(BZ27,CB27,CD27)</f>
        <v>62125974.990000002</v>
      </c>
      <c r="IN27" s="167">
        <f>SUM(CH27,CK27,CF27)</f>
        <v>81794756.290000007</v>
      </c>
      <c r="IO27" s="167">
        <f t="shared" si="3"/>
        <v>97872384.109999999</v>
      </c>
      <c r="IP27" s="167">
        <f>CW27+CZ27+DC27</f>
        <v>123229940.79000001</v>
      </c>
      <c r="IQ27" s="167">
        <f t="shared" si="0"/>
        <v>135184182.06999999</v>
      </c>
      <c r="IR27" s="167">
        <f>DO27+DR27+DU27</f>
        <v>151118504.60999987</v>
      </c>
      <c r="IS27" s="167">
        <f>DX27+EA27+ED27</f>
        <v>122732270.45000003</v>
      </c>
      <c r="IW27" s="167">
        <f t="shared" si="1"/>
        <v>288215428.07999998</v>
      </c>
      <c r="IX27" s="167">
        <f>FZ27+GC27+GE27</f>
        <v>247641865.46000016</v>
      </c>
      <c r="IY27" s="167">
        <f t="shared" si="2"/>
        <v>176149917.75999999</v>
      </c>
      <c r="IZ27" s="167">
        <f>+GQ27+GO27+GM27</f>
        <v>147803765.73000005</v>
      </c>
    </row>
    <row r="28" spans="1:265" ht="14.25" customHeight="1">
      <c r="B28" s="242"/>
      <c r="D28" s="250"/>
      <c r="E28" s="247"/>
      <c r="F28" s="251"/>
      <c r="G28" s="247"/>
      <c r="H28" s="252"/>
      <c r="I28" s="248"/>
      <c r="J28" s="252"/>
      <c r="K28" s="248"/>
      <c r="L28" s="252"/>
      <c r="M28" s="248"/>
      <c r="N28" s="252"/>
      <c r="O28" s="248"/>
      <c r="P28" s="252"/>
      <c r="Q28" s="248"/>
      <c r="R28" s="252"/>
      <c r="S28" s="248"/>
      <c r="U28" s="233"/>
      <c r="W28" s="233"/>
      <c r="Y28" s="233"/>
      <c r="Z28" s="252"/>
      <c r="AA28" s="248"/>
      <c r="AB28" s="252"/>
      <c r="AC28" s="248"/>
      <c r="AD28" s="252"/>
      <c r="AE28" s="248"/>
      <c r="AF28" s="252"/>
      <c r="AG28" s="248"/>
      <c r="AH28" s="252"/>
      <c r="AI28" s="248"/>
      <c r="AJ28" s="252"/>
      <c r="AK28" s="248"/>
      <c r="AL28" s="252"/>
      <c r="AM28" s="248"/>
      <c r="AN28" s="252"/>
      <c r="AO28" s="248"/>
      <c r="AP28" s="252"/>
      <c r="AQ28" s="248"/>
      <c r="AR28" s="252"/>
      <c r="AS28" s="248"/>
      <c r="AT28" s="252"/>
      <c r="AU28" s="248"/>
      <c r="AV28" s="252"/>
      <c r="AW28" s="248"/>
      <c r="AX28" s="252"/>
      <c r="AY28" s="245"/>
      <c r="AZ28" s="252"/>
      <c r="BA28" s="245"/>
      <c r="BB28" s="252"/>
      <c r="BC28" s="245"/>
      <c r="BD28" s="252"/>
      <c r="BE28" s="245"/>
      <c r="BF28" s="253"/>
      <c r="BG28" s="245"/>
      <c r="BH28" s="253"/>
      <c r="BI28" s="245"/>
      <c r="BJ28" s="253"/>
      <c r="BK28" s="245"/>
      <c r="BL28" s="253"/>
      <c r="BM28" s="245"/>
      <c r="BN28" s="253"/>
      <c r="BO28" s="245"/>
      <c r="BP28" s="253"/>
      <c r="BQ28" s="245"/>
      <c r="BR28" s="253"/>
      <c r="BS28" s="245"/>
      <c r="BT28" s="253"/>
      <c r="BU28" s="245"/>
      <c r="BV28" s="253"/>
      <c r="BW28" s="245"/>
      <c r="BX28" s="253"/>
      <c r="BY28" s="245"/>
      <c r="BZ28" s="253"/>
      <c r="CA28" s="245"/>
      <c r="CB28" s="253"/>
      <c r="CC28" s="245"/>
      <c r="CD28" s="253"/>
      <c r="CE28" s="245"/>
      <c r="CF28" s="253"/>
      <c r="CG28" s="245"/>
      <c r="CH28" s="253"/>
      <c r="CI28" s="245"/>
      <c r="CJ28" s="279"/>
      <c r="CK28" s="252"/>
      <c r="CL28" s="245"/>
      <c r="CM28" s="279"/>
      <c r="CN28" s="252"/>
      <c r="CO28" s="245"/>
      <c r="CP28" s="279"/>
      <c r="CQ28" s="252"/>
      <c r="CR28" s="245"/>
      <c r="CS28" s="279"/>
      <c r="CT28" s="420"/>
      <c r="CU28" s="245"/>
      <c r="CV28" s="235"/>
      <c r="CW28" s="420"/>
      <c r="CX28" s="245"/>
      <c r="CY28" s="438"/>
      <c r="CZ28" s="420"/>
      <c r="DA28" s="245"/>
      <c r="DB28" s="438"/>
      <c r="DC28" s="420"/>
      <c r="DD28" s="245"/>
      <c r="DE28" s="438"/>
      <c r="DF28" s="497"/>
      <c r="DG28" s="245"/>
      <c r="DH28" s="438"/>
      <c r="DI28" s="497"/>
      <c r="DJ28" s="245"/>
      <c r="DK28" s="438"/>
      <c r="DL28" s="497"/>
      <c r="DM28" s="245"/>
      <c r="DN28" s="438"/>
      <c r="DO28" s="497"/>
      <c r="DP28" s="245"/>
      <c r="DQ28" s="438"/>
      <c r="DR28" s="497"/>
      <c r="DS28" s="245"/>
      <c r="DT28" s="438"/>
      <c r="DU28" s="497"/>
      <c r="DV28" s="245"/>
      <c r="DW28" s="438"/>
      <c r="DX28" s="497"/>
      <c r="DY28" s="325"/>
      <c r="DZ28" s="440"/>
      <c r="EA28" s="497"/>
      <c r="EB28" s="325"/>
      <c r="EC28" s="440"/>
      <c r="ED28" s="497"/>
      <c r="EE28" s="325"/>
      <c r="EF28" s="440"/>
      <c r="EG28" s="420"/>
      <c r="EH28" s="245"/>
      <c r="EI28" s="438"/>
      <c r="EJ28" s="420"/>
      <c r="EK28" s="245"/>
      <c r="EL28" s="438"/>
      <c r="EM28" s="420"/>
      <c r="EN28" s="245"/>
      <c r="EO28" s="438"/>
      <c r="EP28" s="497"/>
      <c r="EQ28" s="245"/>
      <c r="ER28" s="438"/>
      <c r="ES28" s="497"/>
      <c r="ET28" s="245"/>
      <c r="EU28" s="438"/>
      <c r="EV28" s="497"/>
      <c r="EW28" s="245"/>
      <c r="EX28" s="438"/>
      <c r="EY28" s="497"/>
      <c r="EZ28" s="245"/>
      <c r="FA28" s="438"/>
      <c r="FB28" s="497"/>
      <c r="FC28" s="245"/>
      <c r="FD28" s="438"/>
      <c r="FE28" s="497"/>
      <c r="FF28" s="245"/>
      <c r="FG28" s="438"/>
      <c r="FH28" s="497"/>
      <c r="FI28" s="325"/>
      <c r="FJ28" s="440"/>
      <c r="FK28" s="497"/>
      <c r="FL28" s="325"/>
      <c r="FM28" s="440"/>
      <c r="FN28" s="497"/>
      <c r="FO28" s="325"/>
      <c r="FP28" s="440"/>
      <c r="FQ28" s="497"/>
      <c r="FR28" s="325"/>
      <c r="FS28" s="440"/>
      <c r="FT28" s="497"/>
      <c r="FU28" s="325"/>
      <c r="FV28" s="440"/>
      <c r="FW28" s="497"/>
      <c r="FX28" s="325"/>
      <c r="FY28" s="440"/>
      <c r="FZ28" s="497"/>
      <c r="GA28" s="325"/>
      <c r="GB28" s="440"/>
      <c r="GC28" s="497"/>
      <c r="GD28" s="325"/>
      <c r="GE28" s="497"/>
      <c r="GF28" s="325"/>
      <c r="GG28" s="497"/>
      <c r="GH28" s="325"/>
      <c r="GI28" s="497"/>
      <c r="GJ28" s="325"/>
      <c r="GK28" s="497"/>
      <c r="GL28" s="325"/>
      <c r="GM28" s="497"/>
      <c r="GN28" s="325"/>
      <c r="GO28" s="497"/>
      <c r="GP28" s="325"/>
      <c r="GQ28" s="497"/>
      <c r="GR28" s="325"/>
      <c r="GS28" s="440"/>
      <c r="GT28" s="497"/>
      <c r="GU28" s="325"/>
      <c r="GV28" s="440"/>
      <c r="GW28" s="1019"/>
      <c r="GX28" s="325"/>
      <c r="GY28" s="440"/>
      <c r="GZ28" s="497"/>
      <c r="HA28" s="325"/>
      <c r="HB28" s="440"/>
      <c r="HC28" s="497"/>
      <c r="HD28" s="325"/>
      <c r="HE28" s="440"/>
      <c r="HF28" s="497"/>
      <c r="HG28" s="325"/>
      <c r="HH28" s="440"/>
      <c r="HI28" s="497"/>
      <c r="HJ28" s="325"/>
      <c r="HK28" s="440"/>
      <c r="HL28" s="497"/>
      <c r="HM28" s="325"/>
      <c r="HN28" s="440"/>
      <c r="HO28" s="497"/>
      <c r="HP28" s="325"/>
      <c r="HQ28" s="580"/>
      <c r="HR28" s="497"/>
      <c r="HS28" s="325"/>
      <c r="HT28" s="440"/>
      <c r="HU28" s="497"/>
      <c r="HV28" s="325"/>
      <c r="HW28" s="440"/>
      <c r="HX28" s="440"/>
      <c r="HY28" s="440"/>
      <c r="HZ28" s="440"/>
      <c r="IA28" s="497"/>
      <c r="IB28" s="325"/>
      <c r="IC28" s="254"/>
      <c r="ID28" s="254"/>
      <c r="IE28" s="254"/>
      <c r="IF28" s="254"/>
      <c r="IH28" s="167"/>
      <c r="II28" s="167"/>
      <c r="IJ28" s="167"/>
      <c r="IK28" s="167"/>
      <c r="IL28" s="167"/>
      <c r="IM28" s="167"/>
      <c r="IN28" s="167"/>
      <c r="IO28" s="167"/>
      <c r="IP28" s="167"/>
      <c r="IQ28" s="167"/>
      <c r="IR28" s="167"/>
      <c r="IS28" s="167"/>
      <c r="IW28" s="167"/>
      <c r="IX28" s="167"/>
      <c r="IY28" s="167"/>
      <c r="IZ28" s="167"/>
    </row>
    <row r="29" spans="1:265" ht="14.25" customHeight="1">
      <c r="A29" s="243">
        <v>9</v>
      </c>
      <c r="B29" s="979" t="s">
        <v>457</v>
      </c>
      <c r="D29" s="252"/>
      <c r="E29" s="247"/>
      <c r="F29" s="252"/>
      <c r="G29" s="247"/>
      <c r="H29" s="252"/>
      <c r="I29" s="247"/>
      <c r="J29" s="252"/>
      <c r="K29" s="247"/>
      <c r="L29" s="252"/>
      <c r="M29" s="247"/>
      <c r="N29" s="252"/>
      <c r="O29" s="247"/>
      <c r="P29" s="252"/>
      <c r="Q29" s="247"/>
      <c r="R29" s="252"/>
      <c r="S29" s="247"/>
      <c r="U29" s="233"/>
      <c r="W29" s="233"/>
      <c r="Y29" s="233"/>
      <c r="Z29" s="252"/>
      <c r="AA29" s="247"/>
      <c r="AB29" s="252"/>
      <c r="AC29" s="247"/>
      <c r="AD29" s="252"/>
      <c r="AE29" s="247"/>
      <c r="AF29" s="252"/>
      <c r="AG29" s="247"/>
      <c r="AH29" s="252"/>
      <c r="AI29" s="247"/>
      <c r="AJ29" s="252"/>
      <c r="AK29" s="247"/>
      <c r="AL29" s="252"/>
      <c r="AM29" s="247"/>
      <c r="AN29" s="252"/>
      <c r="AO29" s="247"/>
      <c r="AP29" s="252"/>
      <c r="AQ29" s="247"/>
      <c r="AR29" s="252"/>
      <c r="AS29" s="247"/>
      <c r="AT29" s="252"/>
      <c r="AU29" s="247"/>
      <c r="AV29" s="252"/>
      <c r="AW29" s="247"/>
      <c r="AX29" s="252"/>
      <c r="AY29" s="325"/>
      <c r="AZ29" s="252"/>
      <c r="BA29" s="325"/>
      <c r="BB29" s="252"/>
      <c r="BC29" s="325"/>
      <c r="BD29" s="252"/>
      <c r="BE29" s="325"/>
      <c r="BF29" s="252"/>
      <c r="BG29" s="325"/>
      <c r="BH29" s="252"/>
      <c r="BI29" s="325"/>
      <c r="BJ29" s="252"/>
      <c r="BK29" s="325"/>
      <c r="BL29" s="252"/>
      <c r="BM29" s="325"/>
      <c r="BN29" s="252"/>
      <c r="BO29" s="325"/>
      <c r="BP29" s="252"/>
      <c r="BQ29" s="325"/>
      <c r="BR29" s="252"/>
      <c r="BS29" s="325"/>
      <c r="BT29" s="252">
        <v>3658708.0599999996</v>
      </c>
      <c r="BU29" s="325">
        <f>BT29/BT37</f>
        <v>1.5909408658761538E-2</v>
      </c>
      <c r="BV29" s="252">
        <v>4385414.3899999997</v>
      </c>
      <c r="BW29" s="325">
        <f>BV29/BV37</f>
        <v>1.8572259330913183E-2</v>
      </c>
      <c r="BX29" s="252">
        <v>9427939.1799999997</v>
      </c>
      <c r="BY29" s="325">
        <f>BX29/BX37</f>
        <v>3.6071264161204084E-2</v>
      </c>
      <c r="BZ29" s="252">
        <v>13087607.449999999</v>
      </c>
      <c r="CA29" s="325">
        <f>BZ29/BZ37</f>
        <v>4.8078483781555409E-2</v>
      </c>
      <c r="CB29" s="252">
        <v>15744473.260000002</v>
      </c>
      <c r="CC29" s="325">
        <f>CB29/CB37</f>
        <v>5.5956241030796987E-2</v>
      </c>
      <c r="CD29" s="252">
        <v>17617154.520000003</v>
      </c>
      <c r="CE29" s="325">
        <f>CD29/CD37</f>
        <v>5.6334072939779434E-2</v>
      </c>
      <c r="CF29" s="252">
        <v>25105565.259999998</v>
      </c>
      <c r="CG29" s="325">
        <f>CF29/CF37</f>
        <v>7.3863745711440776E-2</v>
      </c>
      <c r="CH29" s="252">
        <v>30905785.550000001</v>
      </c>
      <c r="CI29" s="325">
        <f>CH29/CH37</f>
        <v>8.4335007820589253E-2</v>
      </c>
      <c r="CJ29" s="326"/>
      <c r="CK29" s="252">
        <v>42130136.049999997</v>
      </c>
      <c r="CL29" s="325">
        <f>CK29/CK37</f>
        <v>0.1044527199274139</v>
      </c>
      <c r="CM29" s="326"/>
      <c r="CN29" s="252">
        <v>45074429.052000016</v>
      </c>
      <c r="CO29" s="325">
        <f>CN29/CN37</f>
        <v>0.11316729534818037</v>
      </c>
      <c r="CP29" s="326"/>
      <c r="CQ29" s="252">
        <f>54960483.8800001+136667</f>
        <v>55097150.8800001</v>
      </c>
      <c r="CR29" s="325">
        <f>CQ29/CQ37</f>
        <v>0.1358633262317292</v>
      </c>
      <c r="CS29" s="326"/>
      <c r="CT29" s="420">
        <v>66981202.35999997</v>
      </c>
      <c r="CU29" s="325">
        <f>CT29/CT37</f>
        <v>0.15117227190798729</v>
      </c>
      <c r="CV29" s="235"/>
      <c r="CW29" s="420">
        <f>80164805.9899999+441652</f>
        <v>80606457.989999905</v>
      </c>
      <c r="CX29" s="325">
        <f>CW29/CW37</f>
        <v>0.17517978833304074</v>
      </c>
      <c r="CY29" s="440"/>
      <c r="CZ29" s="420">
        <v>86336628.319999978</v>
      </c>
      <c r="DA29" s="325">
        <f>CZ29/CZ37</f>
        <v>0.18208336300859893</v>
      </c>
      <c r="DB29" s="440"/>
      <c r="DC29" s="420">
        <v>99290322.939999998</v>
      </c>
      <c r="DD29" s="325">
        <f>DC29/DC37</f>
        <v>0.19806948348759298</v>
      </c>
      <c r="DE29" s="440"/>
      <c r="DF29" s="497">
        <v>116524425</v>
      </c>
      <c r="DG29" s="325">
        <f>DF29/DF37</f>
        <v>0.21809517483816748</v>
      </c>
      <c r="DH29" s="440"/>
      <c r="DI29" s="497">
        <f>127778251.4-59909</f>
        <v>127718342.40000001</v>
      </c>
      <c r="DJ29" s="325">
        <f>DI29/DI37</f>
        <v>0.23037846322381267</v>
      </c>
      <c r="DK29" s="440"/>
      <c r="DL29" s="497">
        <v>132227860.99999997</v>
      </c>
      <c r="DM29" s="325">
        <f>DL29/DL37</f>
        <v>0.22913253197401492</v>
      </c>
      <c r="DN29" s="440"/>
      <c r="DO29" s="497">
        <v>139174464.53000003</v>
      </c>
      <c r="DP29" s="325">
        <f>DO29/DO37</f>
        <v>0.22753685750446365</v>
      </c>
      <c r="DQ29" s="440"/>
      <c r="DR29" s="497">
        <v>144052869.82000038</v>
      </c>
      <c r="DS29" s="325">
        <f>DR29/DR37</f>
        <v>0.2314072528612737</v>
      </c>
      <c r="DT29" s="440"/>
      <c r="DU29" s="244">
        <v>159066771.17000008</v>
      </c>
      <c r="DV29" s="325">
        <f>DU29/DU37</f>
        <v>0.23133676828103733</v>
      </c>
      <c r="DW29" s="440"/>
      <c r="DX29" s="244">
        <v>156444591.08000004</v>
      </c>
      <c r="DY29" s="325">
        <f>DX29/DX37</f>
        <v>0.23311635373092732</v>
      </c>
      <c r="DZ29" s="440"/>
      <c r="EA29" s="244">
        <v>163998111.17999998</v>
      </c>
      <c r="EB29" s="325">
        <f>EA29/EA37</f>
        <v>0.23456744019158041</v>
      </c>
      <c r="EC29" s="440"/>
      <c r="ED29" s="244">
        <v>169916776.43000007</v>
      </c>
      <c r="EE29" s="325">
        <f>ED29/ED37</f>
        <v>0.22961275665815323</v>
      </c>
      <c r="EF29" s="440"/>
      <c r="EG29" s="420">
        <v>175475951.36000001</v>
      </c>
      <c r="EH29" s="325">
        <f>EG29/EG37</f>
        <v>0.21949612200764065</v>
      </c>
      <c r="EI29" s="440"/>
      <c r="EJ29" s="420">
        <v>189524307.68000001</v>
      </c>
      <c r="EK29" s="325">
        <f>EJ29/EJ37</f>
        <v>0.2257263398115826</v>
      </c>
      <c r="EL29" s="440"/>
      <c r="EM29" s="420">
        <v>199842076.30000004</v>
      </c>
      <c r="EN29" s="325">
        <f>EM29/EM37</f>
        <v>0.22435360842807858</v>
      </c>
      <c r="EO29" s="440"/>
      <c r="EP29" s="497">
        <v>207605287.49999997</v>
      </c>
      <c r="EQ29" s="325">
        <f>EP29/EP37</f>
        <v>0.21935418329459891</v>
      </c>
      <c r="ER29" s="440"/>
      <c r="ES29" s="497">
        <v>214739526.34</v>
      </c>
      <c r="ET29" s="325">
        <f>ES29/ES37</f>
        <v>0.21576613811029874</v>
      </c>
      <c r="EU29" s="440"/>
      <c r="EV29" s="497">
        <v>231461731.03000009</v>
      </c>
      <c r="EW29" s="325">
        <f>EV29/EV37</f>
        <v>0.21429896802727746</v>
      </c>
      <c r="EX29" s="440"/>
      <c r="EY29" s="497">
        <v>236008222.52000001</v>
      </c>
      <c r="EZ29" s="325">
        <f>EY29/EY37</f>
        <v>0.2078478154600199</v>
      </c>
      <c r="FA29" s="440"/>
      <c r="FB29" s="497">
        <v>244372472.83000016</v>
      </c>
      <c r="FC29" s="325">
        <f>FB29/FB37</f>
        <v>0.20311051738815419</v>
      </c>
      <c r="FD29" s="440"/>
      <c r="FE29" s="244">
        <v>257023862.46999973</v>
      </c>
      <c r="FF29" s="325">
        <f>FE29/FE37</f>
        <v>0.19445688154522517</v>
      </c>
      <c r="FG29" s="440"/>
      <c r="FH29" s="244">
        <v>258009192.25000024</v>
      </c>
      <c r="FI29" s="325">
        <f>FH29/FH37</f>
        <v>0.1887753418131666</v>
      </c>
      <c r="FJ29" s="440"/>
      <c r="FK29" s="244">
        <v>287871258.56000012</v>
      </c>
      <c r="FL29" s="325">
        <f>FK29/FK37</f>
        <v>0.19622081243397427</v>
      </c>
      <c r="FM29" s="440"/>
      <c r="FN29" s="244">
        <v>311413154.23000002</v>
      </c>
      <c r="FO29" s="325">
        <f>FN29/FN37</f>
        <v>0.19503440664894789</v>
      </c>
      <c r="FP29" s="440"/>
      <c r="FQ29" s="244">
        <v>319681862.74999976</v>
      </c>
      <c r="FR29" s="325">
        <f>FQ29/FQ37</f>
        <v>0.19192058831357425</v>
      </c>
      <c r="FS29" s="325"/>
      <c r="FT29" s="244">
        <v>335578610.44000053</v>
      </c>
      <c r="FU29" s="325">
        <f>FT29/FT37</f>
        <v>0.19617366826626653</v>
      </c>
      <c r="FV29" s="440"/>
      <c r="FW29" s="244">
        <v>349265983.64000034</v>
      </c>
      <c r="FX29" s="325">
        <f>FW29/FW37</f>
        <v>0.19859762018156502</v>
      </c>
      <c r="FY29" s="440"/>
      <c r="FZ29" s="244">
        <v>366762058.49998879</v>
      </c>
      <c r="GA29" s="325">
        <f>FZ29/FZ37</f>
        <v>0.20210130143691354</v>
      </c>
      <c r="GB29" s="440"/>
      <c r="GC29" s="244">
        <v>377681105.93999988</v>
      </c>
      <c r="GD29" s="325">
        <f>GC29/GC37</f>
        <v>0.20084199299256844</v>
      </c>
      <c r="GE29" s="244">
        <v>379169548.03000021</v>
      </c>
      <c r="GF29" s="325">
        <f>GE29/GE37</f>
        <v>0.19061898068965596</v>
      </c>
      <c r="GG29" s="244">
        <v>383388808.11000025</v>
      </c>
      <c r="GH29" s="325">
        <f>GG29/GG37</f>
        <v>0.19796410284158214</v>
      </c>
      <c r="GI29" s="244">
        <v>390563480.9800002</v>
      </c>
      <c r="GJ29" s="325">
        <f>GI29/GI37</f>
        <v>0.19344530193100454</v>
      </c>
      <c r="GK29" s="244">
        <v>390111629.88999969</v>
      </c>
      <c r="GL29" s="325">
        <f>GK29/GK37</f>
        <v>0.1906353180746829</v>
      </c>
      <c r="GM29" s="244">
        <v>377769191.86999995</v>
      </c>
      <c r="GN29" s="325">
        <f>GM29/GM37</f>
        <v>0.1900883873895278</v>
      </c>
      <c r="GO29" s="244">
        <v>401654033.60000002</v>
      </c>
      <c r="GP29" s="325">
        <f>GO29/GO37</f>
        <v>0.20196914106830627</v>
      </c>
      <c r="GQ29" s="244">
        <v>406261431.23000002</v>
      </c>
      <c r="GR29" s="325">
        <f>GQ29/GQ37</f>
        <v>0.2053102789277145</v>
      </c>
      <c r="GS29" s="440"/>
      <c r="GT29" s="244">
        <v>425307742.88999951</v>
      </c>
      <c r="GU29" s="325">
        <f>GT29/GT37</f>
        <v>0.22184076074160103</v>
      </c>
      <c r="GV29" s="440"/>
      <c r="GW29" s="1038">
        <v>424305450.06999981</v>
      </c>
      <c r="GX29" s="325">
        <f>GW29/GW37</f>
        <v>0.23363725516860895</v>
      </c>
      <c r="GY29" s="440"/>
      <c r="GZ29" s="244">
        <v>408559073.4000001</v>
      </c>
      <c r="HA29" s="325">
        <f>GZ29/GZ37</f>
        <v>0.22607019699078756</v>
      </c>
      <c r="HB29" s="440"/>
      <c r="HC29" s="244">
        <v>384933725.12999982</v>
      </c>
      <c r="HD29" s="325">
        <f>HC29/HC37</f>
        <v>0.21777286086171951</v>
      </c>
      <c r="HE29" s="440"/>
      <c r="HF29" s="244">
        <v>380681990.39999998</v>
      </c>
      <c r="HG29" s="325">
        <f>HF29/HF37</f>
        <v>0.21486340992860531</v>
      </c>
      <c r="HH29" s="440"/>
      <c r="HI29" s="244">
        <v>400560524.88791168</v>
      </c>
      <c r="HJ29" s="325">
        <f>HI29/HI37</f>
        <v>0.22053734160234595</v>
      </c>
      <c r="HK29" s="440"/>
      <c r="HL29" s="244">
        <v>397559269.12714678</v>
      </c>
      <c r="HM29" s="325">
        <f>HL29/HL37</f>
        <v>0.22053734160234592</v>
      </c>
      <c r="HN29" s="440"/>
      <c r="HO29" s="244">
        <v>404867846.37</v>
      </c>
      <c r="HP29" s="325">
        <f>HO29/HO37</f>
        <v>0.22921678582914154</v>
      </c>
      <c r="HQ29" s="580"/>
      <c r="HR29" s="244">
        <v>404867846.37</v>
      </c>
      <c r="HS29" s="325">
        <f>HR29/HR37</f>
        <v>0.22941975997575786</v>
      </c>
      <c r="HT29" s="325"/>
      <c r="HU29" s="244">
        <v>404867846.37</v>
      </c>
      <c r="HV29" s="325">
        <f>HU29/HU37</f>
        <v>0.23195571065826404</v>
      </c>
      <c r="HW29" s="325"/>
      <c r="HX29" s="325"/>
      <c r="HY29" s="325"/>
      <c r="HZ29" s="325"/>
      <c r="IA29" s="244">
        <v>169916776.43000007</v>
      </c>
      <c r="IB29" s="325">
        <f>IA29/IA37</f>
        <v>0.22961275665815323</v>
      </c>
      <c r="IC29" s="254"/>
      <c r="ID29" s="254"/>
      <c r="IE29" s="254"/>
      <c r="IF29" s="254"/>
      <c r="IH29" s="167"/>
      <c r="II29" s="167"/>
      <c r="IJ29" s="167"/>
      <c r="IK29" s="167"/>
      <c r="IL29" s="167">
        <f>SUM(BT29,BV29,BX29)</f>
        <v>17472061.629999999</v>
      </c>
      <c r="IM29" s="167">
        <f>SUM(BZ29,CB29,CD29)</f>
        <v>46449235.230000004</v>
      </c>
      <c r="IN29" s="167">
        <f>SUM(CH29,CK29,CF29)</f>
        <v>98141486.859999985</v>
      </c>
      <c r="IO29" s="167">
        <f>CQ29+CN29+CT29</f>
        <v>167152782.29200009</v>
      </c>
      <c r="IP29" s="167">
        <f>CW29+CZ29+DC29</f>
        <v>266233409.24999988</v>
      </c>
      <c r="IQ29" s="167">
        <f>DF29+DI29+DL29</f>
        <v>376470628.39999998</v>
      </c>
      <c r="IR29" s="167">
        <f>DO29+DR29+DU29</f>
        <v>442294105.52000046</v>
      </c>
      <c r="IS29" s="167">
        <f>DX29+EA29+ED29</f>
        <v>490359478.69000006</v>
      </c>
      <c r="IV29" s="591"/>
      <c r="IW29" s="167"/>
      <c r="IX29" s="167"/>
      <c r="IY29" s="167"/>
      <c r="IZ29" s="167"/>
      <c r="JC29" s="591"/>
      <c r="JE29" s="1033"/>
    </row>
    <row r="30" spans="1:265" ht="14.25" customHeight="1">
      <c r="A30" s="243"/>
      <c r="B30" s="978" t="s">
        <v>809</v>
      </c>
      <c r="D30" s="252"/>
      <c r="E30" s="247"/>
      <c r="F30" s="252"/>
      <c r="G30" s="247"/>
      <c r="H30" s="252"/>
      <c r="I30" s="247"/>
      <c r="J30" s="252"/>
      <c r="K30" s="247"/>
      <c r="L30" s="252"/>
      <c r="M30" s="247"/>
      <c r="N30" s="252"/>
      <c r="O30" s="247"/>
      <c r="P30" s="252"/>
      <c r="Q30" s="247"/>
      <c r="R30" s="252"/>
      <c r="S30" s="247"/>
      <c r="U30" s="233"/>
      <c r="W30" s="233"/>
      <c r="Y30" s="233"/>
      <c r="Z30" s="252"/>
      <c r="AA30" s="247"/>
      <c r="AB30" s="252"/>
      <c r="AC30" s="247"/>
      <c r="AD30" s="252"/>
      <c r="AE30" s="247"/>
      <c r="AF30" s="252"/>
      <c r="AG30" s="247"/>
      <c r="AH30" s="252"/>
      <c r="AI30" s="247"/>
      <c r="AJ30" s="252"/>
      <c r="AK30" s="247"/>
      <c r="AL30" s="252"/>
      <c r="AM30" s="247"/>
      <c r="AN30" s="252"/>
      <c r="AO30" s="247"/>
      <c r="AP30" s="252"/>
      <c r="AQ30" s="247"/>
      <c r="AR30" s="252"/>
      <c r="AS30" s="247"/>
      <c r="AT30" s="252"/>
      <c r="AU30" s="247"/>
      <c r="AV30" s="252"/>
      <c r="AW30" s="247"/>
      <c r="AX30" s="252"/>
      <c r="AY30" s="325"/>
      <c r="AZ30" s="252"/>
      <c r="BA30" s="325"/>
      <c r="BB30" s="252"/>
      <c r="BC30" s="325"/>
      <c r="BD30" s="252"/>
      <c r="BE30" s="325"/>
      <c r="BF30" s="252"/>
      <c r="BG30" s="325"/>
      <c r="BH30" s="252"/>
      <c r="BI30" s="325"/>
      <c r="BJ30" s="252"/>
      <c r="BK30" s="325"/>
      <c r="BL30" s="252"/>
      <c r="BM30" s="325"/>
      <c r="BN30" s="252"/>
      <c r="BO30" s="325"/>
      <c r="BP30" s="252"/>
      <c r="BQ30" s="325"/>
      <c r="BR30" s="252"/>
      <c r="BS30" s="325"/>
      <c r="BT30" s="252"/>
      <c r="BU30" s="325"/>
      <c r="BV30" s="252"/>
      <c r="BW30" s="325"/>
      <c r="BX30" s="252"/>
      <c r="BY30" s="325"/>
      <c r="BZ30" s="252"/>
      <c r="CA30" s="325"/>
      <c r="CB30" s="252"/>
      <c r="CC30" s="325"/>
      <c r="CD30" s="252"/>
      <c r="CE30" s="325"/>
      <c r="CF30" s="252"/>
      <c r="CG30" s="325"/>
      <c r="CH30" s="252"/>
      <c r="CI30" s="325"/>
      <c r="CJ30" s="326"/>
      <c r="CK30" s="252"/>
      <c r="CL30" s="325"/>
      <c r="CM30" s="326"/>
      <c r="CN30" s="252"/>
      <c r="CO30" s="325"/>
      <c r="CP30" s="326"/>
      <c r="CQ30" s="252"/>
      <c r="CR30" s="325"/>
      <c r="CS30" s="326"/>
      <c r="CT30" s="497"/>
      <c r="CU30" s="325"/>
      <c r="CV30" s="235"/>
      <c r="CW30" s="497"/>
      <c r="CX30" s="325"/>
      <c r="CY30" s="440"/>
      <c r="CZ30" s="497"/>
      <c r="DA30" s="325"/>
      <c r="DB30" s="440"/>
      <c r="DC30" s="497"/>
      <c r="DD30" s="325"/>
      <c r="DE30" s="440"/>
      <c r="DF30" s="497"/>
      <c r="DG30" s="325"/>
      <c r="DH30" s="440"/>
      <c r="DI30" s="497"/>
      <c r="DJ30" s="325"/>
      <c r="DK30" s="440"/>
      <c r="DL30" s="497"/>
      <c r="DM30" s="325"/>
      <c r="DN30" s="440"/>
      <c r="DO30" s="497"/>
      <c r="DP30" s="325"/>
      <c r="DQ30" s="440"/>
      <c r="DR30" s="497"/>
      <c r="DS30" s="325"/>
      <c r="DT30" s="440"/>
      <c r="DU30" s="244"/>
      <c r="DV30" s="325"/>
      <c r="DW30" s="440"/>
      <c r="DX30" s="244"/>
      <c r="DY30" s="325"/>
      <c r="DZ30" s="440"/>
      <c r="EA30" s="244"/>
      <c r="EB30" s="325"/>
      <c r="EC30" s="440"/>
      <c r="ED30" s="244"/>
      <c r="EE30" s="325"/>
      <c r="EF30" s="440"/>
      <c r="EG30" s="497"/>
      <c r="EH30" s="325"/>
      <c r="EI30" s="440"/>
      <c r="EJ30" s="497"/>
      <c r="EK30" s="325"/>
      <c r="EL30" s="440"/>
      <c r="EM30" s="497"/>
      <c r="EN30" s="325"/>
      <c r="EO30" s="440"/>
      <c r="EP30" s="497"/>
      <c r="EQ30" s="325"/>
      <c r="ER30" s="440"/>
      <c r="ES30" s="497"/>
      <c r="ET30" s="325"/>
      <c r="EU30" s="440"/>
      <c r="EV30" s="497"/>
      <c r="EW30" s="325"/>
      <c r="EX30" s="440"/>
      <c r="EY30" s="497"/>
      <c r="EZ30" s="325"/>
      <c r="FA30" s="440"/>
      <c r="FB30" s="497"/>
      <c r="FC30" s="325"/>
      <c r="FD30" s="440"/>
      <c r="FE30" s="244"/>
      <c r="FF30" s="325"/>
      <c r="FG30" s="440"/>
      <c r="FH30" s="244"/>
      <c r="FI30" s="325"/>
      <c r="FJ30" s="440"/>
      <c r="FK30" s="244"/>
      <c r="FL30" s="325"/>
      <c r="FM30" s="440"/>
      <c r="FN30" s="244"/>
      <c r="FO30" s="325"/>
      <c r="FP30" s="440"/>
      <c r="FQ30" s="244"/>
      <c r="FR30" s="325"/>
      <c r="FS30" s="325"/>
      <c r="FT30" s="244"/>
      <c r="FU30" s="325"/>
      <c r="FV30" s="440"/>
      <c r="FW30" s="244"/>
      <c r="FX30" s="325"/>
      <c r="FY30" s="440"/>
      <c r="FZ30" s="244"/>
      <c r="GA30" s="325"/>
      <c r="GB30" s="440"/>
      <c r="GC30" s="244"/>
      <c r="GD30" s="325"/>
      <c r="GE30" s="244">
        <v>73738346</v>
      </c>
      <c r="GF30" s="325">
        <f>GE30/GE37</f>
        <v>3.7070298565086909E-2</v>
      </c>
      <c r="GG30" s="244">
        <v>75079926.689999998</v>
      </c>
      <c r="GH30" s="325">
        <f>GG30/GG37</f>
        <v>3.8767773117500973E-2</v>
      </c>
      <c r="GI30" s="244">
        <v>77367300.559999987</v>
      </c>
      <c r="GJ30" s="325">
        <f>GI30/GI37</f>
        <v>3.8319867435794297E-2</v>
      </c>
      <c r="GK30" s="244">
        <v>89619207.349999979</v>
      </c>
      <c r="GL30" s="325">
        <f>GK30/GK37</f>
        <v>4.3794095817101301E-2</v>
      </c>
      <c r="GM30" s="244">
        <v>75577869.180000007</v>
      </c>
      <c r="GN30" s="325">
        <f>GM30/GM37</f>
        <v>3.8029769456972465E-2</v>
      </c>
      <c r="GO30" s="244">
        <v>75244922.770000011</v>
      </c>
      <c r="GP30" s="325">
        <f>GO30/GO37</f>
        <v>3.7836424261439162E-2</v>
      </c>
      <c r="GQ30" s="244">
        <v>74273513.039999992</v>
      </c>
      <c r="GR30" s="325">
        <f>GQ30/GQ37</f>
        <v>3.7535228567022239E-2</v>
      </c>
      <c r="GS30" s="440"/>
      <c r="GT30" s="244">
        <v>69665823.600000024</v>
      </c>
      <c r="GU30" s="325">
        <f>GT30/GT37</f>
        <v>3.633773323781541E-2</v>
      </c>
      <c r="GV30" s="440"/>
      <c r="GW30" s="1038">
        <v>67855225.960000008</v>
      </c>
      <c r="GX30" s="325">
        <f>GW30/GW37</f>
        <v>3.7363434147557391E-2</v>
      </c>
      <c r="GY30" s="440"/>
      <c r="GZ30" s="244">
        <v>57194886.93</v>
      </c>
      <c r="HA30" s="325">
        <f>GZ30/GZ37</f>
        <v>3.1647955453608871E-2</v>
      </c>
      <c r="HB30" s="440"/>
      <c r="HC30" s="244">
        <v>63508827</v>
      </c>
      <c r="HD30" s="325">
        <f>HC30/HC37</f>
        <v>3.5929558889887289E-2</v>
      </c>
      <c r="HE30" s="440"/>
      <c r="HF30" s="244">
        <v>61555627.139999971</v>
      </c>
      <c r="HG30" s="325">
        <f>HF30/HF37</f>
        <v>3.4743046114939606E-2</v>
      </c>
      <c r="HH30" s="440"/>
      <c r="HI30" s="244">
        <v>47076356.142830834</v>
      </c>
      <c r="HJ30" s="325">
        <f>HI30/HI37</f>
        <v>2.5918915597013432E-2</v>
      </c>
      <c r="HK30" s="440"/>
      <c r="HL30" s="244">
        <v>46723629.959667817</v>
      </c>
      <c r="HM30" s="325">
        <f>HL30/HL37</f>
        <v>2.5918915597013432E-2</v>
      </c>
      <c r="HN30" s="440"/>
      <c r="HO30" s="244">
        <v>38066625.630000003</v>
      </c>
      <c r="HP30" s="325">
        <f>HO30/HO37</f>
        <v>2.1551500452559439E-2</v>
      </c>
      <c r="HQ30" s="580"/>
      <c r="HR30" s="244">
        <v>38066625.630000003</v>
      </c>
      <c r="HS30" s="325">
        <f>HR30/HR37</f>
        <v>2.1570584558450012E-2</v>
      </c>
      <c r="HT30" s="325"/>
      <c r="HU30" s="244">
        <v>38066625.630000003</v>
      </c>
      <c r="HV30" s="325">
        <f>HU30/HU37</f>
        <v>2.1809020596561281E-2</v>
      </c>
      <c r="HW30" s="325"/>
      <c r="HX30" s="325"/>
      <c r="HY30" s="325"/>
      <c r="HZ30" s="325"/>
      <c r="IA30" s="244"/>
      <c r="IB30" s="325"/>
      <c r="IC30" s="254"/>
      <c r="ID30" s="254"/>
      <c r="IE30" s="254"/>
      <c r="IF30" s="254"/>
      <c r="IH30" s="167"/>
      <c r="II30" s="167"/>
      <c r="IJ30" s="167"/>
      <c r="IK30" s="167"/>
      <c r="IL30" s="167"/>
      <c r="IM30" s="167"/>
      <c r="IN30" s="167"/>
      <c r="IO30" s="167"/>
      <c r="IP30" s="167"/>
      <c r="IQ30" s="167"/>
      <c r="IR30" s="167"/>
      <c r="IS30" s="167"/>
      <c r="IW30" s="167"/>
      <c r="IX30" s="167"/>
      <c r="IY30" s="167"/>
      <c r="IZ30" s="167"/>
    </row>
    <row r="31" spans="1:265" ht="14.25" customHeight="1">
      <c r="B31" s="975"/>
      <c r="D31" s="252"/>
      <c r="E31" s="247"/>
      <c r="F31" s="252"/>
      <c r="G31" s="247"/>
      <c r="H31" s="252"/>
      <c r="I31" s="248"/>
      <c r="J31" s="252"/>
      <c r="K31" s="248"/>
      <c r="L31" s="252"/>
      <c r="M31" s="248"/>
      <c r="N31" s="252"/>
      <c r="O31" s="248"/>
      <c r="P31" s="252"/>
      <c r="Q31" s="248"/>
      <c r="R31" s="252"/>
      <c r="S31" s="248"/>
      <c r="U31" s="233"/>
      <c r="W31" s="233"/>
      <c r="Y31" s="233"/>
      <c r="Z31" s="252"/>
      <c r="AA31" s="248"/>
      <c r="AB31" s="252"/>
      <c r="AC31" s="248"/>
      <c r="AD31" s="252"/>
      <c r="AE31" s="248"/>
      <c r="AF31" s="252"/>
      <c r="AG31" s="248"/>
      <c r="AH31" s="252"/>
      <c r="AI31" s="248"/>
      <c r="AJ31" s="252"/>
      <c r="AK31" s="248"/>
      <c r="AL31" s="252"/>
      <c r="AM31" s="248"/>
      <c r="AN31" s="252"/>
      <c r="AO31" s="248"/>
      <c r="AP31" s="252"/>
      <c r="AQ31" s="248"/>
      <c r="AR31" s="252"/>
      <c r="AS31" s="248"/>
      <c r="AT31" s="252"/>
      <c r="AU31" s="248"/>
      <c r="AV31" s="252"/>
      <c r="AW31" s="248"/>
      <c r="AX31" s="252"/>
      <c r="AY31" s="245"/>
      <c r="AZ31" s="252"/>
      <c r="BA31" s="245"/>
      <c r="BB31" s="252"/>
      <c r="BC31" s="245"/>
      <c r="BD31" s="252"/>
      <c r="BE31" s="245"/>
      <c r="BF31" s="253"/>
      <c r="BG31" s="245"/>
      <c r="BH31" s="253"/>
      <c r="BI31" s="245"/>
      <c r="BJ31" s="253"/>
      <c r="BK31" s="245"/>
      <c r="BL31" s="253"/>
      <c r="BM31" s="245"/>
      <c r="BN31" s="253"/>
      <c r="BO31" s="245"/>
      <c r="BP31" s="253"/>
      <c r="BQ31" s="245"/>
      <c r="BR31" s="253"/>
      <c r="BS31" s="245"/>
      <c r="BT31" s="253"/>
      <c r="BU31" s="245"/>
      <c r="BV31" s="253"/>
      <c r="BW31" s="245"/>
      <c r="BX31" s="253"/>
      <c r="BY31" s="245"/>
      <c r="BZ31" s="253"/>
      <c r="CA31" s="245"/>
      <c r="CB31" s="253"/>
      <c r="CC31" s="245"/>
      <c r="CD31" s="253"/>
      <c r="CE31" s="245"/>
      <c r="CF31" s="253"/>
      <c r="CG31" s="245"/>
      <c r="CH31" s="253"/>
      <c r="CI31" s="245"/>
      <c r="CJ31" s="279"/>
      <c r="CK31" s="252"/>
      <c r="CL31" s="245"/>
      <c r="CM31" s="279"/>
      <c r="CN31" s="252"/>
      <c r="CO31" s="245"/>
      <c r="CP31" s="279"/>
      <c r="CQ31" s="252"/>
      <c r="CR31" s="245"/>
      <c r="CS31" s="279"/>
      <c r="CT31" s="420"/>
      <c r="CU31" s="245"/>
      <c r="CV31" s="235"/>
      <c r="CW31" s="420"/>
      <c r="CX31" s="245"/>
      <c r="CY31" s="438"/>
      <c r="CZ31" s="420"/>
      <c r="DA31" s="245"/>
      <c r="DB31" s="438"/>
      <c r="DC31" s="420"/>
      <c r="DD31" s="245"/>
      <c r="DE31" s="438"/>
      <c r="DF31" s="497"/>
      <c r="DG31" s="245"/>
      <c r="DH31" s="438"/>
      <c r="DI31" s="497"/>
      <c r="DJ31" s="245"/>
      <c r="DK31" s="438"/>
      <c r="DL31" s="497"/>
      <c r="DM31" s="245"/>
      <c r="DN31" s="438"/>
      <c r="DO31" s="497"/>
      <c r="DP31" s="245"/>
      <c r="DQ31" s="438"/>
      <c r="DR31" s="497"/>
      <c r="DS31" s="245"/>
      <c r="DT31" s="438"/>
      <c r="DU31" s="244"/>
      <c r="DV31" s="245"/>
      <c r="DW31" s="438"/>
      <c r="DX31" s="244"/>
      <c r="DY31" s="325"/>
      <c r="DZ31" s="440"/>
      <c r="EA31" s="244"/>
      <c r="EB31" s="325"/>
      <c r="EC31" s="440"/>
      <c r="ED31" s="244"/>
      <c r="EE31" s="325"/>
      <c r="EF31" s="440"/>
      <c r="EG31" s="420"/>
      <c r="EH31" s="245"/>
      <c r="EI31" s="438"/>
      <c r="EJ31" s="420"/>
      <c r="EK31" s="245"/>
      <c r="EL31" s="438"/>
      <c r="EM31" s="420"/>
      <c r="EN31" s="245"/>
      <c r="EO31" s="438"/>
      <c r="EP31" s="497"/>
      <c r="EQ31" s="245"/>
      <c r="ER31" s="438"/>
      <c r="ES31" s="497"/>
      <c r="ET31" s="245"/>
      <c r="EU31" s="438"/>
      <c r="EV31" s="497"/>
      <c r="EW31" s="245"/>
      <c r="EX31" s="438"/>
      <c r="EY31" s="497"/>
      <c r="EZ31" s="245"/>
      <c r="FA31" s="438"/>
      <c r="FB31" s="497"/>
      <c r="FC31" s="245"/>
      <c r="FD31" s="438"/>
      <c r="FE31" s="244"/>
      <c r="FF31" s="245"/>
      <c r="FG31" s="438"/>
      <c r="FH31" s="244"/>
      <c r="FI31" s="325"/>
      <c r="FJ31" s="440"/>
      <c r="FK31" s="244"/>
      <c r="FL31" s="325"/>
      <c r="FM31" s="440"/>
      <c r="FN31" s="244"/>
      <c r="FO31" s="325"/>
      <c r="FP31" s="440"/>
      <c r="FQ31" s="244"/>
      <c r="FR31" s="325"/>
      <c r="FS31" s="325"/>
      <c r="FT31" s="244"/>
      <c r="FU31" s="325"/>
      <c r="FV31" s="440"/>
      <c r="FW31" s="244"/>
      <c r="FX31" s="325"/>
      <c r="FY31" s="440"/>
      <c r="FZ31" s="244"/>
      <c r="GA31" s="325"/>
      <c r="GB31" s="440"/>
      <c r="GC31" s="244"/>
      <c r="GD31" s="325"/>
      <c r="GE31" s="244"/>
      <c r="GF31" s="325"/>
      <c r="GG31" s="244"/>
      <c r="GH31" s="325"/>
      <c r="GI31" s="244"/>
      <c r="GJ31" s="325"/>
      <c r="GK31" s="244"/>
      <c r="GL31" s="325"/>
      <c r="GM31" s="244"/>
      <c r="GN31" s="325"/>
      <c r="GO31" s="244"/>
      <c r="GP31" s="325"/>
      <c r="GQ31" s="244"/>
      <c r="GR31" s="325"/>
      <c r="GS31" s="440"/>
      <c r="GT31" s="244"/>
      <c r="GU31" s="325"/>
      <c r="GV31" s="440"/>
      <c r="GW31" s="1038"/>
      <c r="GX31" s="325"/>
      <c r="GY31" s="440"/>
      <c r="GZ31" s="244"/>
      <c r="HA31" s="325"/>
      <c r="HB31" s="440"/>
      <c r="HC31" s="244"/>
      <c r="HD31" s="325"/>
      <c r="HE31" s="440"/>
      <c r="HF31" s="244"/>
      <c r="HG31" s="325"/>
      <c r="HH31" s="440"/>
      <c r="HI31" s="244"/>
      <c r="HJ31" s="325"/>
      <c r="HK31" s="440"/>
      <c r="HL31" s="244"/>
      <c r="HM31" s="325"/>
      <c r="HN31" s="440"/>
      <c r="HO31" s="244"/>
      <c r="HP31" s="325"/>
      <c r="HQ31" s="580"/>
      <c r="HR31" s="244"/>
      <c r="HS31" s="325"/>
      <c r="HT31" s="325"/>
      <c r="HU31" s="244"/>
      <c r="HV31" s="325"/>
      <c r="HW31" s="325"/>
      <c r="HX31" s="325"/>
      <c r="HY31" s="325"/>
      <c r="HZ31" s="325"/>
      <c r="IA31" s="244"/>
      <c r="IB31" s="325"/>
      <c r="IC31" s="254"/>
      <c r="ID31" s="254"/>
      <c r="IE31" s="254"/>
      <c r="IF31" s="254"/>
      <c r="IH31" s="167"/>
      <c r="II31" s="167"/>
      <c r="IJ31" s="167"/>
      <c r="IK31" s="167"/>
      <c r="IL31" s="167"/>
      <c r="IM31" s="167"/>
      <c r="IN31" s="167"/>
      <c r="IO31" s="167"/>
      <c r="IP31" s="167"/>
      <c r="IQ31" s="167"/>
      <c r="IR31" s="167"/>
      <c r="IS31" s="167"/>
      <c r="IW31" s="167"/>
      <c r="IX31" s="167"/>
      <c r="IY31" s="167"/>
      <c r="IZ31" s="167"/>
    </row>
    <row r="32" spans="1:265" ht="14.25" customHeight="1">
      <c r="A32" s="243"/>
      <c r="B32" s="212" t="s">
        <v>871</v>
      </c>
      <c r="D32" s="252">
        <v>2036410.2399999998</v>
      </c>
      <c r="E32" s="247">
        <v>7.8507017882218866E-2</v>
      </c>
      <c r="F32" s="252">
        <v>3335911.5999999996</v>
      </c>
      <c r="G32" s="247">
        <v>0.12689321264742737</v>
      </c>
      <c r="H32" s="252">
        <v>2987387.54</v>
      </c>
      <c r="I32" s="248">
        <v>9.8747959796547741E-2</v>
      </c>
      <c r="J32" s="252">
        <v>3172948.7499999995</v>
      </c>
      <c r="K32" s="248">
        <v>9.2709765404711861E-2</v>
      </c>
      <c r="L32" s="252">
        <v>3989833.4000000004</v>
      </c>
      <c r="M32" s="248">
        <v>0.10781482115947606</v>
      </c>
      <c r="N32" s="252">
        <v>6586737.3199999994</v>
      </c>
      <c r="O32" s="248">
        <f>+N32/$N$37</f>
        <v>0.15135390360142228</v>
      </c>
      <c r="P32" s="252">
        <v>8367121.2699999996</v>
      </c>
      <c r="Q32" s="248">
        <f>+P32/$P$37</f>
        <v>0.16817505207770425</v>
      </c>
      <c r="R32" s="252">
        <v>9278728.7599999998</v>
      </c>
      <c r="S32" s="248">
        <f>+R32/$R$37</f>
        <v>0.1815161074861372</v>
      </c>
      <c r="T32" s="252">
        <v>9891229.6099999994</v>
      </c>
      <c r="U32" s="248">
        <f>+T32/$T$37</f>
        <v>0.17390262706026244</v>
      </c>
      <c r="V32" s="252">
        <v>10020212.390000001</v>
      </c>
      <c r="W32" s="248">
        <f>+V32/$V$37</f>
        <v>0.15659559598036754</v>
      </c>
      <c r="X32" s="252">
        <v>10343709.68</v>
      </c>
      <c r="Y32" s="248">
        <f>+X32/$X$37</f>
        <v>0.16224242172144374</v>
      </c>
      <c r="Z32" s="252">
        <f>SUM(Z33:Z35)</f>
        <v>11760795.199999999</v>
      </c>
      <c r="AA32" s="248">
        <f>+Z32/$Z$37</f>
        <v>0.17701892706036398</v>
      </c>
      <c r="AB32" s="252">
        <f>SUM(AB33:AB35)</f>
        <v>12593905.199999999</v>
      </c>
      <c r="AC32" s="248">
        <f>+AB32/$AB$37</f>
        <v>0.16848751579638538</v>
      </c>
      <c r="AD32" s="252">
        <f>SUM(AD33:AD35)</f>
        <v>13308863.41</v>
      </c>
      <c r="AE32" s="248">
        <f>+AD32/$AD$37</f>
        <v>0.16975888406908776</v>
      </c>
      <c r="AF32" s="252">
        <f>SUM(AF33:AF35)</f>
        <v>13453674.560000001</v>
      </c>
      <c r="AG32" s="248">
        <f>+AF32/$AF$37</f>
        <v>0.1553699535381014</v>
      </c>
      <c r="AH32" s="252">
        <f>SUM(AH33:AH35)</f>
        <v>14598009.709999999</v>
      </c>
      <c r="AI32" s="248">
        <f>+AH32/$AH$37</f>
        <v>0.15392316747476364</v>
      </c>
      <c r="AJ32" s="252">
        <f>SUM(AJ33:AJ35)</f>
        <v>17804650.190000001</v>
      </c>
      <c r="AK32" s="248">
        <f>+AJ32/$AJ$37</f>
        <v>0.16717573739848096</v>
      </c>
      <c r="AL32" s="252">
        <f>SUM(AL33:AL35)</f>
        <v>22151764.75</v>
      </c>
      <c r="AM32" s="248">
        <f>+AL32/$AL$37</f>
        <v>0.1876278489042193</v>
      </c>
      <c r="AN32" s="252">
        <f>SUM(AN33:AN35)</f>
        <v>23975674.68</v>
      </c>
      <c r="AO32" s="248">
        <f>+AN32/$AN$37</f>
        <v>0.16823301160583004</v>
      </c>
      <c r="AP32" s="252">
        <f>SUM(AP33:AP35)</f>
        <v>24735450.300000001</v>
      </c>
      <c r="AQ32" s="248">
        <f>+AP32/$AP$37</f>
        <v>0.16518570599305532</v>
      </c>
      <c r="AR32" s="252">
        <f>SUM(AR33:AR35)</f>
        <v>28624190.579999998</v>
      </c>
      <c r="AS32" s="248">
        <f>+AR32/$AR$37</f>
        <v>0.18241383592840715</v>
      </c>
      <c r="AT32" s="252">
        <v>35346972.600000001</v>
      </c>
      <c r="AU32" s="248">
        <f>+AT32/$AT$37</f>
        <v>0.19914726228915464</v>
      </c>
      <c r="AV32" s="252">
        <f>SUM(AV33:AV35)</f>
        <v>37524149.830000006</v>
      </c>
      <c r="AW32" s="248">
        <f>+AV32/$AV$37</f>
        <v>0.21983278269506923</v>
      </c>
      <c r="AX32" s="252">
        <f>SUM(AX33:AX35)</f>
        <v>36548119.770000003</v>
      </c>
      <c r="AY32" s="245">
        <f>+AX32/$AX$37</f>
        <v>0.23277943635653997</v>
      </c>
      <c r="AZ32" s="252">
        <f>SUM(AZ33:AZ35)</f>
        <v>37482400.660000004</v>
      </c>
      <c r="BA32" s="245">
        <f>+AZ32/$AZ$37</f>
        <v>0.24146306614783419</v>
      </c>
      <c r="BB32" s="252">
        <f>SUM(BB33:BB35)</f>
        <v>39510106.450000003</v>
      </c>
      <c r="BC32" s="245">
        <f>+BB32/$BB$37</f>
        <v>0.25574284444475665</v>
      </c>
      <c r="BD32" s="252">
        <f>SUM(BD33:BD35)</f>
        <v>40127652.25</v>
      </c>
      <c r="BE32" s="245">
        <f>+BD32/$BD$37</f>
        <v>0.27088786647315477</v>
      </c>
      <c r="BF32" s="253">
        <f>SUM(BF33:BF35)</f>
        <v>47811279.419999994</v>
      </c>
      <c r="BG32" s="245">
        <f>+BF32/$BF$37</f>
        <v>0.31535823176112238</v>
      </c>
      <c r="BH32" s="253">
        <f>SUM(BH33:BH35)</f>
        <v>57720893.730000004</v>
      </c>
      <c r="BI32" s="245">
        <f>+BH32/$BH$37</f>
        <v>0.37022591610811595</v>
      </c>
      <c r="BJ32" s="253">
        <f>SUM(BJ33:BJ35)</f>
        <v>75202705.480000004</v>
      </c>
      <c r="BK32" s="245">
        <f>+BJ32/$BJ$37</f>
        <v>0.45363116707649415</v>
      </c>
      <c r="BL32" s="253">
        <f>SUM(BL33:BL35)</f>
        <v>87364587.380000025</v>
      </c>
      <c r="BM32" s="245">
        <f>+BL32/$BL$37</f>
        <v>0.46639699989188294</v>
      </c>
      <c r="BN32" s="253">
        <f>SUM(BN33:BN35)</f>
        <v>87637674.86999999</v>
      </c>
      <c r="BO32" s="245">
        <f>+BN32/BN$37</f>
        <v>0.47357801448565628</v>
      </c>
      <c r="BP32" s="253">
        <f>SUM(BP33:BP35)</f>
        <v>87970672.190000013</v>
      </c>
      <c r="BQ32" s="245">
        <f>+BP32/BP$37</f>
        <v>0.46298407764661847</v>
      </c>
      <c r="BR32" s="253">
        <f>SUM(BR33:BR35)</f>
        <v>93133716.100000039</v>
      </c>
      <c r="BS32" s="245">
        <f>+BR32/BR$37</f>
        <v>0.44982932681246329</v>
      </c>
      <c r="BT32" s="253">
        <f>SUM(BT33:BT35)</f>
        <v>102913352.22000001</v>
      </c>
      <c r="BU32" s="245">
        <f>+BT32/BT$37</f>
        <v>0.44750511657687286</v>
      </c>
      <c r="BV32" s="253">
        <f>SUM(BV33:BV35)</f>
        <v>104359191.81</v>
      </c>
      <c r="BW32" s="245">
        <f>+BV32/BV$37</f>
        <v>0.44196187668819853</v>
      </c>
      <c r="BX32" s="253">
        <f>SUM(BX33:BX35)</f>
        <v>114340983.73999998</v>
      </c>
      <c r="BY32" s="245">
        <f>+BX32/BX$37</f>
        <v>0.43746822610892999</v>
      </c>
      <c r="BZ32" s="253">
        <f>SUM(BZ33:BZ35)</f>
        <v>111335350.57000004</v>
      </c>
      <c r="CA32" s="245">
        <f>+BZ32/BZ$37</f>
        <v>0.40900025976050597</v>
      </c>
      <c r="CB32" s="253">
        <f>SUM(CB33:CB35)</f>
        <v>113188838.78999999</v>
      </c>
      <c r="CC32" s="245">
        <f>+CB32/CB$37</f>
        <v>0.40227588695649147</v>
      </c>
      <c r="CD32" s="253">
        <f>SUM(CD33:CD35)</f>
        <v>126807032.31000003</v>
      </c>
      <c r="CE32" s="245">
        <f>+CD32/CD$37</f>
        <v>0.40548867294765079</v>
      </c>
      <c r="CF32" s="253">
        <f>SUM(CF33:CF35)</f>
        <v>135492262.00999993</v>
      </c>
      <c r="CG32" s="245">
        <f>+CF32/CF$37</f>
        <v>0.39863535767186875</v>
      </c>
      <c r="CH32" s="253">
        <f>SUM(CH33:CH35)</f>
        <v>139442696.72</v>
      </c>
      <c r="CI32" s="245">
        <f>+CH32/CH$37</f>
        <v>0.38050807346022159</v>
      </c>
      <c r="CJ32" s="279"/>
      <c r="CK32" s="252">
        <f>SUM(CK33:CK35)</f>
        <v>146005751.38000005</v>
      </c>
      <c r="CL32" s="245">
        <f>+CK32/CK$37</f>
        <v>0.36199023517482259</v>
      </c>
      <c r="CM32" s="279"/>
      <c r="CN32" s="252">
        <f>SUM(CN33:CN35)</f>
        <v>153613906.29000005</v>
      </c>
      <c r="CO32" s="245">
        <f>+CN32/CN$37</f>
        <v>0.38567477543981854</v>
      </c>
      <c r="CP32" s="279"/>
      <c r="CQ32" s="252">
        <f>SUM(CQ33:CQ35)</f>
        <v>161589354.98000038</v>
      </c>
      <c r="CR32" s="245">
        <f>+CQ32/CQ$37</f>
        <v>0.39846102567150465</v>
      </c>
      <c r="CS32" s="279"/>
      <c r="CT32" s="252">
        <f>SUM(CT33:CT35)</f>
        <v>187878488.15000039</v>
      </c>
      <c r="CU32" s="245">
        <f>+CT32/CT$37</f>
        <v>0.42402968139662162</v>
      </c>
      <c r="CV32" s="235"/>
      <c r="CW32" s="252">
        <f>SUM(CW33:CW35)</f>
        <v>187114729.74000001</v>
      </c>
      <c r="CX32" s="245">
        <f>+CW32/CW$37</f>
        <v>0.40665127295276859</v>
      </c>
      <c r="CY32" s="438"/>
      <c r="CZ32" s="252">
        <f>SUM(CZ33:CZ35)</f>
        <v>195332145.55999997</v>
      </c>
      <c r="DA32" s="245">
        <f>+CZ32/CZ$37</f>
        <v>0.4119541689238157</v>
      </c>
      <c r="DB32" s="438"/>
      <c r="DC32" s="252">
        <f>SUM(DC33:DC35)</f>
        <v>213163282.52000058</v>
      </c>
      <c r="DD32" s="245">
        <f>+DC32/DC$37</f>
        <v>0.42522916651978382</v>
      </c>
      <c r="DE32" s="438"/>
      <c r="DF32" s="252">
        <f>SUM(DF33:DF35)</f>
        <v>222722542</v>
      </c>
      <c r="DG32" s="245">
        <f>+DF32/DF$37</f>
        <v>0.41686291726297814</v>
      </c>
      <c r="DH32" s="438"/>
      <c r="DI32" s="252">
        <f>SUM(DI33:DI35)</f>
        <v>231626063.42000064</v>
      </c>
      <c r="DJ32" s="245">
        <f>+DI32/DI$37</f>
        <v>0.41780730575220115</v>
      </c>
      <c r="DK32" s="438"/>
      <c r="DL32" s="252">
        <v>245504937.12000063</v>
      </c>
      <c r="DM32" s="245">
        <f>+DL32/DL$37</f>
        <v>0.42542598382066454</v>
      </c>
      <c r="DN32" s="438"/>
      <c r="DO32" s="252">
        <f>SUM(DO33:DO35)</f>
        <v>262830349.9300006</v>
      </c>
      <c r="DP32" s="245">
        <f>+DO32/DO$37</f>
        <v>0.42970233139987962</v>
      </c>
      <c r="DQ32" s="438"/>
      <c r="DR32" s="252">
        <f>SUM(DR33:DR35)</f>
        <v>276910814.78827107</v>
      </c>
      <c r="DS32" s="245">
        <f>+DR32/DR$37</f>
        <v>0.44483092227041482</v>
      </c>
      <c r="DT32" s="438"/>
      <c r="DU32" s="252">
        <f>SUM(DU33:DU35)</f>
        <v>315076590.75999981</v>
      </c>
      <c r="DV32" s="245">
        <f>+DU32/DU$37</f>
        <v>0.45822769728271256</v>
      </c>
      <c r="DW32" s="438"/>
      <c r="DX32" s="252">
        <f>SUM(DX33:DX35)</f>
        <v>328858611.27999938</v>
      </c>
      <c r="DY32" s="325">
        <f>+DX32/DX$37</f>
        <v>0.4900285770532492</v>
      </c>
      <c r="DZ32" s="440"/>
      <c r="EA32" s="252">
        <f>SUM(EA33:EA35)</f>
        <v>351327804.42000061</v>
      </c>
      <c r="EB32" s="325">
        <f>+EA32/EA$37</f>
        <v>0.50250617618685045</v>
      </c>
      <c r="EC32" s="440"/>
      <c r="ED32" s="252">
        <f>SUM(ED33:ED35)</f>
        <v>381972962.49999839</v>
      </c>
      <c r="EE32" s="325">
        <f>+ED32/ED$37</f>
        <v>0.51616954329779119</v>
      </c>
      <c r="EF32" s="440"/>
      <c r="EG32" s="252">
        <f>SUM(EG33:EG35)</f>
        <v>428080033.18000048</v>
      </c>
      <c r="EH32" s="245">
        <f>+EG32/EG$37</f>
        <v>0.53546885749115247</v>
      </c>
      <c r="EI32" s="438"/>
      <c r="EJ32" s="252">
        <f>SUM(EJ33:EJ35)</f>
        <v>465838158.34000015</v>
      </c>
      <c r="EK32" s="245">
        <f>+EJ32/EJ$37</f>
        <v>0.55482034844944117</v>
      </c>
      <c r="EL32" s="438"/>
      <c r="EM32" s="252">
        <f>SUM(EM33:EM35)</f>
        <v>492054726.49999964</v>
      </c>
      <c r="EN32" s="245">
        <f>+EM32/EM$37</f>
        <v>0.55240745832045879</v>
      </c>
      <c r="EO32" s="438"/>
      <c r="EP32" s="252">
        <f>SUM(EP33:EP35)</f>
        <v>534478270.29000044</v>
      </c>
      <c r="EQ32" s="245">
        <f>+EP32/EP$37</f>
        <v>0.56472571522617387</v>
      </c>
      <c r="ER32" s="438"/>
      <c r="ES32" s="252">
        <f>SUM(ES33:ES35)</f>
        <v>571163823.86999846</v>
      </c>
      <c r="ET32" s="245">
        <f>+ES32/ES$37</f>
        <v>0.57389440409594794</v>
      </c>
      <c r="EU32" s="438"/>
      <c r="EV32" s="252">
        <f>SUM(EV33:EV35)</f>
        <v>618554396.05999839</v>
      </c>
      <c r="EW32" s="245">
        <f>+EV32/EV$37</f>
        <v>0.57268891991139903</v>
      </c>
      <c r="EX32" s="438"/>
      <c r="EY32" s="252">
        <f>SUM(EY33:EY35)</f>
        <v>661995479.83999991</v>
      </c>
      <c r="EZ32" s="245">
        <f>+EY32/EY$37</f>
        <v>0.58300644299582183</v>
      </c>
      <c r="FA32" s="438"/>
      <c r="FB32" s="252">
        <f>SUM(FB33:FB35)</f>
        <v>716597676.5699985</v>
      </c>
      <c r="FC32" s="245">
        <f>+FB32/FB$37</f>
        <v>0.59560114591357305</v>
      </c>
      <c r="FD32" s="438"/>
      <c r="FE32" s="252">
        <f>SUM(FE33:FE35)</f>
        <v>808673941.22999787</v>
      </c>
      <c r="FF32" s="245">
        <f>+FE32/FE$37</f>
        <v>0.61181950690211429</v>
      </c>
      <c r="FG32" s="438"/>
      <c r="FH32" s="252">
        <f>SUM(FH33:FH35)</f>
        <v>851335696.19999623</v>
      </c>
      <c r="FI32" s="325">
        <f>+FH32/FH$37</f>
        <v>0.62288938485641998</v>
      </c>
      <c r="FJ32" s="440"/>
      <c r="FK32" s="252">
        <f>SUM(FK33,FK34,FK35)</f>
        <v>937100153.66999984</v>
      </c>
      <c r="FL32" s="325">
        <f>+FK32/FK$37</f>
        <v>0.6387527341386332</v>
      </c>
      <c r="FM32" s="440"/>
      <c r="FN32" s="252">
        <f>SUM(FN33:FN35)</f>
        <v>1057668949.1699995</v>
      </c>
      <c r="FO32" s="325">
        <f>+FN32/FN$37</f>
        <v>0.66240565991002986</v>
      </c>
      <c r="FP32" s="440"/>
      <c r="FQ32" s="252">
        <f>SUM(FQ33:FQ35)</f>
        <v>1136128745.0599995</v>
      </c>
      <c r="FR32" s="325">
        <f>+FQ32/FQ$37</f>
        <v>0.68207340659296778</v>
      </c>
      <c r="FS32" s="440"/>
      <c r="FT32" s="252">
        <f>SUM(FT33:FT35)</f>
        <v>1188095533.3399992</v>
      </c>
      <c r="FU32" s="325">
        <f>+FT32/FT$37</f>
        <v>0.69454086695357509</v>
      </c>
      <c r="FV32" s="440"/>
      <c r="FW32" s="252">
        <f>SUM(FW33:FW35)</f>
        <v>1238762830.2299967</v>
      </c>
      <c r="FX32" s="325">
        <f>+FW32/FW$37</f>
        <v>0.70437821481817509</v>
      </c>
      <c r="FY32" s="440"/>
      <c r="FZ32" s="252">
        <f>SUM(FZ33:FZ35)</f>
        <v>1288033698.6799984</v>
      </c>
      <c r="GA32" s="325">
        <f>+FZ32/FZ$37</f>
        <v>0.70976067661545472</v>
      </c>
      <c r="GB32" s="440"/>
      <c r="GC32" s="252">
        <f>SUM(GC33:GC35)</f>
        <v>1350302557.7799997</v>
      </c>
      <c r="GD32" s="325">
        <f>+GC32/GC$37</f>
        <v>0.71805936961692118</v>
      </c>
      <c r="GE32" s="252">
        <v>1398488901.0499988</v>
      </c>
      <c r="GF32" s="325">
        <f>+GE32/GE$37</f>
        <v>0.7030589091581162</v>
      </c>
      <c r="GG32" s="252">
        <f>SUM(GG33:GG35)</f>
        <v>1360677477.7300005</v>
      </c>
      <c r="GH32" s="325">
        <f>+GG32/GG$37</f>
        <v>0.70259040023484798</v>
      </c>
      <c r="GI32" s="252">
        <f>SUM(GI33:GI35)</f>
        <v>1430674316.4399998</v>
      </c>
      <c r="GJ32" s="325">
        <f>+GI32/GI$37</f>
        <v>0.70861009435452404</v>
      </c>
      <c r="GK32" s="252">
        <f>SUM(GK33:GK35)</f>
        <v>1454954827.98</v>
      </c>
      <c r="GL32" s="325">
        <f>+GK32/GK$37</f>
        <v>0.71099079126267539</v>
      </c>
      <c r="GM32" s="252">
        <f>SUM(GM33:GM36)</f>
        <v>1429797586.0800002</v>
      </c>
      <c r="GN32" s="325">
        <f>+GM32/GM$37</f>
        <v>0.71945495630812573</v>
      </c>
      <c r="GO32" s="252">
        <f>SUM(GO33:GO36)</f>
        <v>1411710422.29</v>
      </c>
      <c r="GP32" s="325">
        <f>+GO32/GO$37</f>
        <v>0.70986948362389657</v>
      </c>
      <c r="GQ32" s="252">
        <f>SUM(GQ33:GQ36)</f>
        <v>1399497128.99</v>
      </c>
      <c r="GR32" s="325">
        <f>+GQ32/GQ$37</f>
        <v>0.70725676577652652</v>
      </c>
      <c r="GS32" s="440"/>
      <c r="GT32" s="252">
        <f>SUM(GT33:GT36)</f>
        <v>1331300482.5299997</v>
      </c>
      <c r="GU32" s="325">
        <f>+GT32/GT$37</f>
        <v>0.69440708935435669</v>
      </c>
      <c r="GV32" s="440"/>
      <c r="GW32" s="1039">
        <f>SUM(GW33:GW36)</f>
        <v>1241617883.76</v>
      </c>
      <c r="GX32" s="325">
        <f>+GW32/GW$37</f>
        <v>0.68367774743898768</v>
      </c>
      <c r="GY32" s="440"/>
      <c r="GZ32" s="252">
        <f>SUM(GZ33:GZ36)</f>
        <v>1258018370.1900001</v>
      </c>
      <c r="HA32" s="325">
        <f>+GZ32/GZ$37</f>
        <v>0.69610609403463264</v>
      </c>
      <c r="HB32" s="440"/>
      <c r="HC32" s="252">
        <f>SUM(HC33:HC36)</f>
        <v>1238730972.3000002</v>
      </c>
      <c r="HD32" s="325">
        <f>+HC32/HC$37</f>
        <v>0.70080112514092252</v>
      </c>
      <c r="HE32" s="440"/>
      <c r="HF32" s="252">
        <f>SUM(HF33:HF36)</f>
        <v>1245074512.6599998</v>
      </c>
      <c r="HG32" s="325">
        <f>+HF32/HF$37</f>
        <v>0.70274129628309323</v>
      </c>
      <c r="HH32" s="440"/>
      <c r="HI32" s="252">
        <f>SUM(HI33:HI36)</f>
        <v>1273567069.8206198</v>
      </c>
      <c r="HJ32" s="325">
        <f>+HI32/HI$37</f>
        <v>0.70119015349583946</v>
      </c>
      <c r="HK32" s="440"/>
      <c r="HL32" s="252">
        <f>SUM(HL33:HL36)</f>
        <v>1264024690.4109435</v>
      </c>
      <c r="HM32" s="325">
        <f>+HL32/HL$37</f>
        <v>0.70119015349583946</v>
      </c>
      <c r="HN32" s="440"/>
      <c r="HO32" s="252">
        <f>SUM(HO33:HO36)</f>
        <v>1248983286.4065514</v>
      </c>
      <c r="HP32" s="325">
        <f>+HO32/HO$37</f>
        <v>0.70711452398913266</v>
      </c>
      <c r="HQ32" s="580"/>
      <c r="HR32" s="252">
        <f>SUM(HR33:HR36)</f>
        <v>1247664058.5238965</v>
      </c>
      <c r="HS32" s="325">
        <f>+HR32/HR$37</f>
        <v>0.70699313715158496</v>
      </c>
      <c r="HT32" s="440"/>
      <c r="HU32" s="252">
        <f>SUM(HU33:HU36)</f>
        <v>1231376302.6888964</v>
      </c>
      <c r="HV32" s="325">
        <f>+HU32/HU$37</f>
        <v>0.70547653497018459</v>
      </c>
      <c r="HW32" s="440"/>
      <c r="HX32" s="440"/>
      <c r="HY32" s="440"/>
      <c r="HZ32" s="440"/>
      <c r="IA32" s="252">
        <f>SUM(IA33:IA35)</f>
        <v>381972962.49999839</v>
      </c>
      <c r="IB32" s="325">
        <f>+IA32/IA$37</f>
        <v>0.51616954329779119</v>
      </c>
      <c r="IC32" s="254">
        <f>+X32</f>
        <v>10343709.68</v>
      </c>
      <c r="ID32" s="254">
        <f>+AD32</f>
        <v>13308863.41</v>
      </c>
      <c r="IE32" s="254">
        <f>+AJ32</f>
        <v>17804650.190000001</v>
      </c>
      <c r="IF32" s="254">
        <f>+AP32</f>
        <v>24735450.300000001</v>
      </c>
      <c r="IG32" s="167">
        <f>+AV32</f>
        <v>37524149.830000006</v>
      </c>
      <c r="IH32" s="167">
        <f>+BB32</f>
        <v>39510106.450000003</v>
      </c>
      <c r="II32" s="167">
        <f>+BH32</f>
        <v>57720893.730000004</v>
      </c>
      <c r="IJ32" s="167">
        <f>+BN32</f>
        <v>87637674.86999999</v>
      </c>
      <c r="IK32" s="167"/>
      <c r="IL32" s="167">
        <f>SUM(BT32,BV32,BX32)</f>
        <v>321613527.76999998</v>
      </c>
      <c r="IM32" s="167">
        <f>SUM(BZ32,CB32,CD32)</f>
        <v>351331221.67000008</v>
      </c>
      <c r="IN32" s="167">
        <f>SUM(CH32,CK32,CF32)</f>
        <v>420940710.10999995</v>
      </c>
      <c r="IO32" s="167">
        <f>CQ32+CN32+CT32</f>
        <v>503081749.42000085</v>
      </c>
      <c r="IP32" s="167">
        <f>CW32+CZ32+DC32</f>
        <v>595610157.82000053</v>
      </c>
      <c r="IQ32" s="167">
        <f>DF32+DI32+DL32</f>
        <v>699853542.54000127</v>
      </c>
      <c r="IR32" s="167">
        <f>DO32+DR32+DU32</f>
        <v>854817755.47827148</v>
      </c>
      <c r="IS32" s="167">
        <f>DX32+EA32+ED32</f>
        <v>1062159378.1999984</v>
      </c>
      <c r="IW32" s="167"/>
      <c r="IX32" s="167"/>
      <c r="IY32" s="167"/>
      <c r="IZ32" s="167"/>
    </row>
    <row r="33" spans="1:266" ht="14.25" customHeight="1" thickBot="1">
      <c r="A33" s="243">
        <v>6</v>
      </c>
      <c r="B33" s="595" t="s">
        <v>860</v>
      </c>
      <c r="D33" s="255">
        <v>1886410.24</v>
      </c>
      <c r="E33" s="256">
        <f>+D33/$D$37</f>
        <v>7.2724267210952945E-2</v>
      </c>
      <c r="F33" s="255">
        <v>2698411.6</v>
      </c>
      <c r="G33" s="256">
        <f>+F33/$F$37</f>
        <v>0.10264364228628985</v>
      </c>
      <c r="H33" s="255">
        <v>2862387.54</v>
      </c>
      <c r="I33" s="256">
        <f>+H33/$H$37</f>
        <v>9.4616090459445107E-2</v>
      </c>
      <c r="J33" s="255">
        <v>2892948.7499999995</v>
      </c>
      <c r="K33" s="256">
        <f>+J33/$J$37</f>
        <v>8.4528500480934146E-2</v>
      </c>
      <c r="L33" s="255">
        <v>3233166.74</v>
      </c>
      <c r="M33" s="256">
        <f>+L33/$L$37</f>
        <v>8.7367882040354422E-2</v>
      </c>
      <c r="N33" s="255">
        <f>4626320.66-77916.67</f>
        <v>4548403.99</v>
      </c>
      <c r="O33" s="256">
        <f>+N33/$N$37</f>
        <v>0.10451588785125328</v>
      </c>
      <c r="P33" s="255">
        <v>5314095.6399999987</v>
      </c>
      <c r="Q33" s="256">
        <f>+P33/$P$37</f>
        <v>0.10681072762829705</v>
      </c>
      <c r="R33" s="255">
        <v>6477671.0699999984</v>
      </c>
      <c r="S33" s="256">
        <f>+R33/$R$37</f>
        <v>0.12672012175533851</v>
      </c>
      <c r="T33" s="255">
        <f>6331714.65+229166.67</f>
        <v>6560881.3200000003</v>
      </c>
      <c r="U33" s="256">
        <f>+T33/$T$37</f>
        <v>0.11535011746417263</v>
      </c>
      <c r="V33" s="255">
        <v>6850573.5</v>
      </c>
      <c r="W33" s="256">
        <f>+V33/$V$37</f>
        <v>0.10706056900654302</v>
      </c>
      <c r="X33" s="255">
        <v>7363138.0999999987</v>
      </c>
      <c r="Y33" s="256">
        <f>+X33/$X$37</f>
        <v>0.1154917716922455</v>
      </c>
      <c r="Z33" s="255">
        <v>6833997.6799999997</v>
      </c>
      <c r="AA33" s="256">
        <f>+Z33/$Z$37</f>
        <v>0.10286268201036412</v>
      </c>
      <c r="AB33" s="255">
        <v>6974935.8700000001</v>
      </c>
      <c r="AC33" s="256">
        <f>+AB33/$AB$37</f>
        <v>9.3314154657556103E-2</v>
      </c>
      <c r="AD33" s="255">
        <v>5541036.7699999996</v>
      </c>
      <c r="AE33" s="256">
        <f>+AD33/$AD$37</f>
        <v>7.067772729218974E-2</v>
      </c>
      <c r="AF33" s="255">
        <v>5242550.08</v>
      </c>
      <c r="AG33" s="256">
        <f>+AF33/$AF$37</f>
        <v>6.0543664759999206E-2</v>
      </c>
      <c r="AH33" s="255">
        <v>5225360.13</v>
      </c>
      <c r="AI33" s="248">
        <f>+AH33/$AH$37</f>
        <v>5.509682473049559E-2</v>
      </c>
      <c r="AJ33" s="255">
        <v>7638974.3399999999</v>
      </c>
      <c r="AK33" s="248">
        <f>+AJ33/$AJ$37</f>
        <v>7.1725709555070696E-2</v>
      </c>
      <c r="AL33" s="255">
        <v>7021601.4199999999</v>
      </c>
      <c r="AM33" s="248">
        <f>+AL33/$AL$37</f>
        <v>5.9473725238862137E-2</v>
      </c>
      <c r="AN33" s="255">
        <v>7482462.4699999988</v>
      </c>
      <c r="AO33" s="248">
        <f>+AN33/$AN$37</f>
        <v>5.2503097925572013E-2</v>
      </c>
      <c r="AP33" s="255">
        <v>8196602.4900000002</v>
      </c>
      <c r="AQ33" s="248">
        <f>+AP33/$AP$37</f>
        <v>5.4737696408748426E-2</v>
      </c>
      <c r="AR33" s="255">
        <v>8702452.2999999989</v>
      </c>
      <c r="AS33" s="248">
        <f>+AR33/$AR$37</f>
        <v>5.5458256595599754E-2</v>
      </c>
      <c r="AT33" s="255">
        <v>8626452.1999999974</v>
      </c>
      <c r="AU33" s="248">
        <f>+AT33/$AT$37</f>
        <v>4.8602021970567698E-2</v>
      </c>
      <c r="AV33" s="255">
        <v>9919858.7300000023</v>
      </c>
      <c r="AW33" s="248">
        <f>+AV33/$AV$37</f>
        <v>5.8114844931528076E-2</v>
      </c>
      <c r="AX33" s="255">
        <v>9575884.959999999</v>
      </c>
      <c r="AY33" s="245">
        <f>+AX33/$AX$37</f>
        <v>6.0989980267974475E-2</v>
      </c>
      <c r="AZ33" s="255">
        <v>9398699.9700000007</v>
      </c>
      <c r="BA33" s="245">
        <f>+AZ33/$AZ$37</f>
        <v>6.0546786561129433E-2</v>
      </c>
      <c r="BB33" s="255">
        <v>9200712.3299999982</v>
      </c>
      <c r="BC33" s="245">
        <f>+BB33/$BB$37</f>
        <v>5.9554796319515955E-2</v>
      </c>
      <c r="BD33" s="255">
        <v>9865600.6900000013</v>
      </c>
      <c r="BE33" s="245">
        <f>+BD33/$BD$37</f>
        <v>6.6599249458711707E-2</v>
      </c>
      <c r="BF33" s="257">
        <v>12561762.699999999</v>
      </c>
      <c r="BG33" s="245">
        <f>+BF33/$BF$37</f>
        <v>8.28560816805438E-2</v>
      </c>
      <c r="BH33" s="257">
        <v>14772581.049999995</v>
      </c>
      <c r="BI33" s="245">
        <f>+BH33/$BH$37</f>
        <v>9.4752385125926583E-2</v>
      </c>
      <c r="BJ33" s="257">
        <v>20770428.82</v>
      </c>
      <c r="BK33" s="245">
        <f>+BJ33/$BJ$37</f>
        <v>0.12528955981246764</v>
      </c>
      <c r="BL33" s="257">
        <v>22602627.990000002</v>
      </c>
      <c r="BM33" s="245">
        <f>+BL33/$BL$37</f>
        <v>0.12066442709053059</v>
      </c>
      <c r="BN33" s="257">
        <v>22328914.420000002</v>
      </c>
      <c r="BO33" s="245">
        <f>+BN33/BN$37</f>
        <v>0.12066138190372715</v>
      </c>
      <c r="BP33" s="257">
        <v>22974768.779999994</v>
      </c>
      <c r="BQ33" s="245">
        <f>+BP33/BP$37</f>
        <v>0.12091475338256844</v>
      </c>
      <c r="BR33" s="257">
        <v>25060219.640000001</v>
      </c>
      <c r="BS33" s="245">
        <f>+BR33/BR$37</f>
        <v>0.12103910594880329</v>
      </c>
      <c r="BT33" s="257">
        <v>25725894.54000001</v>
      </c>
      <c r="BU33" s="245">
        <f>+BT33/BT$37</f>
        <v>0.11186565384204564</v>
      </c>
      <c r="BV33" s="255">
        <v>26617724.920000006</v>
      </c>
      <c r="BW33" s="245">
        <f>+BV33/BV$37</f>
        <v>0.11272624341736392</v>
      </c>
      <c r="BX33" s="255">
        <v>24363918.790000007</v>
      </c>
      <c r="BY33" s="245">
        <f>+BX33/BX$37</f>
        <v>9.3216272813950632E-2</v>
      </c>
      <c r="BZ33" s="255">
        <v>23910649.859999996</v>
      </c>
      <c r="CA33" s="245">
        <f>+BZ33/BZ$37</f>
        <v>8.7837887550673746E-2</v>
      </c>
      <c r="CB33" s="255">
        <v>24017309.990000002</v>
      </c>
      <c r="CC33" s="245">
        <f>+CB33/CB$37</f>
        <v>8.535810404823975E-2</v>
      </c>
      <c r="CD33" s="255">
        <v>27936960.769999981</v>
      </c>
      <c r="CE33" s="245">
        <f>+CD33/CD$37</f>
        <v>8.9333540439022918E-2</v>
      </c>
      <c r="CF33" s="255">
        <v>29042845.829999983</v>
      </c>
      <c r="CG33" s="245">
        <f>+CF33/CF$37</f>
        <v>8.5447722722324274E-2</v>
      </c>
      <c r="CH33" s="255">
        <v>28815648.110000007</v>
      </c>
      <c r="CI33" s="245">
        <f>+CH33/CH$37</f>
        <v>7.8631488100524866E-2</v>
      </c>
      <c r="CJ33" s="279"/>
      <c r="CK33" s="255">
        <v>31038099.029999997</v>
      </c>
      <c r="CL33" s="245">
        <f>+CK33/CK$37</f>
        <v>7.6952371129594938E-2</v>
      </c>
      <c r="CM33" s="279"/>
      <c r="CN33" s="255">
        <v>33342761.010000002</v>
      </c>
      <c r="CO33" s="245">
        <f>+CN33/CN$37</f>
        <v>8.3712875843405407E-2</v>
      </c>
      <c r="CP33" s="279"/>
      <c r="CQ33" s="255">
        <v>37165584.549999997</v>
      </c>
      <c r="CR33" s="245">
        <f>+CQ33/CQ$37</f>
        <v>9.1646117043458181E-2</v>
      </c>
      <c r="CS33" s="279"/>
      <c r="CT33" s="421">
        <f>37190958.5+493734+12659113</f>
        <v>50343805.5</v>
      </c>
      <c r="CU33" s="245">
        <f>+CT33/CT$37</f>
        <v>0.1136227357195627</v>
      </c>
      <c r="CV33" s="235"/>
      <c r="CW33" s="421">
        <f>37204577.84+13606229</f>
        <v>50810806.840000004</v>
      </c>
      <c r="CX33" s="245">
        <f>+CW33/CW$37</f>
        <v>0.11042572281697934</v>
      </c>
      <c r="CY33" s="438"/>
      <c r="CZ33" s="421">
        <v>50792521</v>
      </c>
      <c r="DA33" s="245">
        <f>+CZ33/CZ$37</f>
        <v>0.10712108197098154</v>
      </c>
      <c r="DB33" s="438"/>
      <c r="DC33" s="421">
        <v>56087454</v>
      </c>
      <c r="DD33" s="245">
        <f>+DC33/DC$37</f>
        <v>0.11188616085605141</v>
      </c>
      <c r="DE33" s="438"/>
      <c r="DF33" s="421">
        <v>59484223</v>
      </c>
      <c r="DG33" s="245">
        <f>+DF33/DF$37</f>
        <v>0.11133478680798076</v>
      </c>
      <c r="DH33" s="509"/>
      <c r="DI33" s="553">
        <v>64043912</v>
      </c>
      <c r="DJ33" s="551">
        <f>+DI33/DI$37</f>
        <v>0.11552246723647655</v>
      </c>
      <c r="DK33" s="438"/>
      <c r="DL33" s="553">
        <v>70708198</v>
      </c>
      <c r="DM33" s="551">
        <f>+DL33/DL$37</f>
        <v>0.12252749395273045</v>
      </c>
      <c r="DN33" s="438"/>
      <c r="DO33" s="553">
        <v>76645463</v>
      </c>
      <c r="DP33" s="551">
        <f>+DO33/DO$37</f>
        <v>0.12530795682878593</v>
      </c>
      <c r="DQ33" s="438"/>
      <c r="DR33" s="553">
        <v>82001612.818271279</v>
      </c>
      <c r="DS33" s="551">
        <f>+DR33/DR$37</f>
        <v>0.13172780227274139</v>
      </c>
      <c r="DT33" s="438"/>
      <c r="DU33" s="553">
        <f>67199508.09+27557910.56</f>
        <v>94757418.650000006</v>
      </c>
      <c r="DV33" s="551">
        <f>+DU33/DU$37</f>
        <v>0.13780926613338187</v>
      </c>
      <c r="DW33" s="438"/>
      <c r="DX33" s="553">
        <v>92757615.389999971</v>
      </c>
      <c r="DY33" s="605">
        <f>+DX33/DX$37</f>
        <v>0.13821709610551616</v>
      </c>
      <c r="DZ33" s="440"/>
      <c r="EA33" s="553">
        <v>97647259.910000011</v>
      </c>
      <c r="EB33" s="605">
        <f>+EA33/EA$37</f>
        <v>0.13966543659561334</v>
      </c>
      <c r="EC33" s="440"/>
      <c r="ED33" s="553">
        <f>97036862.69+100000</f>
        <v>97136862.689999998</v>
      </c>
      <c r="EE33" s="605">
        <f>+ED33/ED$37</f>
        <v>0.13126345310913926</v>
      </c>
      <c r="EF33" s="440"/>
      <c r="EG33" s="421">
        <v>92485405.339999899</v>
      </c>
      <c r="EH33" s="245">
        <f>+EG33/EG$37</f>
        <v>0.11568643826747291</v>
      </c>
      <c r="EI33" s="438"/>
      <c r="EJ33" s="421">
        <v>88315492.859999999</v>
      </c>
      <c r="EK33" s="245">
        <f>+EJ33/EJ$37</f>
        <v>0.10518509839699818</v>
      </c>
      <c r="EL33" s="438"/>
      <c r="EM33" s="421">
        <v>91413778.98999998</v>
      </c>
      <c r="EN33" s="245">
        <f>+EM33/EM$37</f>
        <v>0.10262609134257362</v>
      </c>
      <c r="EO33" s="438"/>
      <c r="EP33" s="421">
        <v>81761866.169999897</v>
      </c>
      <c r="EQ33" s="245">
        <f>+EP33/EP$37</f>
        <v>8.6388972045630702E-2</v>
      </c>
      <c r="ER33" s="509"/>
      <c r="ES33" s="553">
        <v>81199297.579999954</v>
      </c>
      <c r="ET33" s="551">
        <f>+ES33/ES$37</f>
        <v>8.1587489526105075E-2</v>
      </c>
      <c r="EU33" s="438"/>
      <c r="EV33" s="553">
        <v>79491304.519999981</v>
      </c>
      <c r="EW33" s="551">
        <f>+EV33/EV$37</f>
        <v>7.3597066996661034E-2</v>
      </c>
      <c r="EX33" s="438"/>
      <c r="EY33" s="553">
        <v>82323416.479999989</v>
      </c>
      <c r="EZ33" s="551">
        <f>+EY33/EY$37</f>
        <v>7.2500619232126057E-2</v>
      </c>
      <c r="FA33" s="438"/>
      <c r="FB33" s="553">
        <v>87093964.959999919</v>
      </c>
      <c r="FC33" s="551">
        <f>+FB33/FB$37</f>
        <v>7.238826893861057E-2</v>
      </c>
      <c r="FD33" s="438"/>
      <c r="FE33" s="553">
        <v>92183959.799999878</v>
      </c>
      <c r="FF33" s="551">
        <f>+FE33/FE$37</f>
        <v>6.9743739662657608E-2</v>
      </c>
      <c r="FG33" s="438"/>
      <c r="FH33" s="553">
        <v>90558911.250000015</v>
      </c>
      <c r="FI33" s="605">
        <f>+FH33/FH$37</f>
        <v>6.6258451012405573E-2</v>
      </c>
      <c r="FJ33" s="440"/>
      <c r="FK33" s="553">
        <v>94662535.579999685</v>
      </c>
      <c r="FL33" s="605">
        <f>+FK33/FK$37</f>
        <v>6.4524536876251065E-2</v>
      </c>
      <c r="FM33" s="440"/>
      <c r="FN33" s="553">
        <v>87809729.23999998</v>
      </c>
      <c r="FO33" s="605">
        <f>+FN33/FN$37</f>
        <v>5.4994203705600368E-2</v>
      </c>
      <c r="FP33" s="440"/>
      <c r="FQ33" s="553">
        <v>93052339.930000052</v>
      </c>
      <c r="FR33" s="605">
        <f>+FQ33/FQ$37</f>
        <v>5.5863850609774141E-2</v>
      </c>
      <c r="FS33" s="440"/>
      <c r="FT33" s="553">
        <v>97628948.550000012</v>
      </c>
      <c r="FU33" s="605">
        <f>+FT33/FT$37</f>
        <v>5.7072257796527262E-2</v>
      </c>
      <c r="FV33" s="440"/>
      <c r="FW33" s="553">
        <v>89053030.440000013</v>
      </c>
      <c r="FX33" s="605">
        <f>+FW33/FW$37</f>
        <v>5.0636823348848392E-2</v>
      </c>
      <c r="FY33" s="440"/>
      <c r="FZ33" s="553">
        <v>84760715.510000095</v>
      </c>
      <c r="GA33" s="605">
        <f>+FZ33/FZ$37</f>
        <v>4.6706714934897024E-2</v>
      </c>
      <c r="GB33" s="440"/>
      <c r="GC33" s="553">
        <v>96733398.170000225</v>
      </c>
      <c r="GD33" s="605">
        <f>+GC33/GC$37</f>
        <v>5.144056234704248E-2</v>
      </c>
      <c r="GE33" s="553">
        <f>96920095.8300002-GE30</f>
        <v>23181749.830000207</v>
      </c>
      <c r="GF33" s="605">
        <f>+GE33/GE$37</f>
        <v>1.1654104466341847E-2</v>
      </c>
      <c r="GG33" s="553">
        <f>98317890.53-GG30</f>
        <v>23237963.840000004</v>
      </c>
      <c r="GH33" s="605">
        <f>+GG33/GG$37</f>
        <v>1.1999000925793417E-2</v>
      </c>
      <c r="GI33" s="553">
        <v>20348860.050000001</v>
      </c>
      <c r="GJ33" s="605">
        <f>+GI33/GI$37</f>
        <v>1.0078749212411846E-2</v>
      </c>
      <c r="GK33" s="553">
        <v>19194196.719999999</v>
      </c>
      <c r="GL33" s="605">
        <f>+GK33/GK$37</f>
        <v>9.3796019307012049E-3</v>
      </c>
      <c r="GM33" s="553">
        <v>14078171.289999999</v>
      </c>
      <c r="GN33" s="605">
        <f>+GM33/GM$37</f>
        <v>7.0839468530047882E-3</v>
      </c>
      <c r="GO33" s="553">
        <v>12626576.489999993</v>
      </c>
      <c r="GP33" s="605">
        <f>+GO33/GO$37</f>
        <v>6.3491925761618136E-3</v>
      </c>
      <c r="GQ33" s="553">
        <v>13639913.509999996</v>
      </c>
      <c r="GR33" s="605">
        <f>+GQ33/GQ$37</f>
        <v>6.8931339084033786E-3</v>
      </c>
      <c r="GS33" s="440"/>
      <c r="GT33" s="553">
        <v>12625663.799999999</v>
      </c>
      <c r="GU33" s="605">
        <f>+GT33/GT$37</f>
        <v>6.5855534235691234E-3</v>
      </c>
      <c r="GV33" s="440"/>
      <c r="GW33" s="1040">
        <v>15858066.339999966</v>
      </c>
      <c r="GX33" s="605">
        <f>+GW33/GW$37</f>
        <v>8.7319997689119053E-3</v>
      </c>
      <c r="GY33" s="440"/>
      <c r="GZ33" s="553">
        <v>13894235.319999976</v>
      </c>
      <c r="HA33" s="605">
        <f>+GZ33/GZ$37</f>
        <v>7.6881722138464987E-3</v>
      </c>
      <c r="HB33" s="440"/>
      <c r="HC33" s="553">
        <v>12147774.099999985</v>
      </c>
      <c r="HD33" s="605">
        <f>+HC33/HC$37</f>
        <v>6.8724960847882923E-3</v>
      </c>
      <c r="HE33" s="440"/>
      <c r="HF33" s="553">
        <v>12101172.119999997</v>
      </c>
      <c r="HG33" s="605">
        <f>+HF33/HF$37</f>
        <v>6.8301079940874697E-3</v>
      </c>
      <c r="HH33" s="440"/>
      <c r="HI33" s="553">
        <v>15062579.550749077</v>
      </c>
      <c r="HJ33" s="605">
        <f>+HI33/HI$37</f>
        <v>8.2930320024061574E-3</v>
      </c>
      <c r="HK33" s="440"/>
      <c r="HL33" s="553">
        <v>14949721.066600358</v>
      </c>
      <c r="HM33" s="605">
        <f>+HL33/HL$37</f>
        <v>8.2930320024061574E-3</v>
      </c>
      <c r="HN33" s="440"/>
      <c r="HO33" s="553">
        <f>HI33*0.9</f>
        <v>13556321.595674168</v>
      </c>
      <c r="HP33" s="605">
        <f>+HO33/HO$37</f>
        <v>7.6749400864668423E-3</v>
      </c>
      <c r="HQ33" s="580"/>
      <c r="HR33" s="553">
        <f>HL33*0.9</f>
        <v>13454748.959940322</v>
      </c>
      <c r="HS33" s="605">
        <f>+HR33/HR$37</f>
        <v>7.624179851769804E-3</v>
      </c>
      <c r="HT33" s="440"/>
      <c r="HU33" s="553">
        <f>HO33*0.9</f>
        <v>12200689.436106753</v>
      </c>
      <c r="HV33" s="605">
        <f>+HU33/HU$37</f>
        <v>6.9899835564778898E-3</v>
      </c>
      <c r="HW33" s="440"/>
      <c r="HX33" s="440"/>
      <c r="HY33" s="440"/>
      <c r="HZ33" s="440"/>
      <c r="IA33" s="553">
        <f>97036862.69+100000</f>
        <v>97136862.689999998</v>
      </c>
      <c r="IB33" s="605">
        <f>+IA33/IA$37</f>
        <v>0.13126345310913926</v>
      </c>
      <c r="IC33" s="258">
        <f>+X37</f>
        <v>63754655.350000001</v>
      </c>
      <c r="ID33" s="258">
        <f>+AD37</f>
        <v>78398626.870000005</v>
      </c>
      <c r="IE33" s="258">
        <f>SUM(IE21:IE32)</f>
        <v>106502597.00999999</v>
      </c>
      <c r="IF33" s="258">
        <f>SUM(IF21:IF32)</f>
        <v>149743285.30000001</v>
      </c>
      <c r="IG33" s="258">
        <f>SUM(IG21:IG32)</f>
        <v>170694058.3199999</v>
      </c>
      <c r="IH33" s="258">
        <f t="shared" ref="IH33:IO33" si="4">SUM(IH18:IH32)</f>
        <v>154491542.21999997</v>
      </c>
      <c r="II33" s="258">
        <f t="shared" si="4"/>
        <v>155907221.02000001</v>
      </c>
      <c r="IJ33" s="258">
        <f t="shared" si="4"/>
        <v>185054356.81</v>
      </c>
      <c r="IK33" s="167"/>
      <c r="IL33" s="258">
        <f t="shared" si="4"/>
        <v>727468279.45000005</v>
      </c>
      <c r="IM33" s="258">
        <f t="shared" si="4"/>
        <v>866311020.49000025</v>
      </c>
      <c r="IN33" s="258">
        <f t="shared" si="4"/>
        <v>1109696400.47</v>
      </c>
      <c r="IO33" s="258">
        <f t="shared" si="4"/>
        <v>1246911352.0020008</v>
      </c>
      <c r="IP33" s="258">
        <f>SUM(IP18:IP32)</f>
        <v>1435585862.0700004</v>
      </c>
      <c r="IQ33" s="258">
        <f>SUM(IQ18:IQ32)</f>
        <v>1665747617.5500011</v>
      </c>
      <c r="IR33" s="258">
        <f>SUM(IR18:IR32)</f>
        <v>1921763119.8282719</v>
      </c>
      <c r="IS33" s="611">
        <f>SUM(IS18:IS32)</f>
        <v>2110266631.6499987</v>
      </c>
      <c r="IT33" s="649">
        <f>SUM(IL33:IS33)-SUM(BT37:ED37)</f>
        <v>0.30999946594238281</v>
      </c>
      <c r="IU33" s="327" t="s">
        <v>479</v>
      </c>
      <c r="IV33" s="591"/>
      <c r="IW33" s="258"/>
      <c r="IX33" s="792"/>
      <c r="IY33" s="792"/>
      <c r="IZ33" s="792"/>
      <c r="JA33" s="649"/>
      <c r="JB33" s="327"/>
      <c r="JC33" s="591"/>
      <c r="JD33" s="591"/>
    </row>
    <row r="34" spans="1:266" ht="14.25" customHeight="1">
      <c r="A34" s="243">
        <v>9</v>
      </c>
      <c r="B34" s="595" t="s">
        <v>861</v>
      </c>
      <c r="D34" s="259"/>
      <c r="E34" s="256">
        <f>+D34/$D$37</f>
        <v>0</v>
      </c>
      <c r="F34" s="259"/>
      <c r="G34" s="256">
        <f>+F34/$F$37</f>
        <v>0</v>
      </c>
      <c r="H34" s="259"/>
      <c r="I34" s="256">
        <f>+H34/$H$37</f>
        <v>0</v>
      </c>
      <c r="J34" s="259"/>
      <c r="K34" s="256">
        <f>+J34/$J$37</f>
        <v>0</v>
      </c>
      <c r="L34" s="259"/>
      <c r="M34" s="256">
        <f>+L34/$L$37</f>
        <v>0</v>
      </c>
      <c r="N34" s="259">
        <v>300000</v>
      </c>
      <c r="O34" s="256">
        <f>+N34/$N$37</f>
        <v>6.8935755100716072E-3</v>
      </c>
      <c r="P34" s="259">
        <v>631230.76</v>
      </c>
      <c r="Q34" s="256">
        <f>+P34/$P$37</f>
        <v>1.2687430062316861E-2</v>
      </c>
      <c r="R34" s="259">
        <v>334166.66000000003</v>
      </c>
      <c r="S34" s="256">
        <f>+R34/$R$37</f>
        <v>6.5371704404519598E-3</v>
      </c>
      <c r="T34" s="259">
        <v>852944.43</v>
      </c>
      <c r="U34" s="256">
        <f>+T34/$T$37</f>
        <v>1.4996040225722568E-2</v>
      </c>
      <c r="V34" s="259">
        <v>976722.2</v>
      </c>
      <c r="W34" s="256">
        <f>+V34/$V$37</f>
        <v>1.5264186931695938E-2</v>
      </c>
      <c r="X34" s="259">
        <v>871055.52</v>
      </c>
      <c r="Y34" s="256">
        <f>+X34/$X$37</f>
        <v>1.3662618285960196E-2</v>
      </c>
      <c r="Z34" s="259">
        <v>2406275.58</v>
      </c>
      <c r="AA34" s="256">
        <f>+Z34/$Z$37</f>
        <v>3.6218326579069676E-2</v>
      </c>
      <c r="AB34" s="259">
        <v>2305701.63</v>
      </c>
      <c r="AC34" s="256">
        <f>+AB34/$AB$37</f>
        <v>3.0846821032635412E-2</v>
      </c>
      <c r="AD34" s="259">
        <v>5237350.4800000004</v>
      </c>
      <c r="AE34" s="256">
        <f>+AD34/$AD$37</f>
        <v>6.6804109830705768E-2</v>
      </c>
      <c r="AF34" s="259">
        <v>5647778.2599999998</v>
      </c>
      <c r="AG34" s="256">
        <f>+AF34/$AF$37</f>
        <v>6.5223448206383483E-2</v>
      </c>
      <c r="AH34" s="259">
        <v>5567389.4299999997</v>
      </c>
      <c r="AI34" s="248">
        <f>+AH34/$AH$37</f>
        <v>5.8703222744405134E-2</v>
      </c>
      <c r="AJ34" s="259">
        <v>6081495.6900000004</v>
      </c>
      <c r="AK34" s="248">
        <f>+AJ34/$AJ$37</f>
        <v>5.710185348277453E-2</v>
      </c>
      <c r="AL34" s="259">
        <v>9915162.7699999996</v>
      </c>
      <c r="AM34" s="248">
        <f>+AL34/$AL$37</f>
        <v>8.3982503564204766E-2</v>
      </c>
      <c r="AN34" s="259">
        <v>11568224.52</v>
      </c>
      <c r="AO34" s="248">
        <f>+AN34/$AN$37</f>
        <v>8.1172157860293734E-2</v>
      </c>
      <c r="AP34" s="259">
        <v>11313649.17</v>
      </c>
      <c r="AQ34" s="248">
        <f>+AP34/$AP$37</f>
        <v>7.5553632654271688E-2</v>
      </c>
      <c r="AR34" s="259">
        <v>14420492.450000001</v>
      </c>
      <c r="AS34" s="248">
        <f>+AR34/$AR$37</f>
        <v>9.1897702274910384E-2</v>
      </c>
      <c r="AT34" s="259">
        <v>20589224.500000004</v>
      </c>
      <c r="AU34" s="248">
        <f>+AT34/$AT$37</f>
        <v>0.11600109967640593</v>
      </c>
      <c r="AV34" s="259">
        <v>20963020.82</v>
      </c>
      <c r="AW34" s="248">
        <f>+AV34/$AV$37</f>
        <v>0.12281048928311646</v>
      </c>
      <c r="AX34" s="259">
        <v>20574661.490000002</v>
      </c>
      <c r="AY34" s="245">
        <f>+AX34/$AX$37</f>
        <v>0.13104253064203003</v>
      </c>
      <c r="AZ34" s="259">
        <v>21647324.330000002</v>
      </c>
      <c r="BA34" s="245">
        <f>+AZ34/$AZ$37</f>
        <v>0.1394528956144617</v>
      </c>
      <c r="BB34" s="259">
        <v>23222598.200000007</v>
      </c>
      <c r="BC34" s="245">
        <f>+BB34/$BB$37</f>
        <v>0.15031630771690027</v>
      </c>
      <c r="BD34" s="259">
        <v>23699438.980000004</v>
      </c>
      <c r="BE34" s="245">
        <f>+BD34/$BD$37</f>
        <v>0.15998669500787754</v>
      </c>
      <c r="BF34" s="260">
        <v>27119366.089999996</v>
      </c>
      <c r="BG34" s="245">
        <f>+BF34/$BF$37</f>
        <v>0.17887652119695027</v>
      </c>
      <c r="BH34" s="260">
        <v>32186739.830000006</v>
      </c>
      <c r="BI34" s="245">
        <f>+BH34/$BH$37</f>
        <v>0.20644803761764857</v>
      </c>
      <c r="BJ34" s="260">
        <v>42035614.200000003</v>
      </c>
      <c r="BK34" s="245">
        <f>+BJ34/$BJ$37</f>
        <v>0.25356354677152565</v>
      </c>
      <c r="BL34" s="260">
        <v>50166273.24000001</v>
      </c>
      <c r="BM34" s="245">
        <f>+BL34/$BL$37</f>
        <v>0.26781331013587223</v>
      </c>
      <c r="BN34" s="260">
        <v>48780142.449999988</v>
      </c>
      <c r="BO34" s="245">
        <f>+BN34/BN$37</f>
        <v>0.26359899486227062</v>
      </c>
      <c r="BP34" s="260">
        <v>48759763.840000011</v>
      </c>
      <c r="BQ34" s="245">
        <f>+BP34/BP$37</f>
        <v>0.25661954974007278</v>
      </c>
      <c r="BR34" s="260">
        <v>50236114.370000035</v>
      </c>
      <c r="BS34" s="245">
        <f>+BR34/BR$37</f>
        <v>0.24263691448183305</v>
      </c>
      <c r="BT34" s="260">
        <v>54818635.690000005</v>
      </c>
      <c r="BU34" s="245">
        <f>+BT34/BT$37</f>
        <v>0.23837159538440475</v>
      </c>
      <c r="BV34" s="259">
        <v>55834314.469999999</v>
      </c>
      <c r="BW34" s="245">
        <f>+BV34/BV$37</f>
        <v>0.23645869595931127</v>
      </c>
      <c r="BX34" s="259">
        <v>69005745.409999982</v>
      </c>
      <c r="BY34" s="245">
        <f>+BX34/BX$37</f>
        <v>0.26401575400541621</v>
      </c>
      <c r="BZ34" s="259">
        <v>67557239.230000034</v>
      </c>
      <c r="CA34" s="245">
        <f>+BZ34/BZ$37</f>
        <v>0.24817749485955248</v>
      </c>
      <c r="CB34" s="259">
        <v>64941432.170000002</v>
      </c>
      <c r="CC34" s="245">
        <f>+CB34/CB$37</f>
        <v>0.23080342996432981</v>
      </c>
      <c r="CD34" s="259">
        <v>70678250.560000047</v>
      </c>
      <c r="CE34" s="245">
        <f>+CD34/CD$37</f>
        <v>0.22600662994599474</v>
      </c>
      <c r="CF34" s="259">
        <v>74543224.629999965</v>
      </c>
      <c r="CG34" s="245">
        <f>+CF34/CF$37</f>
        <v>0.21931558726358374</v>
      </c>
      <c r="CH34" s="259">
        <v>78886626.390000001</v>
      </c>
      <c r="CI34" s="245">
        <f>+CH34/CH$37</f>
        <v>0.21526403989238035</v>
      </c>
      <c r="CJ34" s="279"/>
      <c r="CK34" s="259">
        <v>78440941.359999999</v>
      </c>
      <c r="CL34" s="245">
        <f>+CK34/CK$37</f>
        <v>0.19447764585889055</v>
      </c>
      <c r="CM34" s="261"/>
      <c r="CN34" s="259">
        <v>84690153.840000033</v>
      </c>
      <c r="CO34" s="245">
        <f>+CN34/CN$37</f>
        <v>0.21262955192704439</v>
      </c>
      <c r="CP34" s="261"/>
      <c r="CQ34" s="259">
        <v>82008434.010000378</v>
      </c>
      <c r="CR34" s="245">
        <f>+CQ34/CQ$37</f>
        <v>0.20222349877801699</v>
      </c>
      <c r="CS34" s="261"/>
      <c r="CT34" s="422">
        <v>86500812.850000411</v>
      </c>
      <c r="CU34" s="245">
        <f>+CT34/CT$37</f>
        <v>0.19522677915126918</v>
      </c>
      <c r="CV34" s="261"/>
      <c r="CW34" s="422">
        <v>88741489.340000018</v>
      </c>
      <c r="CX34" s="245">
        <f>+CW34/CW$37</f>
        <v>0.19285942722937419</v>
      </c>
      <c r="CY34" s="438"/>
      <c r="CZ34" s="422">
        <v>91562845.909999967</v>
      </c>
      <c r="DA34" s="245">
        <f>+CZ34/CZ$37</f>
        <v>0.19310542042639425</v>
      </c>
      <c r="DB34" s="438"/>
      <c r="DC34" s="422">
        <v>96591716.830000594</v>
      </c>
      <c r="DD34" s="245">
        <f>+DC34/DC$37</f>
        <v>0.19268616412154516</v>
      </c>
      <c r="DE34" s="438"/>
      <c r="DF34" s="498">
        <v>100526327</v>
      </c>
      <c r="DG34" s="245">
        <f>+DF34/DF$37</f>
        <v>0.18815202789375529</v>
      </c>
      <c r="DH34" s="438"/>
      <c r="DI34" s="554">
        <v>100504331.37000063</v>
      </c>
      <c r="DJ34" s="551">
        <f>+DI34/DI$37</f>
        <v>0.18128980515454585</v>
      </c>
      <c r="DK34" s="438"/>
      <c r="DL34" s="554">
        <v>100145783.81000006</v>
      </c>
      <c r="DM34" s="551">
        <f>+DL34/DL$37</f>
        <v>0.1735387446894239</v>
      </c>
      <c r="DN34" s="438"/>
      <c r="DO34" s="554">
        <v>101119760.11000061</v>
      </c>
      <c r="DP34" s="551">
        <f>+DO34/DO$37</f>
        <v>0.16532107757508288</v>
      </c>
      <c r="DQ34" s="438"/>
      <c r="DR34" s="554">
        <v>105477466.36999996</v>
      </c>
      <c r="DS34" s="551">
        <f>+DR34/DR$37</f>
        <v>0.1694395312078692</v>
      </c>
      <c r="DT34" s="438"/>
      <c r="DU34" s="554">
        <v>119663156.93999979</v>
      </c>
      <c r="DV34" s="551">
        <f>+DU34/DU$37</f>
        <v>0.17403061497502151</v>
      </c>
      <c r="DW34" s="438"/>
      <c r="DX34" s="554">
        <v>126220329.01066689</v>
      </c>
      <c r="DY34" s="605">
        <f>+DX34/DX$37</f>
        <v>0.18807951532589759</v>
      </c>
      <c r="DZ34" s="440"/>
      <c r="EA34" s="554">
        <v>132702364.9000006</v>
      </c>
      <c r="EB34" s="605">
        <f>+EA34/EA$37</f>
        <v>0.18980495456924673</v>
      </c>
      <c r="EC34" s="440"/>
      <c r="ED34" s="554">
        <v>150841916.91000003</v>
      </c>
      <c r="EE34" s="605">
        <f>+ED34/ED$37</f>
        <v>0.20383642562553994</v>
      </c>
      <c r="EF34" s="440"/>
      <c r="EG34" s="422">
        <v>172386747.03000066</v>
      </c>
      <c r="EH34" s="245">
        <f>+EG34/EG$37</f>
        <v>0.21563195506471314</v>
      </c>
      <c r="EI34" s="438"/>
      <c r="EJ34" s="422">
        <v>189904867.69000006</v>
      </c>
      <c r="EK34" s="245">
        <f>+EJ34/EJ$37</f>
        <v>0.22617959258526379</v>
      </c>
      <c r="EL34" s="438"/>
      <c r="EM34" s="422">
        <v>204145720.83999977</v>
      </c>
      <c r="EN34" s="245">
        <f>+EM34/EM$37</f>
        <v>0.22918511438426814</v>
      </c>
      <c r="EO34" s="438"/>
      <c r="EP34" s="498">
        <v>225883958.43000048</v>
      </c>
      <c r="EQ34" s="245">
        <f>+EP34/EP$37</f>
        <v>0.23866728934234827</v>
      </c>
      <c r="ER34" s="438"/>
      <c r="ES34" s="554">
        <v>230372155.83999994</v>
      </c>
      <c r="ET34" s="551">
        <f>+ES34/ES$37</f>
        <v>0.23147350299655453</v>
      </c>
      <c r="EU34" s="438"/>
      <c r="EV34" s="554">
        <v>258896965.93000013</v>
      </c>
      <c r="EW34" s="551">
        <f>+EV34/EV$37</f>
        <v>0.23969989499906239</v>
      </c>
      <c r="EX34" s="438"/>
      <c r="EY34" s="554">
        <v>268086323.77999982</v>
      </c>
      <c r="EZ34" s="551">
        <f>+EY34/EY$37</f>
        <v>0.23609837046104856</v>
      </c>
      <c r="FA34" s="438"/>
      <c r="FB34" s="554">
        <v>288513910.44999999</v>
      </c>
      <c r="FC34" s="551">
        <f>+FB34/FB$37</f>
        <v>0.23979873406586524</v>
      </c>
      <c r="FD34" s="438"/>
      <c r="FE34" s="554">
        <v>311436159.17000073</v>
      </c>
      <c r="FF34" s="551">
        <f>+FE34/FE$37</f>
        <v>0.23562366439687871</v>
      </c>
      <c r="FG34" s="438"/>
      <c r="FH34" s="554">
        <v>304325654.31000018</v>
      </c>
      <c r="FI34" s="605">
        <f>+FH34/FH$37</f>
        <v>0.22266330479892352</v>
      </c>
      <c r="FJ34" s="440"/>
      <c r="FK34" s="554">
        <v>304112773.36000043</v>
      </c>
      <c r="FL34" s="605">
        <f>+FK34/FK$37</f>
        <v>0.20729146688261987</v>
      </c>
      <c r="FM34" s="440"/>
      <c r="FN34" s="554">
        <v>317473422.89999944</v>
      </c>
      <c r="FO34" s="605">
        <f>+FN34/FN$37</f>
        <v>0.1988298818500808</v>
      </c>
      <c r="FP34" s="440"/>
      <c r="FQ34" s="554">
        <v>330670537.24999946</v>
      </c>
      <c r="FR34" s="605">
        <f>+FQ34/FQ$37</f>
        <v>0.19851762468180756</v>
      </c>
      <c r="FS34" s="440"/>
      <c r="FT34" s="554">
        <v>327458728.9399994</v>
      </c>
      <c r="FU34" s="605">
        <f>+FT34/FT$37</f>
        <v>0.19142692073770967</v>
      </c>
      <c r="FV34" s="440"/>
      <c r="FW34" s="554">
        <v>316454023.7100001</v>
      </c>
      <c r="FX34" s="605">
        <f>+FW34/FW$37</f>
        <v>0.17994027173990412</v>
      </c>
      <c r="FY34" s="440"/>
      <c r="FZ34" s="554">
        <v>317115021.90999979</v>
      </c>
      <c r="GA34" s="605">
        <f>+FZ34/FZ$37</f>
        <v>0.17474369866753342</v>
      </c>
      <c r="GB34" s="440"/>
      <c r="GC34" s="554">
        <v>310649813.8799988</v>
      </c>
      <c r="GD34" s="605">
        <f>+GC34/GC$37</f>
        <v>0.16519631710764268</v>
      </c>
      <c r="GE34" s="554">
        <v>313642375.12999976</v>
      </c>
      <c r="GF34" s="605">
        <f>+GE34/GE$37</f>
        <v>0.15767666511982897</v>
      </c>
      <c r="GG34" s="554">
        <v>295593269</v>
      </c>
      <c r="GH34" s="605">
        <f>+GG34/GG$37</f>
        <v>0.15263058040756905</v>
      </c>
      <c r="GI34" s="554">
        <v>297537012.10999835</v>
      </c>
      <c r="GJ34" s="605">
        <f>+GI34/GI$37</f>
        <v>0.1473694801133108</v>
      </c>
      <c r="GK34" s="554">
        <v>297537012.10999835</v>
      </c>
      <c r="GL34" s="605">
        <f>+GK34/GK$37</f>
        <v>0.1453970058738675</v>
      </c>
      <c r="GM34" s="554">
        <v>259270174.52999994</v>
      </c>
      <c r="GN34" s="605">
        <f>+GM34/GM$37</f>
        <v>0.13046127221398479</v>
      </c>
      <c r="GO34" s="554">
        <v>265683568.51999998</v>
      </c>
      <c r="GP34" s="605">
        <f>+GO34/GO$37</f>
        <v>0.13359726939375341</v>
      </c>
      <c r="GQ34" s="554">
        <v>255828534.57000005</v>
      </c>
      <c r="GR34" s="605">
        <f>+GQ34/GQ$37</f>
        <v>0.12928676894386068</v>
      </c>
      <c r="GS34" s="440"/>
      <c r="GT34" s="554">
        <v>230294287.71999991</v>
      </c>
      <c r="GU34" s="605">
        <f>+GT34/GT$37</f>
        <v>0.12012163153931427</v>
      </c>
      <c r="GV34" s="440"/>
      <c r="GW34" s="1041">
        <v>212766802.65999988</v>
      </c>
      <c r="GX34" s="605">
        <f>+GW34/GW$37</f>
        <v>0.11715675996215109</v>
      </c>
      <c r="GY34" s="440"/>
      <c r="GZ34" s="554">
        <v>199977974.67999998</v>
      </c>
      <c r="HA34" s="605">
        <f>+GZ34/GZ$37</f>
        <v>0.11065489196825241</v>
      </c>
      <c r="HB34" s="440"/>
      <c r="HC34" s="554">
        <v>186292013.09999999</v>
      </c>
      <c r="HD34" s="605">
        <f>+HC34/HC$37</f>
        <v>0.10539306379240958</v>
      </c>
      <c r="HE34" s="440"/>
      <c r="HF34" s="554">
        <v>181913238.94999996</v>
      </c>
      <c r="HG34" s="605">
        <f>+HF34/HF$37</f>
        <v>0.10267493555679952</v>
      </c>
      <c r="HH34" s="440"/>
      <c r="HI34" s="554">
        <v>180570572.86764139</v>
      </c>
      <c r="HJ34" s="605">
        <f>+HI34/HI$37</f>
        <v>9.941707092326639E-2</v>
      </c>
      <c r="HK34" s="440"/>
      <c r="HL34" s="554">
        <v>179217622.59328455</v>
      </c>
      <c r="HM34" s="605">
        <f>+HL34/HL$37</f>
        <v>9.9417070923266404E-2</v>
      </c>
      <c r="HN34" s="440"/>
      <c r="HO34" s="554">
        <f>HI34*0.9</f>
        <v>162513515.58087724</v>
      </c>
      <c r="HP34" s="605">
        <f>+HO34/HO$37</f>
        <v>9.2007369884345103E-2</v>
      </c>
      <c r="HQ34" s="580"/>
      <c r="HR34" s="554">
        <f>HL34*0.9</f>
        <v>161295860.33395609</v>
      </c>
      <c r="HS34" s="605">
        <f>+HR34/HR$37</f>
        <v>9.1398854946564453E-2</v>
      </c>
      <c r="HT34" s="440"/>
      <c r="HU34" s="554">
        <f>HO34*0.9</f>
        <v>146262164.02278954</v>
      </c>
      <c r="HV34" s="605">
        <f>+HU34/HU$37</f>
        <v>8.3796094213214378E-2</v>
      </c>
      <c r="HW34" s="440"/>
      <c r="HX34" s="440"/>
      <c r="HY34" s="440"/>
      <c r="HZ34" s="440"/>
      <c r="IA34" s="554">
        <v>150841916.91000003</v>
      </c>
      <c r="IB34" s="605">
        <f>+IA34/IA$37</f>
        <v>0.20383642562553994</v>
      </c>
      <c r="IC34" s="235"/>
      <c r="ID34" s="235"/>
      <c r="IE34" s="235"/>
      <c r="JD34" s="591"/>
      <c r="JE34" s="232"/>
    </row>
    <row r="35" spans="1:266" ht="14.25" customHeight="1">
      <c r="A35" s="243">
        <v>12</v>
      </c>
      <c r="B35" s="595" t="s">
        <v>862</v>
      </c>
      <c r="D35" s="262">
        <v>150000</v>
      </c>
      <c r="E35" s="256">
        <f>+D35/$D$37</f>
        <v>5.7827506712659392E-3</v>
      </c>
      <c r="F35" s="262">
        <v>637500</v>
      </c>
      <c r="G35" s="256">
        <f>+F35/$F$37</f>
        <v>2.4249570361137555E-2</v>
      </c>
      <c r="H35" s="262">
        <v>125000</v>
      </c>
      <c r="I35" s="256">
        <f>+H35/$H$37</f>
        <v>4.1318693371026338E-3</v>
      </c>
      <c r="J35" s="262">
        <v>280000</v>
      </c>
      <c r="K35" s="256">
        <f>+J35/$J$37</f>
        <v>8.1812649237777077E-3</v>
      </c>
      <c r="L35" s="262">
        <v>756666.66</v>
      </c>
      <c r="M35" s="256">
        <f>+L35/$L$37</f>
        <v>2.0446939119121633E-2</v>
      </c>
      <c r="N35" s="262">
        <v>1738333.33</v>
      </c>
      <c r="O35" s="256">
        <f>+N35/$N$37</f>
        <v>3.9944440240097419E-2</v>
      </c>
      <c r="P35" s="262">
        <v>2421794.87</v>
      </c>
      <c r="Q35" s="256">
        <f>+P35/$P$37</f>
        <v>4.8676894387090316E-2</v>
      </c>
      <c r="R35" s="262">
        <v>2466891.0300000003</v>
      </c>
      <c r="S35" s="256">
        <f>+R35/$R$37</f>
        <v>4.8258815290346709E-2</v>
      </c>
      <c r="T35" s="262">
        <f>2477403.86</f>
        <v>2477403.86</v>
      </c>
      <c r="U35" s="256">
        <f>+T35/$T$37</f>
        <v>4.3556469370367251E-2</v>
      </c>
      <c r="V35" s="262">
        <v>2192916.6900000004</v>
      </c>
      <c r="W35" s="256">
        <f>+V35/$V$37</f>
        <v>3.4270840042128582E-2</v>
      </c>
      <c r="X35" s="262">
        <v>2109516.06</v>
      </c>
      <c r="Y35" s="256">
        <f>+X35/$X$37</f>
        <v>3.3088031743238024E-2</v>
      </c>
      <c r="Z35" s="262">
        <v>2520521.94</v>
      </c>
      <c r="AA35" s="256">
        <f>+Z35/$Z$37</f>
        <v>3.7937918470930192E-2</v>
      </c>
      <c r="AB35" s="262">
        <v>3313267.7</v>
      </c>
      <c r="AC35" s="256">
        <f>+AB35/$AB$37</f>
        <v>4.4326540106193864E-2</v>
      </c>
      <c r="AD35" s="262">
        <v>2530476.16</v>
      </c>
      <c r="AE35" s="256">
        <f>+AD35/$AD$37</f>
        <v>3.227704694619226E-2</v>
      </c>
      <c r="AF35" s="262">
        <v>2563346.2200000002</v>
      </c>
      <c r="AG35" s="256">
        <f>+AF35/$AF$37</f>
        <v>2.9602840571718712E-2</v>
      </c>
      <c r="AH35" s="262">
        <v>3805260.15</v>
      </c>
      <c r="AI35" s="248">
        <f>+AH35/$AH$37</f>
        <v>4.0123119999862934E-2</v>
      </c>
      <c r="AJ35" s="262">
        <v>4084180.16</v>
      </c>
      <c r="AK35" s="248">
        <f>+AJ35/$AJ$37</f>
        <v>3.8348174360635721E-2</v>
      </c>
      <c r="AL35" s="262">
        <v>5215000.5600000005</v>
      </c>
      <c r="AM35" s="248">
        <f>+AL35/$AL$37</f>
        <v>4.4171620101152401E-2</v>
      </c>
      <c r="AN35" s="262">
        <v>4924987.6899999995</v>
      </c>
      <c r="AO35" s="248">
        <f>+AN35/$AN$37</f>
        <v>3.4557755819964266E-2</v>
      </c>
      <c r="AP35" s="262">
        <v>5225198.6399999997</v>
      </c>
      <c r="AQ35" s="248">
        <f>+AP35/$AP$37</f>
        <v>3.4894376930035206E-2</v>
      </c>
      <c r="AR35" s="262">
        <v>5501245.8300000001</v>
      </c>
      <c r="AS35" s="248">
        <f>+AR35/$AR$37</f>
        <v>3.5057877057897022E-2</v>
      </c>
      <c r="AT35" s="262">
        <v>6131295.9000000013</v>
      </c>
      <c r="AU35" s="248">
        <f>+AT35/$AT$37</f>
        <v>3.4544140642181011E-2</v>
      </c>
      <c r="AV35" s="262">
        <v>6641270.2799999993</v>
      </c>
      <c r="AW35" s="248">
        <f>+AV35/$AV$37</f>
        <v>3.890744848042467E-2</v>
      </c>
      <c r="AX35" s="262">
        <v>6397573.3200000003</v>
      </c>
      <c r="AY35" s="245">
        <f>+AX35/$AX$37</f>
        <v>4.0746925446535437E-2</v>
      </c>
      <c r="AZ35" s="262">
        <v>6436376.3600000013</v>
      </c>
      <c r="BA35" s="245">
        <f>+AZ35/$AZ$37</f>
        <v>4.1463383972243049E-2</v>
      </c>
      <c r="BB35" s="262">
        <v>7086795.9199999999</v>
      </c>
      <c r="BC35" s="245">
        <f>+BB35/$BB$37</f>
        <v>4.5871740408340404E-2</v>
      </c>
      <c r="BD35" s="262">
        <v>6562612.5800000001</v>
      </c>
      <c r="BE35" s="245">
        <f>+BD35/$BD$37</f>
        <v>4.4301922006565582E-2</v>
      </c>
      <c r="BF35" s="263">
        <v>8130150.6299999999</v>
      </c>
      <c r="BG35" s="245">
        <f>+BF35/$BF$37</f>
        <v>5.3625628883628297E-2</v>
      </c>
      <c r="BH35" s="263">
        <v>10761572.85</v>
      </c>
      <c r="BI35" s="245">
        <f>+BH35/$BH$37</f>
        <v>6.9025493364540766E-2</v>
      </c>
      <c r="BJ35" s="263">
        <v>12396662.460000001</v>
      </c>
      <c r="BK35" s="245">
        <f>+BJ35/$BJ$37</f>
        <v>7.4778060492500825E-2</v>
      </c>
      <c r="BL35" s="263">
        <v>14595686.15</v>
      </c>
      <c r="BM35" s="245">
        <f>+BL35/$BL$37</f>
        <v>7.7919262665480077E-2</v>
      </c>
      <c r="BN35" s="263">
        <v>16528617.999999998</v>
      </c>
      <c r="BO35" s="245">
        <f>+BN35/BN$37</f>
        <v>8.9317637719658491E-2</v>
      </c>
      <c r="BP35" s="263">
        <v>16236139.570000002</v>
      </c>
      <c r="BQ35" s="245">
        <f>+BP35/BP$37</f>
        <v>8.5449774523977229E-2</v>
      </c>
      <c r="BR35" s="263">
        <v>17837382.09</v>
      </c>
      <c r="BS35" s="245">
        <f>+BR35/BR$37</f>
        <v>8.6153306381826916E-2</v>
      </c>
      <c r="BT35" s="263">
        <v>22368821.989999998</v>
      </c>
      <c r="BU35" s="245">
        <f>+BT35/BT$37</f>
        <v>9.7267867350422463E-2</v>
      </c>
      <c r="BV35" s="262">
        <v>21907152.419999998</v>
      </c>
      <c r="BW35" s="245">
        <f>+BV35/BV$37</f>
        <v>9.2776937311523325E-2</v>
      </c>
      <c r="BX35" s="262">
        <v>20971319.539999999</v>
      </c>
      <c r="BY35" s="245">
        <f>+BX35/BX$37</f>
        <v>8.0236199289563187E-2</v>
      </c>
      <c r="BZ35" s="262">
        <v>19867461.48</v>
      </c>
      <c r="CA35" s="245">
        <f>+BZ35/BZ$37</f>
        <v>7.2984877350279698E-2</v>
      </c>
      <c r="CB35" s="262">
        <v>24230096.629999999</v>
      </c>
      <c r="CC35" s="245">
        <f>+CB35/CB$37</f>
        <v>8.611435294392196E-2</v>
      </c>
      <c r="CD35" s="262">
        <v>28191820.980000004</v>
      </c>
      <c r="CE35" s="245">
        <f>+CD35/CD$37</f>
        <v>9.014850256263314E-2</v>
      </c>
      <c r="CF35" s="262">
        <v>31906191.549999997</v>
      </c>
      <c r="CG35" s="245">
        <f>+CF35/CF$37</f>
        <v>9.3872047685960774E-2</v>
      </c>
      <c r="CH35" s="262">
        <v>31740422.219999995</v>
      </c>
      <c r="CI35" s="245">
        <f>+CH35/CH$37</f>
        <v>8.6612545467316379E-2</v>
      </c>
      <c r="CJ35" s="279"/>
      <c r="CK35" s="262">
        <v>36526710.990000054</v>
      </c>
      <c r="CL35" s="245">
        <f>+CK35/CK$37</f>
        <v>9.0560218186337124E-2</v>
      </c>
      <c r="CM35" s="279"/>
      <c r="CN35" s="262">
        <v>35580991.44000002</v>
      </c>
      <c r="CO35" s="245">
        <f>+CN35/CN$37</f>
        <v>8.9332347669368734E-2</v>
      </c>
      <c r="CP35" s="279"/>
      <c r="CQ35" s="262">
        <v>42415336.420000017</v>
      </c>
      <c r="CR35" s="245">
        <f>+CQ35/CQ$37</f>
        <v>0.10459140985002956</v>
      </c>
      <c r="CS35" s="279"/>
      <c r="CT35" s="423">
        <v>51033869.799999997</v>
      </c>
      <c r="CU35" s="245">
        <f>+CT35/CT$37</f>
        <v>0.11518016652578979</v>
      </c>
      <c r="CV35" s="235"/>
      <c r="CW35" s="423">
        <v>47562433.560000002</v>
      </c>
      <c r="CX35" s="245">
        <f>+CW35/CW$37</f>
        <v>0.10336612290641507</v>
      </c>
      <c r="CY35" s="438"/>
      <c r="CZ35" s="423">
        <v>52976778.650000006</v>
      </c>
      <c r="DA35" s="245">
        <f>+CZ35/CZ$37</f>
        <v>0.11172766652643989</v>
      </c>
      <c r="DB35" s="438"/>
      <c r="DC35" s="423">
        <v>60484111.690000013</v>
      </c>
      <c r="DD35" s="245">
        <f>+DC35/DC$37</f>
        <v>0.12065684154218732</v>
      </c>
      <c r="DE35" s="438"/>
      <c r="DF35" s="262">
        <v>62711992</v>
      </c>
      <c r="DG35" s="245">
        <f>+DF35/DF$37</f>
        <v>0.11737610256124208</v>
      </c>
      <c r="DH35" s="438"/>
      <c r="DI35" s="555">
        <v>67077820.050000004</v>
      </c>
      <c r="DJ35" s="551">
        <f>+DI35/DI$37</f>
        <v>0.12099503336117874</v>
      </c>
      <c r="DK35" s="438"/>
      <c r="DL35" s="555">
        <v>74650955</v>
      </c>
      <c r="DM35" s="551">
        <f>+DL35/DL$37</f>
        <v>0.12935974464132224</v>
      </c>
      <c r="DN35" s="438"/>
      <c r="DO35" s="555">
        <v>85065126.819999993</v>
      </c>
      <c r="DP35" s="551">
        <f>+DO35/DO$37</f>
        <v>0.13907329699601081</v>
      </c>
      <c r="DQ35" s="438"/>
      <c r="DR35" s="555">
        <v>89431735.599999875</v>
      </c>
      <c r="DS35" s="551">
        <f>+DR35/DR$37</f>
        <v>0.14366358878980429</v>
      </c>
      <c r="DT35" s="438"/>
      <c r="DU35" s="555">
        <f>100628158.17+27857</f>
        <v>100656015.17</v>
      </c>
      <c r="DV35" s="551">
        <f>+DU35/DU$37</f>
        <v>0.14638781617430913</v>
      </c>
      <c r="DW35" s="438"/>
      <c r="DX35" s="555">
        <v>109880666.8793325</v>
      </c>
      <c r="DY35" s="605">
        <f>+DX35/DX$37</f>
        <v>0.1637319656218354</v>
      </c>
      <c r="DZ35" s="440"/>
      <c r="EA35" s="555">
        <v>120978179.61000001</v>
      </c>
      <c r="EB35" s="605">
        <f>+EA35/EA$37</f>
        <v>0.17303578502199035</v>
      </c>
      <c r="EC35" s="440"/>
      <c r="ED35" s="555">
        <v>133994182.89999835</v>
      </c>
      <c r="EE35" s="605">
        <f>+ED35/ED$37</f>
        <v>0.18106966456311197</v>
      </c>
      <c r="EF35" s="440"/>
      <c r="EG35" s="423">
        <v>163207880.80999994</v>
      </c>
      <c r="EH35" s="245">
        <f>+EG35/EG$37</f>
        <v>0.20415046415896645</v>
      </c>
      <c r="EI35" s="438"/>
      <c r="EJ35" s="423">
        <v>187617797.79000011</v>
      </c>
      <c r="EK35" s="245">
        <f>+EJ35/EJ$37</f>
        <v>0.22345565746717916</v>
      </c>
      <c r="EL35" s="438"/>
      <c r="EM35" s="423">
        <v>196495226.66999993</v>
      </c>
      <c r="EN35" s="245">
        <f>+EM35/EM$37</f>
        <v>0.22059625259361709</v>
      </c>
      <c r="EO35" s="438"/>
      <c r="EP35" s="262">
        <v>226832445.69000003</v>
      </c>
      <c r="EQ35" s="245">
        <f>+EP35/EP$37</f>
        <v>0.23966945383819488</v>
      </c>
      <c r="ER35" s="438"/>
      <c r="ES35" s="555">
        <v>259592370.44999856</v>
      </c>
      <c r="ET35" s="551">
        <f>+ES35/ES$37</f>
        <v>0.26083341157328838</v>
      </c>
      <c r="EU35" s="438"/>
      <c r="EV35" s="555">
        <v>280166125.60999829</v>
      </c>
      <c r="EW35" s="551">
        <f>+EV35/EV$37</f>
        <v>0.25939195791567565</v>
      </c>
      <c r="EX35" s="438"/>
      <c r="EY35" s="555">
        <v>311585739.5800001</v>
      </c>
      <c r="EZ35" s="551">
        <f>+EY35/EY$37</f>
        <v>0.27440745330264726</v>
      </c>
      <c r="FA35" s="438"/>
      <c r="FB35" s="555">
        <v>340989801.15999866</v>
      </c>
      <c r="FC35" s="551">
        <f>+FB35/FB$37</f>
        <v>0.28341414290909728</v>
      </c>
      <c r="FD35" s="438"/>
      <c r="FE35" s="555">
        <v>405053822.25999731</v>
      </c>
      <c r="FF35" s="551">
        <f>+FE35/FE$37</f>
        <v>0.30645210284257801</v>
      </c>
      <c r="FG35" s="438"/>
      <c r="FH35" s="555">
        <v>456451130.63999611</v>
      </c>
      <c r="FI35" s="605">
        <f>+FH35/FH$37</f>
        <v>0.33396762904509092</v>
      </c>
      <c r="FJ35" s="440"/>
      <c r="FK35" s="555">
        <v>538324844.72999966</v>
      </c>
      <c r="FL35" s="605">
        <f>+FK35/FK$37</f>
        <v>0.36693673037976221</v>
      </c>
      <c r="FM35" s="440"/>
      <c r="FN35" s="555">
        <v>652385797.03000009</v>
      </c>
      <c r="FO35" s="605">
        <f>+FN35/FN$37</f>
        <v>0.40858157435434872</v>
      </c>
      <c r="FP35" s="440"/>
      <c r="FQ35" s="555">
        <v>712405867.87999988</v>
      </c>
      <c r="FR35" s="605">
        <f>+FQ35/FQ$37</f>
        <v>0.42769193130138605</v>
      </c>
      <c r="FS35" s="440"/>
      <c r="FT35" s="555">
        <v>763007855.84999979</v>
      </c>
      <c r="FU35" s="605">
        <f>+FT35/FT$37</f>
        <v>0.44604168841933811</v>
      </c>
      <c r="FV35" s="440"/>
      <c r="FW35" s="555">
        <v>833255776.07999671</v>
      </c>
      <c r="FX35" s="605">
        <f>+FW35/FW$37</f>
        <v>0.47380111972942268</v>
      </c>
      <c r="FY35" s="440"/>
      <c r="FZ35" s="555">
        <v>886157961.25999856</v>
      </c>
      <c r="GA35" s="605">
        <f>+FZ35/FZ$37</f>
        <v>0.48831026301302427</v>
      </c>
      <c r="GB35" s="440"/>
      <c r="GC35" s="555">
        <v>942919345.73000073</v>
      </c>
      <c r="GD35" s="605">
        <f>+GC35/GC$37</f>
        <v>0.50142249016223606</v>
      </c>
      <c r="GE35" s="555">
        <v>987926430.08999872</v>
      </c>
      <c r="GF35" s="605">
        <f>+GE35/GE$37</f>
        <v>0.49665784100685845</v>
      </c>
      <c r="GG35" s="555">
        <v>1041846244.8900003</v>
      </c>
      <c r="GH35" s="605">
        <f>+GG35/GG$37</f>
        <v>0.5379608189014855</v>
      </c>
      <c r="GI35" s="555">
        <v>1112788444.2800014</v>
      </c>
      <c r="GJ35" s="605">
        <f>+GI35/GI$37</f>
        <v>0.55116186502880138</v>
      </c>
      <c r="GK35" s="555">
        <v>1138223619.1500018</v>
      </c>
      <c r="GL35" s="605">
        <f>+GK35/GK$37</f>
        <v>0.55621418345810669</v>
      </c>
      <c r="GM35" s="554">
        <f>1096855953.64-4894930.07</f>
        <v>1091961023.5700002</v>
      </c>
      <c r="GN35" s="605">
        <f>+GM35/GM$37</f>
        <v>0.54946013208527955</v>
      </c>
      <c r="GO35" s="554">
        <f>1063265587.1+3005966.51</f>
        <v>1066271553.61</v>
      </c>
      <c r="GP35" s="605">
        <f>+GO35/GO$37</f>
        <v>0.53616777577950891</v>
      </c>
      <c r="GQ35" s="554">
        <v>1056611706.3200002</v>
      </c>
      <c r="GR35" s="605">
        <f>+GQ35/GQ$37</f>
        <v>0.53397449884932213</v>
      </c>
      <c r="GS35" s="440"/>
      <c r="GT35" s="554">
        <v>1017467288.38</v>
      </c>
      <c r="GU35" s="605">
        <f>+GT35/GT$37</f>
        <v>0.53071151667768168</v>
      </c>
      <c r="GV35" s="440"/>
      <c r="GW35" s="1041">
        <v>931235500.66000032</v>
      </c>
      <c r="GX35" s="605">
        <f>+GW35/GW$37</f>
        <v>0.51277047290784028</v>
      </c>
      <c r="GY35" s="440"/>
      <c r="GZ35" s="554">
        <v>960131266.27999997</v>
      </c>
      <c r="HA35" s="605">
        <f>+GZ35/GZ$37</f>
        <v>0.53127461519481178</v>
      </c>
      <c r="HB35" s="440"/>
      <c r="HC35" s="554">
        <v>955217827.35000014</v>
      </c>
      <c r="HD35" s="605">
        <f>+HC35/HC$37</f>
        <v>0.5404060632460117</v>
      </c>
      <c r="HE35" s="440"/>
      <c r="HF35" s="554">
        <v>960119151.97000003</v>
      </c>
      <c r="HG35" s="605">
        <f>+HF35/HF$37</f>
        <v>0.54190762928730085</v>
      </c>
      <c r="HH35" s="440"/>
      <c r="HI35" s="554">
        <v>981819732.44386542</v>
      </c>
      <c r="HJ35" s="605">
        <f>+HI35/HI$37</f>
        <v>0.54056228777533022</v>
      </c>
      <c r="HK35" s="440"/>
      <c r="HL35" s="554">
        <v>974463310.76738</v>
      </c>
      <c r="HM35" s="605">
        <f>+HL35/HL$37</f>
        <v>0.54056228777533022</v>
      </c>
      <c r="HN35" s="440"/>
      <c r="HO35" s="554">
        <v>974796735.49000001</v>
      </c>
      <c r="HP35" s="605">
        <f>+HO35/HO$37</f>
        <v>0.55188322942682111</v>
      </c>
      <c r="HQ35" s="440"/>
      <c r="HR35" s="554">
        <v>974796735.49000001</v>
      </c>
      <c r="HS35" s="605">
        <f>+HR35/HR$37</f>
        <v>0.55237192848574723</v>
      </c>
      <c r="HT35" s="440"/>
      <c r="HU35" s="554">
        <v>974796735.49000001</v>
      </c>
      <c r="HV35" s="605">
        <f>+HU35/HU$37</f>
        <v>0.55847771453132888</v>
      </c>
      <c r="HW35" s="440"/>
      <c r="HX35" s="440"/>
      <c r="HY35" s="440"/>
      <c r="HZ35" s="440"/>
      <c r="IA35" s="555">
        <v>133994182.89999835</v>
      </c>
      <c r="IB35" s="605">
        <f>+IA35/IA$37</f>
        <v>0.18106966456311197</v>
      </c>
      <c r="IC35" s="235"/>
      <c r="ID35" s="235"/>
      <c r="IE35" s="235"/>
      <c r="JE35" s="232"/>
    </row>
    <row r="36" spans="1:266" ht="14.25" customHeight="1">
      <c r="A36" s="243">
        <v>18</v>
      </c>
      <c r="B36" s="595" t="s">
        <v>863</v>
      </c>
      <c r="D36" s="1004"/>
      <c r="E36" s="442"/>
      <c r="F36" s="1004"/>
      <c r="G36" s="442"/>
      <c r="H36" s="1004"/>
      <c r="I36" s="1005"/>
      <c r="J36" s="1004"/>
      <c r="K36" s="1005"/>
      <c r="L36" s="1004"/>
      <c r="M36" s="442"/>
      <c r="N36" s="1004"/>
      <c r="O36" s="442"/>
      <c r="P36" s="1004"/>
      <c r="Q36" s="442"/>
      <c r="R36" s="1004"/>
      <c r="S36" s="442"/>
      <c r="T36" s="1004"/>
      <c r="U36" s="442"/>
      <c r="V36" s="1004"/>
      <c r="W36" s="442"/>
      <c r="X36" s="1004"/>
      <c r="Y36" s="442"/>
      <c r="Z36" s="1004"/>
      <c r="AA36" s="442"/>
      <c r="AB36" s="1004"/>
      <c r="AC36" s="442"/>
      <c r="AD36" s="1004"/>
      <c r="AE36" s="442"/>
      <c r="AF36" s="1004"/>
      <c r="AG36" s="442"/>
      <c r="AH36" s="1004"/>
      <c r="AI36" s="438"/>
      <c r="AJ36" s="1004"/>
      <c r="AK36" s="438"/>
      <c r="AL36" s="1004"/>
      <c r="AM36" s="438"/>
      <c r="AN36" s="1004"/>
      <c r="AO36" s="438"/>
      <c r="AP36" s="1004"/>
      <c r="AQ36" s="438"/>
      <c r="AR36" s="1004"/>
      <c r="AS36" s="438"/>
      <c r="AT36" s="1004"/>
      <c r="AU36" s="438"/>
      <c r="AV36" s="1004"/>
      <c r="AW36" s="438"/>
      <c r="AX36" s="1004"/>
      <c r="AY36" s="438"/>
      <c r="AZ36" s="1004"/>
      <c r="BA36" s="438"/>
      <c r="BB36" s="1004"/>
      <c r="BC36" s="438"/>
      <c r="BD36" s="1004"/>
      <c r="BE36" s="438"/>
      <c r="BF36" s="1006"/>
      <c r="BG36" s="438"/>
      <c r="BH36" s="1006"/>
      <c r="BI36" s="438"/>
      <c r="BJ36" s="1006"/>
      <c r="BK36" s="438"/>
      <c r="BL36" s="1006"/>
      <c r="BM36" s="438"/>
      <c r="BN36" s="1006"/>
      <c r="BO36" s="438"/>
      <c r="BP36" s="1006"/>
      <c r="BQ36" s="438"/>
      <c r="BR36" s="1006"/>
      <c r="BS36" s="438"/>
      <c r="BT36" s="1006"/>
      <c r="BU36" s="438"/>
      <c r="BV36" s="1004"/>
      <c r="BW36" s="438"/>
      <c r="BX36" s="1004"/>
      <c r="BY36" s="438"/>
      <c r="BZ36" s="1004"/>
      <c r="CA36" s="438"/>
      <c r="CB36" s="1004"/>
      <c r="CC36" s="438"/>
      <c r="CD36" s="1004"/>
      <c r="CE36" s="438"/>
      <c r="CF36" s="1004"/>
      <c r="CG36" s="438"/>
      <c r="CH36" s="1004"/>
      <c r="CI36" s="438"/>
      <c r="CJ36" s="438"/>
      <c r="CK36" s="1004"/>
      <c r="CL36" s="438"/>
      <c r="CM36" s="438"/>
      <c r="CN36" s="1004"/>
      <c r="CO36" s="438"/>
      <c r="CP36" s="438"/>
      <c r="CQ36" s="1004"/>
      <c r="CR36" s="438"/>
      <c r="CS36" s="438"/>
      <c r="CT36" s="1004"/>
      <c r="CU36" s="438"/>
      <c r="CV36" s="235"/>
      <c r="CW36" s="1004"/>
      <c r="CX36" s="438"/>
      <c r="CY36" s="438"/>
      <c r="CZ36" s="1004"/>
      <c r="DA36" s="438"/>
      <c r="DB36" s="438"/>
      <c r="DC36" s="1004"/>
      <c r="DD36" s="438"/>
      <c r="DE36" s="438"/>
      <c r="DF36" s="1004"/>
      <c r="DG36" s="438"/>
      <c r="DH36" s="438"/>
      <c r="DI36" s="1004"/>
      <c r="DJ36" s="438"/>
      <c r="DK36" s="438"/>
      <c r="DL36" s="1004"/>
      <c r="DM36" s="438"/>
      <c r="DN36" s="438"/>
      <c r="DO36" s="1004"/>
      <c r="DP36" s="438"/>
      <c r="DQ36" s="438"/>
      <c r="DR36" s="1004"/>
      <c r="DS36" s="438"/>
      <c r="DT36" s="438"/>
      <c r="DU36" s="1004"/>
      <c r="DV36" s="438"/>
      <c r="DW36" s="438"/>
      <c r="DX36" s="1004"/>
      <c r="DY36" s="440"/>
      <c r="DZ36" s="440"/>
      <c r="EA36" s="1004"/>
      <c r="EB36" s="440"/>
      <c r="EC36" s="440"/>
      <c r="ED36" s="1004"/>
      <c r="EE36" s="440"/>
      <c r="EF36" s="440"/>
      <c r="EG36" s="1004"/>
      <c r="EH36" s="438"/>
      <c r="EI36" s="438"/>
      <c r="EJ36" s="1004"/>
      <c r="EK36" s="438"/>
      <c r="EL36" s="438"/>
      <c r="EM36" s="1004"/>
      <c r="EN36" s="438"/>
      <c r="EO36" s="438"/>
      <c r="EP36" s="1004"/>
      <c r="EQ36" s="438"/>
      <c r="ER36" s="438"/>
      <c r="ES36" s="1004"/>
      <c r="ET36" s="438"/>
      <c r="EU36" s="438"/>
      <c r="EV36" s="1004"/>
      <c r="EW36" s="438"/>
      <c r="EX36" s="438"/>
      <c r="EY36" s="1004"/>
      <c r="EZ36" s="438"/>
      <c r="FA36" s="438"/>
      <c r="FB36" s="1004"/>
      <c r="FC36" s="438"/>
      <c r="FD36" s="438"/>
      <c r="FE36" s="1004"/>
      <c r="FF36" s="438"/>
      <c r="FG36" s="438"/>
      <c r="FH36" s="1004"/>
      <c r="FI36" s="440"/>
      <c r="FJ36" s="440"/>
      <c r="FK36" s="1004"/>
      <c r="FL36" s="440"/>
      <c r="FM36" s="440"/>
      <c r="FN36" s="1004"/>
      <c r="FO36" s="440"/>
      <c r="FP36" s="440"/>
      <c r="FQ36" s="1004"/>
      <c r="FR36" s="440"/>
      <c r="FS36" s="440"/>
      <c r="FT36" s="1004"/>
      <c r="FU36" s="440"/>
      <c r="FV36" s="440"/>
      <c r="FW36" s="1004"/>
      <c r="FX36" s="440"/>
      <c r="FY36" s="440"/>
      <c r="FZ36" s="1004"/>
      <c r="GA36" s="440"/>
      <c r="GB36" s="440"/>
      <c r="GC36" s="1004"/>
      <c r="GD36" s="440"/>
      <c r="GE36" s="1004"/>
      <c r="GF36" s="440"/>
      <c r="GG36" s="1004"/>
      <c r="GH36" s="440"/>
      <c r="GI36" s="1004"/>
      <c r="GJ36" s="440"/>
      <c r="GK36" s="1004"/>
      <c r="GL36" s="440"/>
      <c r="GM36" s="555">
        <v>64488216.690000013</v>
      </c>
      <c r="GN36" s="605">
        <f>+GM36/GM$37</f>
        <v>3.2449605155856605E-2</v>
      </c>
      <c r="GO36" s="555">
        <v>67128723.669999987</v>
      </c>
      <c r="GP36" s="605">
        <f>+GO36/GO$37</f>
        <v>3.3755245874472345E-2</v>
      </c>
      <c r="GQ36" s="555">
        <v>73416974.589999989</v>
      </c>
      <c r="GR36" s="605">
        <f>+GQ36/GQ$37</f>
        <v>3.7102364074940407E-2</v>
      </c>
      <c r="GS36" s="440"/>
      <c r="GT36" s="555">
        <v>70913242.629999995</v>
      </c>
      <c r="GU36" s="605">
        <f>+GT36/GT$37</f>
        <v>3.6988387713791683E-2</v>
      </c>
      <c r="GV36" s="440"/>
      <c r="GW36" s="1042">
        <v>81757514.100000009</v>
      </c>
      <c r="GX36" s="605">
        <f>+GW36/GW$37</f>
        <v>4.5018514800084605E-2</v>
      </c>
      <c r="GY36" s="440"/>
      <c r="GZ36" s="555">
        <v>84014893.910000011</v>
      </c>
      <c r="HA36" s="605">
        <f>+GZ36/GZ$37</f>
        <v>4.6488414657721848E-2</v>
      </c>
      <c r="HB36" s="440"/>
      <c r="HC36" s="555">
        <v>85073357.749999985</v>
      </c>
      <c r="HD36" s="605">
        <f>+HC36/HC$37</f>
        <v>4.8129502017712808E-2</v>
      </c>
      <c r="HE36" s="440"/>
      <c r="HF36" s="555">
        <v>90940949.620000005</v>
      </c>
      <c r="HG36" s="605">
        <f>+HF36/HF$37</f>
        <v>5.1328623444905436E-2</v>
      </c>
      <c r="HH36" s="440"/>
      <c r="HI36" s="555">
        <v>96114184.958364055</v>
      </c>
      <c r="HJ36" s="605">
        <f>+HI36/HI$37</f>
        <v>5.2917762794836704E-2</v>
      </c>
      <c r="HK36" s="440"/>
      <c r="HL36" s="555">
        <v>95394035.983678564</v>
      </c>
      <c r="HM36" s="605">
        <f>+HL36/HL$37</f>
        <v>5.2917762794836704E-2</v>
      </c>
      <c r="HN36" s="440"/>
      <c r="HO36" s="555">
        <v>98116713.739999995</v>
      </c>
      <c r="HP36" s="605">
        <f>+HO36/HO$37</f>
        <v>5.5548984591499623E-2</v>
      </c>
      <c r="HQ36" s="440"/>
      <c r="HR36" s="555">
        <v>98116713.739999995</v>
      </c>
      <c r="HS36" s="605">
        <f>+HR36/HR$37</f>
        <v>5.5598173867503466E-2</v>
      </c>
      <c r="HT36" s="440"/>
      <c r="HU36" s="555">
        <v>98116713.739999995</v>
      </c>
      <c r="HV36" s="605">
        <f>+HU36/HU$37</f>
        <v>5.6212742669163318E-2</v>
      </c>
      <c r="HW36" s="440"/>
      <c r="HX36" s="440"/>
      <c r="HY36" s="440"/>
      <c r="HZ36" s="440"/>
      <c r="IA36" s="1004"/>
      <c r="IB36" s="440"/>
      <c r="IC36" s="235"/>
      <c r="ID36" s="235"/>
      <c r="IE36" s="235"/>
    </row>
    <row r="37" spans="1:266" ht="14.1" customHeight="1" thickBot="1">
      <c r="A37" s="212"/>
      <c r="B37" s="212" t="s">
        <v>399</v>
      </c>
      <c r="C37" s="212"/>
      <c r="D37" s="264">
        <f>SUM(D21:D35)-D32</f>
        <v>25939212.759999998</v>
      </c>
      <c r="E37" s="265"/>
      <c r="F37" s="264">
        <f>SUM(F21:F35)-F32</f>
        <v>26289125.56000001</v>
      </c>
      <c r="G37" s="265"/>
      <c r="H37" s="264">
        <f>SUM(H21:H35)-H32</f>
        <v>30252650.75</v>
      </c>
      <c r="I37" s="266"/>
      <c r="J37" s="264">
        <f>SUM(J21:J35)-J32</f>
        <v>34224536.500000015</v>
      </c>
      <c r="K37" s="266"/>
      <c r="L37" s="264">
        <f>SUM(L21:L35)-L32</f>
        <v>37006353.645000003</v>
      </c>
      <c r="M37" s="212"/>
      <c r="N37" s="264">
        <f>SUM(N21:N35)-N32</f>
        <v>43518780.575000003</v>
      </c>
      <c r="O37" s="212"/>
      <c r="P37" s="264">
        <f>SUM(P21:P35)-P32</f>
        <v>49752452.379999995</v>
      </c>
      <c r="Q37" s="212"/>
      <c r="R37" s="264">
        <f>SUM(R21:R35)-R32</f>
        <v>51117935.970000006</v>
      </c>
      <c r="S37" s="212"/>
      <c r="T37" s="264">
        <f>SUM(T21:T35)-T32</f>
        <v>56877976.929999992</v>
      </c>
      <c r="U37" s="212"/>
      <c r="V37" s="264">
        <f>SUM(V21:V35)-V32</f>
        <v>63987830.099999994</v>
      </c>
      <c r="W37" s="212"/>
      <c r="X37" s="264">
        <f>SUM(X21:X35)-X32</f>
        <v>63754655.350000001</v>
      </c>
      <c r="Y37" s="212"/>
      <c r="Z37" s="264">
        <f>SUM(Z21:Z35)-Z32</f>
        <v>66438066.229999989</v>
      </c>
      <c r="AA37" s="212"/>
      <c r="AB37" s="264">
        <f>SUM(AB21:AB35)-AB32</f>
        <v>74746815.160000011</v>
      </c>
      <c r="AC37" s="212"/>
      <c r="AD37" s="264">
        <f>SUM(AD21:AD35)-AD32</f>
        <v>78398626.870000005</v>
      </c>
      <c r="AE37" s="212"/>
      <c r="AF37" s="264">
        <f>SUM(AF21:AF35)-AF32</f>
        <v>86591224.710000008</v>
      </c>
      <c r="AG37" s="212"/>
      <c r="AH37" s="264">
        <f>SUM(AH21:AH35)-AH32</f>
        <v>94839587.499999985</v>
      </c>
      <c r="AI37" s="212"/>
      <c r="AJ37" s="264">
        <f>SUM(AJ21:AJ35)-AJ32</f>
        <v>106502597.00999999</v>
      </c>
      <c r="AK37" s="212"/>
      <c r="AL37" s="264">
        <f>SUM(AL21:AL35)-AL32</f>
        <v>118062243.31500003</v>
      </c>
      <c r="AM37" s="212"/>
      <c r="AN37" s="264">
        <f>SUM(AN21:AN35)-AN32</f>
        <v>142514685.14500001</v>
      </c>
      <c r="AO37" s="212"/>
      <c r="AP37" s="264">
        <f>SUM(AP21:AP35)-AP32</f>
        <v>149743285.29999998</v>
      </c>
      <c r="AQ37" s="212"/>
      <c r="AR37" s="264">
        <f>SUM(AR21:AR35)-AR32</f>
        <v>156918966.33999997</v>
      </c>
      <c r="AS37" s="212"/>
      <c r="AT37" s="264">
        <f>SUM(AT21:AT35)-AT32</f>
        <v>177491632.03999999</v>
      </c>
      <c r="AU37" s="212"/>
      <c r="AV37" s="264">
        <f>SUM(AV21:AV35)-AV32</f>
        <v>170694058.31999987</v>
      </c>
      <c r="AW37" s="212"/>
      <c r="AX37" s="264">
        <f>SUM(AX21:AX35)-AX32</f>
        <v>157007510.38000003</v>
      </c>
      <c r="AY37" s="212"/>
      <c r="AZ37" s="264">
        <f>SUM(AZ21:AZ35)-AZ32</f>
        <v>155230368.18000004</v>
      </c>
      <c r="BA37" s="212"/>
      <c r="BB37" s="264">
        <f>SUM(BB18:BB35)-BB32</f>
        <v>154491542.21999997</v>
      </c>
      <c r="BC37" s="212"/>
      <c r="BD37" s="264">
        <f>SUM(BD18:BD35)-BD32</f>
        <v>148133811.87000003</v>
      </c>
      <c r="BE37" s="212"/>
      <c r="BF37" s="264">
        <f>SUM(BF18:BF35)-BF32</f>
        <v>151609422.56999999</v>
      </c>
      <c r="BG37" s="212"/>
      <c r="BH37" s="264">
        <f>SUM(BH18:BH35)-BH32</f>
        <v>155907221.01999998</v>
      </c>
      <c r="BI37" s="212"/>
      <c r="BJ37" s="264">
        <f>SUM(BJ18:BJ35)-BJ32</f>
        <v>165779406.13</v>
      </c>
      <c r="BK37" s="212"/>
      <c r="BL37" s="264">
        <f>SUM(BL18:BL35)-BL32</f>
        <v>187318073.22999999</v>
      </c>
      <c r="BM37" s="212"/>
      <c r="BN37" s="264">
        <f>SUM(BN18:BN35)-BN32</f>
        <v>185054356.81</v>
      </c>
      <c r="BO37" s="212"/>
      <c r="BP37" s="264">
        <f>SUM(BP18:BP35)-BP32</f>
        <v>190007986.10000002</v>
      </c>
      <c r="BQ37" s="212"/>
      <c r="BR37" s="264">
        <f>SUM(BR18:BR35)-BR32</f>
        <v>207042339.28000003</v>
      </c>
      <c r="BS37" s="212"/>
      <c r="BT37" s="264">
        <f>SUM(BT18:BT35)-BT32</f>
        <v>229971342.02000004</v>
      </c>
      <c r="BU37" s="212"/>
      <c r="BV37" s="264">
        <f>SUM(BV18:BV35)-BV32</f>
        <v>236127135.20000005</v>
      </c>
      <c r="BW37" s="212"/>
      <c r="BX37" s="264">
        <f>SUM(BX18:BX35)-BX32</f>
        <v>261369802.23000005</v>
      </c>
      <c r="BY37" s="212"/>
      <c r="BZ37" s="264">
        <f>SUM(BZ18:BZ35)-BZ32</f>
        <v>272213398.19</v>
      </c>
      <c r="CA37" s="212"/>
      <c r="CB37" s="264">
        <f>SUM(CB18:CB35)-CB32</f>
        <v>281371174.50999999</v>
      </c>
      <c r="CC37" s="212"/>
      <c r="CD37" s="264">
        <f>SUM(CD18:CD35)-CD32</f>
        <v>312726447.79000032</v>
      </c>
      <c r="CE37" s="212"/>
      <c r="CF37" s="264">
        <f>SUM(CF18:CF35)-CF32</f>
        <v>339890226.49999988</v>
      </c>
      <c r="CG37" s="212"/>
      <c r="CH37" s="264">
        <f>SUM(CH18:CH35)-CH32</f>
        <v>366464489.05000007</v>
      </c>
      <c r="CI37" s="212"/>
      <c r="CJ37" s="212"/>
      <c r="CK37" s="328">
        <f>SUM(CK18:CK35)-CK32</f>
        <v>403341684.92000014</v>
      </c>
      <c r="CL37" s="212"/>
      <c r="CM37" s="212"/>
      <c r="CN37" s="328">
        <f>SUM(CN18:CN35)-CN32</f>
        <v>398299074.95200002</v>
      </c>
      <c r="CO37" s="212"/>
      <c r="CP37" s="212"/>
      <c r="CQ37" s="328">
        <f>SUM(CQ18:CQ35)-CQ32</f>
        <v>405533652.15000045</v>
      </c>
      <c r="CR37" s="212"/>
      <c r="CS37" s="212"/>
      <c r="CT37" s="328">
        <f>SUM(CT18:CT35)-CT32</f>
        <v>443078624.90000039</v>
      </c>
      <c r="CU37" s="212"/>
      <c r="CW37" s="328">
        <f>SUM(CW18:CW35)-CW32</f>
        <v>460135605.57999992</v>
      </c>
      <c r="CX37" s="212"/>
      <c r="CY37" s="415"/>
      <c r="CZ37" s="328">
        <f>SUM(CZ18:CZ35)-CZ32</f>
        <v>474159895.18999994</v>
      </c>
      <c r="DA37" s="212"/>
      <c r="DB37" s="415"/>
      <c r="DC37" s="328">
        <f>SUM(DC18:DC35)-DC32</f>
        <v>501290361.30000067</v>
      </c>
      <c r="DD37" s="212"/>
      <c r="DE37" s="415"/>
      <c r="DF37" s="328">
        <f>SUM(DF18:DF35)-DF32</f>
        <v>534282453</v>
      </c>
      <c r="DG37" s="212"/>
      <c r="DH37" s="415"/>
      <c r="DI37" s="552">
        <f>SUM(DI18:DI35)-DI32</f>
        <v>554384904.79000044</v>
      </c>
      <c r="DJ37" s="212"/>
      <c r="DK37" s="415"/>
      <c r="DL37" s="552">
        <f>SUM(DL18:DL35)-DL32</f>
        <v>577080259.45000005</v>
      </c>
      <c r="DM37" s="212"/>
      <c r="DN37" s="415"/>
      <c r="DO37" s="552">
        <f>SUM(DO18:DO35)-DO32</f>
        <v>611656792.91000056</v>
      </c>
      <c r="DP37" s="212"/>
      <c r="DQ37" s="415"/>
      <c r="DR37" s="552">
        <f>SUM(DR18:DR35)-DR32</f>
        <v>622508015.79827154</v>
      </c>
      <c r="DS37" s="212"/>
      <c r="DT37" s="415"/>
      <c r="DU37" s="552">
        <f>SUM(DU18:DU35)-DU32</f>
        <v>687598311.12000012</v>
      </c>
      <c r="DV37" s="212"/>
      <c r="DW37" s="415"/>
      <c r="DX37" s="552">
        <f>SUM(DX18:DX35)-DX32</f>
        <v>671100884.06999946</v>
      </c>
      <c r="DY37" s="606"/>
      <c r="DZ37" s="606"/>
      <c r="EA37" s="552">
        <f>SUM(EA18:EA35)-EA32</f>
        <v>699151216.58000064</v>
      </c>
      <c r="EB37" s="606"/>
      <c r="EC37" s="606"/>
      <c r="ED37" s="552">
        <f>SUM(ED18:ED35)-ED32</f>
        <v>740014530.99999857</v>
      </c>
      <c r="EE37" s="606"/>
      <c r="EF37" s="606"/>
      <c r="EG37" s="328">
        <f>SUM(EG18:EG35)-EG32</f>
        <v>799448982.31000042</v>
      </c>
      <c r="EH37" s="212"/>
      <c r="EI37" s="415"/>
      <c r="EJ37" s="328">
        <f>SUM(EJ18:EJ35)-EJ32</f>
        <v>839619815.03000045</v>
      </c>
      <c r="EK37" s="212"/>
      <c r="EL37" s="415"/>
      <c r="EM37" s="328">
        <f>SUM(EM18:EM35)-EM32</f>
        <v>890745986.65999949</v>
      </c>
      <c r="EN37" s="212"/>
      <c r="EO37" s="415"/>
      <c r="EP37" s="328">
        <f>SUM(EP18:EP35)-EP32</f>
        <v>946438697.36999798</v>
      </c>
      <c r="EQ37" s="212"/>
      <c r="ER37" s="415"/>
      <c r="ES37" s="552">
        <f>SUM(ES18:ES35)-ES32</f>
        <v>995242016.28999853</v>
      </c>
      <c r="ET37" s="212"/>
      <c r="EU37" s="415"/>
      <c r="EV37" s="552">
        <f>SUM(EV18:EV35)-EV32</f>
        <v>1080087940.5099983</v>
      </c>
      <c r="EW37" s="212"/>
      <c r="EX37" s="415"/>
      <c r="EY37" s="552">
        <f>SUM(EY18:EY35)-EY32</f>
        <v>1135485701.3900001</v>
      </c>
      <c r="EZ37" s="212"/>
      <c r="FA37" s="415"/>
      <c r="FB37" s="552">
        <f>SUM(FB18:FB35)-FB32</f>
        <v>1203150265.049999</v>
      </c>
      <c r="FC37" s="212"/>
      <c r="FD37" s="415"/>
      <c r="FE37" s="552">
        <f>SUM(FE18:FE35)-FE32</f>
        <v>1321752464.7499979</v>
      </c>
      <c r="FF37" s="212"/>
      <c r="FG37" s="415"/>
      <c r="FH37" s="552">
        <f>SUM(FH18:FH35)-FH32</f>
        <v>1366752615.9499967</v>
      </c>
      <c r="FI37" s="606"/>
      <c r="FJ37" s="606"/>
      <c r="FK37" s="552">
        <f>FK18+FK21+FK24+FK27+FK29+FK32</f>
        <v>1467078109.5500002</v>
      </c>
      <c r="FL37" s="606"/>
      <c r="FM37" s="606"/>
      <c r="FN37" s="552">
        <f>SUM(FN18:FN35)-FN32</f>
        <v>1596708804.2599993</v>
      </c>
      <c r="FO37" s="606"/>
      <c r="FP37" s="606"/>
      <c r="FQ37" s="552">
        <f>SUM(FQ18:FQ35)-FQ32</f>
        <v>1665698638.999999</v>
      </c>
      <c r="FR37" s="606"/>
      <c r="FS37" s="606"/>
      <c r="FT37" s="552">
        <f>SUM(FT18:FT35)-FT32</f>
        <v>1710620051.1300001</v>
      </c>
      <c r="FU37" s="606"/>
      <c r="FV37" s="606"/>
      <c r="FW37" s="552">
        <f>SUM(FW18:FW35)-FW32</f>
        <v>1758661474.9999971</v>
      </c>
      <c r="FX37" s="606"/>
      <c r="FY37" s="606"/>
      <c r="FZ37" s="552">
        <f>SUM(FZ18:FZ35)-FZ32</f>
        <v>1814743675.0399876</v>
      </c>
      <c r="GA37" s="606"/>
      <c r="GB37" s="606"/>
      <c r="GC37" s="552">
        <f>SUM(GC18:GC35)-GC32</f>
        <v>1880488738</v>
      </c>
      <c r="GD37" s="606"/>
      <c r="GE37" s="552">
        <f>GE21+GE24+GE27+GE29+GE30+GE32</f>
        <v>1989148964.3799992</v>
      </c>
      <c r="GF37" s="606"/>
      <c r="GG37" s="552">
        <f>GG21+GG24+GG27+GG29+GG30+GG32</f>
        <v>1936658225.4400005</v>
      </c>
      <c r="GH37" s="606"/>
      <c r="GI37" s="552">
        <f>GI21+GI24+GI27+GI29+GI30+GI32</f>
        <v>2018986644.1900001</v>
      </c>
      <c r="GJ37" s="606"/>
      <c r="GK37" s="552">
        <f>GK21+GK24+GK27+GK29+GK30+GK32</f>
        <v>2046376473.3099999</v>
      </c>
      <c r="GL37" s="606"/>
      <c r="GM37" s="552">
        <f>GM21+GM24+GM27+GM29+GM30+GM32</f>
        <v>1987334403</v>
      </c>
      <c r="GN37" s="606"/>
      <c r="GO37" s="552">
        <f>GO21+GO24+GO27+GO29+GO30+GO32</f>
        <v>1988690111.1500001</v>
      </c>
      <c r="GP37" s="606"/>
      <c r="GQ37" s="552">
        <f>GQ21+GQ24+GQ27+GQ29+GQ30+GQ32</f>
        <v>1978768103.3400002</v>
      </c>
      <c r="GR37" s="606"/>
      <c r="GS37" s="606"/>
      <c r="GT37" s="552">
        <f>GT21+GT24+GT27+GT29+GT30+GT32</f>
        <v>1917175822.2799993</v>
      </c>
      <c r="GU37" s="606"/>
      <c r="GV37" s="606"/>
      <c r="GW37" s="1043">
        <f>GW21+GW24+GW27+GW29+GW30+GW32</f>
        <v>1816086436.0599999</v>
      </c>
      <c r="GX37" s="606"/>
      <c r="GY37" s="606"/>
      <c r="GZ37" s="552">
        <f>GZ21+GZ24+GZ27+GZ29+GZ30+GZ32</f>
        <v>1807222176.29</v>
      </c>
      <c r="HA37" s="606"/>
      <c r="HB37" s="606"/>
      <c r="HC37" s="552">
        <f>HC21+HC24+HC27+HC29+HC30+HC32</f>
        <v>1767592727.6100001</v>
      </c>
      <c r="HD37" s="606"/>
      <c r="HE37" s="606"/>
      <c r="HF37" s="552">
        <f>HF21+HF24+HF27+HF29+HF30+HF32</f>
        <v>1771739499.6499999</v>
      </c>
      <c r="HG37" s="606"/>
      <c r="HH37" s="606"/>
      <c r="HI37" s="552">
        <f>HI21+HI24+HI27+HI29+HI30+HI32</f>
        <v>1816293431.2057145</v>
      </c>
      <c r="HJ37" s="606"/>
      <c r="HK37" s="606"/>
      <c r="HL37" s="552">
        <f>HL21+HL24+HL27+HL29+HL30+HL32</f>
        <v>1802684598.6199999</v>
      </c>
      <c r="HM37" s="606"/>
      <c r="HN37" s="606"/>
      <c r="HO37" s="552">
        <f>HO21+HO24+HO27+HO29+HO30+HO32</f>
        <v>1766309761.7632113</v>
      </c>
      <c r="HP37" s="606"/>
      <c r="HQ37" s="893"/>
      <c r="HR37" s="552">
        <f>HR21+HR24+HR27+HR29+HR30+HR32</f>
        <v>1764747057.5890291</v>
      </c>
      <c r="HS37" s="606"/>
      <c r="HT37" s="606"/>
      <c r="HU37" s="552">
        <f>HU21+HU24+HU27+HU29+HU30+HU32</f>
        <v>1745453238.5558903</v>
      </c>
      <c r="HV37" s="606"/>
      <c r="HW37" s="606"/>
      <c r="HX37" s="606"/>
      <c r="HY37" s="606"/>
      <c r="HZ37" s="606"/>
      <c r="IA37" s="552">
        <f>SUM(IA18:IA35)-IA32</f>
        <v>740014530.99999857</v>
      </c>
      <c r="IB37" s="606"/>
    </row>
    <row r="38" spans="1:266" ht="14.25" customHeight="1">
      <c r="D38" s="267"/>
      <c r="E38" s="234"/>
      <c r="F38" s="240"/>
      <c r="G38" s="234"/>
      <c r="H38" s="157"/>
      <c r="I38" s="268"/>
      <c r="J38" s="157"/>
      <c r="K38" s="268"/>
      <c r="L38" s="157"/>
      <c r="M38" s="234"/>
      <c r="N38" s="157"/>
      <c r="O38" s="234"/>
      <c r="P38" s="157"/>
      <c r="Q38" s="234"/>
      <c r="R38" s="157"/>
      <c r="S38" s="234"/>
      <c r="T38" s="157"/>
      <c r="U38" s="234"/>
      <c r="V38" s="157"/>
      <c r="W38" s="234"/>
      <c r="X38" s="157"/>
      <c r="Y38" s="234"/>
      <c r="Z38" s="157"/>
      <c r="AA38" s="234"/>
      <c r="AB38" s="157"/>
      <c r="AC38" s="234"/>
      <c r="AD38" s="157"/>
      <c r="AE38" s="234"/>
      <c r="AF38" s="157"/>
      <c r="AG38" s="234"/>
      <c r="AH38" s="157"/>
      <c r="AI38" s="234"/>
      <c r="AJ38" s="157"/>
      <c r="AK38" s="234"/>
      <c r="AL38" s="157"/>
      <c r="AM38" s="234"/>
      <c r="AN38" s="157"/>
      <c r="AO38" s="234"/>
      <c r="AP38" s="157"/>
      <c r="AQ38" s="234"/>
      <c r="AR38" s="157"/>
      <c r="AS38" s="234"/>
      <c r="AT38" s="157"/>
      <c r="AU38" s="234"/>
      <c r="AV38" s="157"/>
      <c r="AW38" s="234"/>
      <c r="AX38" s="157"/>
      <c r="AY38" s="234"/>
      <c r="AZ38" s="157"/>
      <c r="BA38" s="234"/>
      <c r="BB38" s="157"/>
      <c r="BC38" s="234"/>
      <c r="BD38" s="157"/>
      <c r="BE38" s="234"/>
      <c r="BF38" s="157"/>
      <c r="BG38" s="234"/>
      <c r="BH38" s="157"/>
      <c r="BI38" s="234"/>
      <c r="BJ38" s="157"/>
      <c r="BK38" s="234"/>
      <c r="BL38" s="157"/>
      <c r="BM38" s="234"/>
      <c r="BN38" s="157"/>
      <c r="BO38" s="234"/>
      <c r="BP38" s="157"/>
      <c r="BQ38" s="234"/>
      <c r="BR38" s="157"/>
      <c r="BS38" s="234"/>
      <c r="BT38" s="157"/>
      <c r="BU38" s="234"/>
      <c r="BV38" s="157"/>
      <c r="BW38" s="234"/>
      <c r="BX38" s="157"/>
      <c r="BY38" s="234"/>
      <c r="BZ38" s="157"/>
      <c r="CA38" s="234"/>
      <c r="CB38" s="157"/>
      <c r="CC38" s="234"/>
      <c r="CD38" s="157"/>
      <c r="CE38" s="234"/>
      <c r="CF38" s="157"/>
      <c r="CG38" s="234"/>
      <c r="CH38" s="157"/>
      <c r="CI38" s="234"/>
      <c r="CJ38" s="234"/>
      <c r="CK38" s="157"/>
      <c r="CL38" s="234"/>
      <c r="CM38" s="234"/>
      <c r="CN38" s="157"/>
      <c r="CO38" s="234"/>
      <c r="CP38" s="234"/>
      <c r="CQ38" s="157"/>
      <c r="CR38" s="234"/>
      <c r="CS38" s="234"/>
      <c r="CT38" s="157"/>
      <c r="CU38" s="234"/>
      <c r="CV38" s="198"/>
      <c r="CW38" s="157"/>
      <c r="CX38" s="234"/>
      <c r="CY38" s="436"/>
      <c r="CZ38" s="157"/>
      <c r="DA38" s="234"/>
      <c r="DB38" s="436"/>
      <c r="DC38" s="157"/>
      <c r="DD38" s="234"/>
      <c r="DE38" s="436"/>
      <c r="DF38" s="501"/>
      <c r="DG38" s="234"/>
      <c r="DH38" s="436"/>
      <c r="DI38" s="501"/>
      <c r="DJ38" s="234"/>
      <c r="DK38" s="436"/>
      <c r="DL38" s="501"/>
      <c r="DM38" s="234"/>
      <c r="DN38" s="436"/>
      <c r="DO38" s="501"/>
      <c r="DP38" s="234"/>
      <c r="DQ38" s="436"/>
      <c r="DR38" s="594"/>
      <c r="DS38" s="234"/>
      <c r="DT38" s="436"/>
      <c r="DU38" s="594"/>
      <c r="DV38" s="234"/>
      <c r="DW38" s="436"/>
      <c r="DX38" s="603"/>
      <c r="DY38" s="580"/>
      <c r="DZ38" s="580"/>
      <c r="EA38" s="603"/>
      <c r="EB38" s="580"/>
      <c r="EC38" s="580"/>
      <c r="ED38" s="603"/>
      <c r="EE38" s="580"/>
      <c r="EF38" s="580"/>
      <c r="EG38" s="157"/>
      <c r="EH38" s="234"/>
      <c r="EI38" s="436"/>
      <c r="EJ38" s="237"/>
      <c r="EK38" s="234"/>
      <c r="EL38" s="436"/>
      <c r="EM38" s="157"/>
      <c r="EN38" s="234"/>
      <c r="EO38" s="436"/>
      <c r="EP38" s="501"/>
      <c r="EQ38" s="234"/>
      <c r="ER38" s="436"/>
      <c r="ES38" s="501"/>
      <c r="ET38" s="234"/>
      <c r="EU38" s="436"/>
      <c r="EV38" s="501"/>
      <c r="EW38" s="234"/>
      <c r="EX38" s="436"/>
      <c r="EY38" s="501"/>
      <c r="EZ38" s="234"/>
      <c r="FA38" s="436"/>
      <c r="FB38" s="594"/>
      <c r="FC38" s="234"/>
      <c r="FD38" s="436"/>
      <c r="FE38" s="594"/>
      <c r="FF38" s="234"/>
      <c r="FG38" s="436"/>
      <c r="FH38" s="603"/>
      <c r="FI38" s="580"/>
      <c r="FJ38" s="580"/>
      <c r="FK38" s="603"/>
      <c r="FL38" s="580"/>
      <c r="FM38" s="580"/>
      <c r="FN38" s="603"/>
      <c r="FO38" s="580"/>
      <c r="FP38" s="580"/>
      <c r="FQ38" s="603"/>
      <c r="FR38" s="580"/>
      <c r="FS38" s="580"/>
      <c r="FT38" s="603"/>
      <c r="FU38" s="580"/>
      <c r="FV38" s="580"/>
      <c r="FW38" s="603"/>
      <c r="FX38" s="580"/>
      <c r="FY38" s="580"/>
      <c r="FZ38" s="603"/>
      <c r="GA38" s="580"/>
      <c r="GB38" s="580"/>
      <c r="GC38" s="603"/>
      <c r="GD38" s="580"/>
      <c r="GE38" s="603"/>
      <c r="GF38" s="580"/>
      <c r="GG38" s="603"/>
      <c r="GH38" s="580"/>
      <c r="GI38" s="603"/>
      <c r="GJ38" s="580"/>
      <c r="GK38" s="603"/>
      <c r="GL38" s="580"/>
      <c r="GM38" s="603"/>
      <c r="GN38" s="580"/>
      <c r="GO38" s="603"/>
      <c r="GP38" s="580"/>
      <c r="GQ38" s="603"/>
      <c r="GR38" s="580"/>
      <c r="GS38" s="580"/>
      <c r="GT38" s="603"/>
      <c r="GU38" s="580"/>
      <c r="GV38" s="580"/>
      <c r="GW38" s="1044"/>
      <c r="GX38" s="580"/>
      <c r="GY38" s="580"/>
      <c r="GZ38" s="1044"/>
      <c r="HA38" s="580"/>
      <c r="HB38" s="580"/>
      <c r="HC38" s="603"/>
      <c r="HD38" s="580"/>
      <c r="HE38" s="580"/>
      <c r="HF38" s="603"/>
      <c r="HG38" s="580"/>
      <c r="HH38" s="580"/>
      <c r="HI38" s="603"/>
      <c r="HJ38" s="580"/>
      <c r="HK38" s="580"/>
      <c r="HL38" s="603"/>
      <c r="HM38" s="580"/>
      <c r="HN38" s="580"/>
      <c r="HO38" s="603"/>
      <c r="HP38" s="580"/>
      <c r="HQ38" s="590"/>
      <c r="HR38" s="603"/>
      <c r="HS38" s="580"/>
      <c r="HT38" s="580"/>
      <c r="HU38" s="603"/>
      <c r="HV38" s="580"/>
      <c r="HW38" s="580"/>
      <c r="HX38" s="580"/>
      <c r="HY38" s="580"/>
      <c r="HZ38" s="580"/>
      <c r="IA38" s="603"/>
      <c r="IB38" s="580"/>
      <c r="IC38" s="198"/>
      <c r="ID38" s="198"/>
      <c r="IE38" s="198"/>
    </row>
    <row r="39" spans="1:266" ht="14.25" hidden="1" customHeight="1">
      <c r="A39" s="269"/>
      <c r="B39" s="269" t="s">
        <v>864</v>
      </c>
      <c r="C39" s="269"/>
      <c r="D39" s="270">
        <f>25939212.76-D37</f>
        <v>0</v>
      </c>
      <c r="E39" s="229"/>
      <c r="F39" s="271">
        <f>26289125.56-F37</f>
        <v>0</v>
      </c>
      <c r="G39" s="229"/>
      <c r="H39" s="271">
        <f>30252650.75-H37</f>
        <v>0</v>
      </c>
      <c r="I39" s="272"/>
      <c r="J39" s="273">
        <f>34224536.5-J37</f>
        <v>0</v>
      </c>
      <c r="K39" s="272"/>
      <c r="L39" s="274">
        <f>37006353.645-L37</f>
        <v>0</v>
      </c>
      <c r="M39" s="229"/>
      <c r="N39" s="274">
        <f>43518780.575-N37</f>
        <v>0</v>
      </c>
      <c r="O39" s="229"/>
      <c r="P39" s="271">
        <f>49752452.38-P37</f>
        <v>0</v>
      </c>
      <c r="Q39" s="229"/>
      <c r="R39" s="271">
        <f>51117935.97-R37</f>
        <v>0</v>
      </c>
      <c r="S39" s="229"/>
      <c r="T39" s="271">
        <f>56877976.93-T37</f>
        <v>0</v>
      </c>
      <c r="U39" s="275"/>
      <c r="V39" s="271">
        <f>63987830.1-V37</f>
        <v>0</v>
      </c>
      <c r="W39" s="275"/>
      <c r="X39" s="271">
        <f>63754655.35-X37</f>
        <v>0</v>
      </c>
      <c r="Y39" s="275"/>
      <c r="Z39" s="271">
        <f>Z37-('Notes - Dec25'!FG4+'Notes - Dec25'!FG5)</f>
        <v>0</v>
      </c>
      <c r="AA39" s="229"/>
      <c r="AB39" s="271">
        <f>AB37-('Notes - Dec25'!FE4+'Notes - Dec25'!FE5)</f>
        <v>0</v>
      </c>
      <c r="AC39" s="271"/>
      <c r="AD39" s="271">
        <f>AD37-('Notes - Dec25'!FC4+'Notes - Dec25'!FC5)</f>
        <v>0</v>
      </c>
      <c r="AE39" s="271"/>
      <c r="AF39" s="271">
        <f>AF37-('Notes - Dec25'!FA4+'Notes - Dec25'!FA5)</f>
        <v>0</v>
      </c>
      <c r="AG39" s="271"/>
      <c r="AH39" s="271">
        <f>AH37-('Notes - Dec25'!EY4+'Notes - Dec25'!EY5)</f>
        <v>0</v>
      </c>
      <c r="AI39" s="271"/>
      <c r="AJ39" s="271">
        <f>AJ37-('Notes - Dec25'!EW4+'Notes - Dec25'!EW5)</f>
        <v>0</v>
      </c>
      <c r="AK39" s="271"/>
      <c r="AL39" s="209">
        <f>AL37-('Notes - Dec25'!EU4+'Notes - Dec25'!EU5)</f>
        <v>-4.9999654293060303E-3</v>
      </c>
      <c r="AM39" s="229"/>
      <c r="AN39" s="209">
        <f>+AN37-('Notes - Dec25'!ES4+'Notes - Dec25'!ES5)</f>
        <v>-4.9999654293060303E-3</v>
      </c>
      <c r="AO39" s="209"/>
      <c r="AP39" s="209">
        <f>+AP37-('Notes - Dec25'!EQ4+'Notes - Dec25'!EQ5)</f>
        <v>0</v>
      </c>
      <c r="AQ39" s="209"/>
      <c r="AR39" s="209">
        <f>+AR37-('Notes - Dec25'!EO4+'Notes - Dec25'!EO5)</f>
        <v>0</v>
      </c>
      <c r="AS39" s="209"/>
      <c r="AT39" s="209">
        <f>+AT37-('Notes - Dec25'!EM4+'Notes - Dec25'!EM5)</f>
        <v>0</v>
      </c>
      <c r="AU39" s="229"/>
      <c r="AV39" s="209">
        <f>+AV37-('Notes - Dec25'!EK4+'Notes - Dec25'!EK5)</f>
        <v>0</v>
      </c>
      <c r="AW39" s="229"/>
      <c r="AX39" s="209">
        <f>+AX37-('Notes - Dec25'!EI4+'Notes - Dec25'!EI5)</f>
        <v>0</v>
      </c>
      <c r="AY39" s="229"/>
      <c r="AZ39" s="209">
        <f>+AZ37-('Notes - Dec25'!EG4+'Notes - Dec25'!EG5)</f>
        <v>0</v>
      </c>
      <c r="BA39" s="229"/>
      <c r="BB39" s="209">
        <f>+BB37-('Notes - Dec25'!EE4+'Notes - Dec25'!EE5)</f>
        <v>0</v>
      </c>
      <c r="BC39" s="229"/>
      <c r="BD39" s="209">
        <f>+BD37-('Notes - Dec25'!EC4+'Notes - Dec25'!EC5)</f>
        <v>-6.9999963045120239E-2</v>
      </c>
      <c r="BE39" s="229"/>
      <c r="BF39" s="209">
        <f>+BF37-('Notes - Dec25'!EA4+'Notes - Dec25'!EA5)</f>
        <v>-4.0000021457672119E-2</v>
      </c>
      <c r="BG39" s="229"/>
      <c r="BH39" s="271">
        <f>+BH37-('Notes - Dec25'!DY4+'Notes - Dec25'!DY5)</f>
        <v>0</v>
      </c>
      <c r="BI39" s="229"/>
      <c r="BJ39" s="271">
        <f>+BJ37-('Notes - Dec25'!DW4+'Notes - Dec25'!DW5)</f>
        <v>0</v>
      </c>
      <c r="BK39" s="229"/>
      <c r="BL39" s="271">
        <f>+BL37-('Notes - Dec25'!DU4+'Notes - Dec25'!DU5)</f>
        <v>0</v>
      </c>
      <c r="BM39" s="229"/>
      <c r="BN39" s="271">
        <f>+BN37-('Notes - Dec25'!DS4+'Notes - Dec25'!DS5)</f>
        <v>0</v>
      </c>
      <c r="BO39" s="229"/>
      <c r="BP39" s="271">
        <f>+BP37-('Notes - Dec25'!DQ4+'Notes - Dec25'!DQ5)</f>
        <v>0</v>
      </c>
      <c r="BQ39" s="229"/>
      <c r="BR39" s="271">
        <f>+BR37-('Notes - Dec25'!DO4+'Notes - Dec25'!DO5)</f>
        <v>2464417.4800000489</v>
      </c>
      <c r="BS39" s="229"/>
      <c r="BT39" s="271">
        <f>+BT37-('Notes - Dec25'!DM4+'Notes - Dec25'!DM5)</f>
        <v>0</v>
      </c>
      <c r="BU39" s="229"/>
      <c r="BV39" s="271">
        <f>+BV37-('Notes - Dec25'!DK4+'Notes - Dec25'!DK5)</f>
        <v>0</v>
      </c>
      <c r="BW39" s="229"/>
      <c r="BX39" s="271">
        <f>+BX37-('Notes - Dec25'!DI4+'Notes - Dec25'!DI5)</f>
        <v>0</v>
      </c>
      <c r="BY39" s="229"/>
      <c r="BZ39" s="271">
        <f>+BZ37-('Notes - Dec25'!DG4+'Notes - Dec25'!DG5)</f>
        <v>0</v>
      </c>
      <c r="CA39" s="229"/>
      <c r="CB39" s="271">
        <f>+CB37-('Notes - Dec25'!DE4+'Notes - Dec25'!DE5)</f>
        <v>0</v>
      </c>
      <c r="CC39" s="229"/>
      <c r="CD39" s="271">
        <f>+CD37-('Notes - Dec25'!DC4+'Notes - Dec25'!DC5)</f>
        <v>0</v>
      </c>
      <c r="CE39" s="229"/>
      <c r="CF39" s="271">
        <f>+CF37-('Notes - Dec25'!DA4+'Notes - Dec25'!DA5)</f>
        <v>0</v>
      </c>
      <c r="CG39" s="229"/>
      <c r="CH39" s="271">
        <f>+CH37-('Notes - Dec25'!CY4+'Notes - Dec25'!CY5)</f>
        <v>0</v>
      </c>
      <c r="CI39" s="229"/>
      <c r="CJ39" s="229"/>
      <c r="CK39" s="271"/>
      <c r="CL39" s="229"/>
      <c r="CM39" s="229"/>
      <c r="CN39" s="271"/>
      <c r="CO39" s="229"/>
      <c r="CP39" s="229"/>
      <c r="CQ39" s="271"/>
      <c r="CR39" s="229"/>
      <c r="CS39" s="229"/>
      <c r="CT39" s="271"/>
      <c r="CU39" s="229"/>
      <c r="CV39" s="276"/>
      <c r="CW39" s="271"/>
      <c r="CX39" s="229"/>
      <c r="CY39" s="441"/>
      <c r="CZ39" s="271"/>
      <c r="DA39" s="229"/>
      <c r="DB39" s="441"/>
      <c r="DC39" s="271"/>
      <c r="DD39" s="229"/>
      <c r="DE39" s="441"/>
      <c r="DF39" s="506"/>
      <c r="DG39" s="229"/>
      <c r="DH39" s="441"/>
      <c r="DI39" s="506"/>
      <c r="DJ39" s="229"/>
      <c r="DK39" s="441"/>
      <c r="DL39" s="506"/>
      <c r="DM39" s="229"/>
      <c r="DN39" s="441"/>
      <c r="DO39" s="506"/>
      <c r="DP39" s="229"/>
      <c r="DQ39" s="441"/>
      <c r="DR39" s="506"/>
      <c r="DS39" s="229"/>
      <c r="DT39" s="441"/>
      <c r="DU39" s="506"/>
      <c r="DV39" s="229"/>
      <c r="DW39" s="441"/>
      <c r="DX39" s="607"/>
      <c r="DY39" s="608"/>
      <c r="DZ39" s="608"/>
      <c r="EA39" s="607"/>
      <c r="EB39" s="608"/>
      <c r="EC39" s="608"/>
      <c r="ED39" s="607"/>
      <c r="EE39" s="608"/>
      <c r="EF39" s="608"/>
      <c r="EG39" s="271"/>
      <c r="EH39" s="229"/>
      <c r="EI39" s="441"/>
      <c r="EJ39" s="271"/>
      <c r="EK39" s="229"/>
      <c r="EL39" s="441"/>
      <c r="EM39" s="271"/>
      <c r="EN39" s="229"/>
      <c r="EO39" s="441"/>
      <c r="EP39" s="506"/>
      <c r="EQ39" s="229"/>
      <c r="ER39" s="441"/>
      <c r="ES39" s="506"/>
      <c r="ET39" s="229"/>
      <c r="EU39" s="441"/>
      <c r="EV39" s="506"/>
      <c r="EW39" s="229"/>
      <c r="EX39" s="441"/>
      <c r="EY39" s="506"/>
      <c r="EZ39" s="229"/>
      <c r="FA39" s="441"/>
      <c r="FB39" s="506"/>
      <c r="FC39" s="229"/>
      <c r="FD39" s="441"/>
      <c r="FE39" s="506"/>
      <c r="FF39" s="229"/>
      <c r="FG39" s="441"/>
      <c r="FH39" s="607"/>
      <c r="FI39" s="608"/>
      <c r="FJ39" s="608"/>
      <c r="FK39" s="607"/>
      <c r="FL39" s="608"/>
      <c r="FM39" s="608"/>
      <c r="FN39" s="607"/>
      <c r="FO39" s="608"/>
      <c r="FP39" s="608"/>
      <c r="FQ39" s="607"/>
      <c r="FR39" s="608"/>
      <c r="FS39" s="608"/>
      <c r="FT39" s="607"/>
      <c r="FU39" s="608"/>
      <c r="FV39" s="608"/>
      <c r="FW39" s="607"/>
      <c r="FX39" s="608"/>
      <c r="FY39" s="608"/>
      <c r="FZ39" s="607"/>
      <c r="GA39" s="608"/>
      <c r="GB39" s="608"/>
      <c r="GC39" s="607"/>
      <c r="GD39" s="608"/>
      <c r="GE39" s="607"/>
      <c r="GF39" s="608"/>
      <c r="GG39" s="607"/>
      <c r="GH39" s="608"/>
      <c r="GI39" s="607">
        <f>GI37-'Notes - Dec25'!AE6</f>
        <v>0</v>
      </c>
      <c r="GJ39" s="608"/>
      <c r="GK39" s="607">
        <f>GK37-'Notes - Dec25'!AC6</f>
        <v>0</v>
      </c>
      <c r="GL39" s="608"/>
      <c r="GM39" s="607">
        <f>GM37-'Notes - Dec25'!AA6</f>
        <v>0</v>
      </c>
      <c r="GN39" s="608"/>
      <c r="GO39" s="607">
        <f>GO37-'Notes - Dec25'!Y6</f>
        <v>0</v>
      </c>
      <c r="GP39" s="608"/>
      <c r="GQ39" s="607">
        <f>'Notes - Dec25'!W6-GQ37</f>
        <v>75874617.239999771</v>
      </c>
      <c r="GR39" s="607" t="s">
        <v>854</v>
      </c>
      <c r="GS39" s="607"/>
      <c r="GT39" s="607">
        <f>'Notes - Dec25'!U6-GT37</f>
        <v>75874617.240000725</v>
      </c>
      <c r="GU39" s="607"/>
      <c r="GV39" s="607"/>
      <c r="GW39" s="1045">
        <f>'Notes - Dec25'!S6-GW37</f>
        <v>75874617.240000248</v>
      </c>
      <c r="GX39" s="607"/>
      <c r="GY39" s="607"/>
      <c r="GZ39" s="1045">
        <f>'Notes - Dec25'!Q6-GZ37</f>
        <v>75874617.239999771</v>
      </c>
      <c r="HA39" s="607"/>
      <c r="HB39" s="607"/>
      <c r="HC39" s="607">
        <f>'Notes - Dec25'!O6-HC37</f>
        <v>73565969.239999771</v>
      </c>
      <c r="HD39" s="607"/>
      <c r="HE39" s="607"/>
      <c r="HF39" s="607">
        <f>'Notes - Dec25'!M6-HF37</f>
        <v>75874617.24000001</v>
      </c>
      <c r="HG39" s="607"/>
      <c r="HH39" s="607"/>
      <c r="HI39" s="607">
        <f>'Notes - Dec25'!K6-HI37</f>
        <v>4.2855739593505859E-3</v>
      </c>
      <c r="HJ39" s="607"/>
      <c r="HK39" s="607"/>
      <c r="HL39" s="607">
        <f>'Notes - Dec25'!I6-HL37</f>
        <v>0</v>
      </c>
      <c r="HM39" s="607"/>
      <c r="HN39" s="607"/>
      <c r="HO39" s="607">
        <f>'Notes - Dec25'!G6-HO37</f>
        <v>-3.2114982604980469E-3</v>
      </c>
      <c r="HP39" s="607"/>
      <c r="HQ39" s="608"/>
      <c r="HR39" s="607">
        <f>'Notes - Dec25'!J6-HR37</f>
        <v>-1764747057.5890291</v>
      </c>
      <c r="HS39" s="607"/>
      <c r="HT39" s="608"/>
      <c r="HU39" s="607">
        <f>'Notes - Dec25'!M6-HU37</f>
        <v>102160878.33410954</v>
      </c>
      <c r="HV39" s="607"/>
      <c r="HW39" s="608"/>
      <c r="HX39" s="608"/>
      <c r="HY39" s="608"/>
      <c r="HZ39" s="608"/>
      <c r="IA39" s="607"/>
      <c r="IB39" s="608"/>
      <c r="IC39" s="276"/>
      <c r="ID39" s="276"/>
      <c r="IE39" s="276"/>
      <c r="IF39" s="269"/>
      <c r="IG39" s="269"/>
      <c r="IH39" s="269"/>
      <c r="II39" s="269"/>
      <c r="IJ39" s="269"/>
    </row>
    <row r="40" spans="1:266" ht="14.4" hidden="1">
      <c r="A40" s="584"/>
      <c r="D40" s="267"/>
      <c r="E40" s="234"/>
      <c r="F40" s="240"/>
      <c r="G40" s="234"/>
      <c r="H40" s="157"/>
      <c r="I40" s="268"/>
      <c r="J40" s="157"/>
      <c r="K40" s="268"/>
      <c r="L40" s="157"/>
      <c r="M40" s="234"/>
      <c r="N40" s="157"/>
      <c r="O40" s="234"/>
      <c r="P40" s="157"/>
      <c r="Q40" s="234"/>
      <c r="R40" s="157"/>
      <c r="S40" s="234"/>
      <c r="T40" s="157"/>
      <c r="U40" s="234"/>
      <c r="V40" s="157"/>
      <c r="W40" s="234"/>
      <c r="X40" s="157"/>
      <c r="Y40" s="234"/>
      <c r="Z40" s="157"/>
      <c r="AA40" s="234"/>
      <c r="AB40" s="157"/>
      <c r="AC40" s="234"/>
      <c r="AD40" s="157"/>
      <c r="AE40" s="234"/>
      <c r="AF40" s="157"/>
      <c r="AG40" s="234"/>
      <c r="AH40" s="157"/>
      <c r="AI40" s="234"/>
      <c r="AJ40" s="157"/>
      <c r="AK40" s="234"/>
      <c r="AL40" s="157"/>
      <c r="AM40" s="234"/>
      <c r="AN40" s="157"/>
      <c r="AO40" s="234"/>
      <c r="AP40" s="157"/>
      <c r="AQ40" s="234"/>
      <c r="AR40" s="157"/>
      <c r="AS40" s="234"/>
      <c r="AT40" s="157"/>
      <c r="AU40" s="234"/>
      <c r="AV40" s="157"/>
      <c r="AW40" s="234"/>
      <c r="AX40" s="157"/>
      <c r="AY40" s="234"/>
      <c r="AZ40" s="157"/>
      <c r="BA40" s="234"/>
      <c r="BB40" s="157"/>
      <c r="BC40" s="234"/>
      <c r="BD40" s="157"/>
      <c r="BE40" s="234"/>
      <c r="BF40" s="157"/>
      <c r="BG40" s="234"/>
      <c r="BH40" s="157"/>
      <c r="BI40" s="234"/>
      <c r="BJ40" s="157"/>
      <c r="BK40" s="234"/>
      <c r="BL40" s="157"/>
      <c r="BM40" s="234"/>
      <c r="BN40" s="157"/>
      <c r="BO40" s="234"/>
      <c r="BP40" s="157"/>
      <c r="BQ40" s="234"/>
      <c r="BR40" s="157"/>
      <c r="BS40" s="234"/>
      <c r="BT40" s="157"/>
      <c r="BU40" s="234"/>
      <c r="BV40" s="157"/>
      <c r="BW40" s="234"/>
      <c r="BX40" s="157"/>
      <c r="BY40" s="234"/>
      <c r="BZ40" s="157"/>
      <c r="CA40" s="234"/>
      <c r="CB40" s="157"/>
      <c r="CC40" s="234"/>
      <c r="CD40" s="157"/>
      <c r="CE40" s="234"/>
      <c r="CF40" s="157"/>
      <c r="CG40" s="234"/>
      <c r="CH40" s="157"/>
      <c r="CI40" s="234"/>
      <c r="CJ40" s="234"/>
      <c r="CK40" s="157"/>
      <c r="CL40" s="234"/>
      <c r="CM40" s="234"/>
      <c r="CN40" s="157"/>
      <c r="CO40" s="234"/>
      <c r="CP40" s="234"/>
      <c r="CQ40" s="157"/>
      <c r="CR40" s="234"/>
      <c r="CS40" s="234"/>
      <c r="CT40" s="157"/>
      <c r="CU40" s="234"/>
      <c r="CV40" s="198"/>
      <c r="CW40" s="157"/>
      <c r="CX40" s="234"/>
      <c r="CY40" s="436"/>
      <c r="CZ40" s="157"/>
      <c r="DA40" s="234"/>
      <c r="DB40" s="436"/>
      <c r="DC40" s="157"/>
      <c r="DD40" s="234"/>
      <c r="DE40" s="436"/>
      <c r="DF40" s="501"/>
      <c r="DG40" s="234"/>
      <c r="DH40" s="436"/>
      <c r="DI40" s="501"/>
      <c r="DJ40" s="234"/>
      <c r="DK40" s="436"/>
      <c r="DL40" s="501"/>
      <c r="DM40" s="234"/>
      <c r="DN40" s="436"/>
      <c r="DO40" s="501"/>
      <c r="DP40" s="234"/>
      <c r="DQ40" s="436"/>
      <c r="DR40" s="501"/>
      <c r="DS40" s="234"/>
      <c r="DT40" s="436"/>
      <c r="DU40" s="501"/>
      <c r="DV40" s="234"/>
      <c r="DW40" s="436"/>
      <c r="DX40" s="511"/>
      <c r="DY40" s="580"/>
      <c r="DZ40" s="580"/>
      <c r="EA40" s="511"/>
      <c r="EB40" s="580"/>
      <c r="EC40" s="580"/>
      <c r="ED40" s="511"/>
      <c r="EE40" s="580"/>
      <c r="EF40" s="580"/>
      <c r="EG40" s="157"/>
      <c r="EH40" s="234"/>
      <c r="EI40" s="436"/>
      <c r="EJ40" s="157"/>
      <c r="EK40" s="234"/>
      <c r="EL40" s="436"/>
      <c r="EM40" s="157"/>
      <c r="EN40" s="234"/>
      <c r="EO40" s="436"/>
      <c r="EP40" s="501"/>
      <c r="EQ40" s="234"/>
      <c r="ER40" s="436"/>
      <c r="ES40" s="501"/>
      <c r="ET40" s="234"/>
      <c r="EU40" s="436"/>
      <c r="EV40" s="501"/>
      <c r="EW40" s="234"/>
      <c r="EX40" s="436"/>
      <c r="EY40" s="501"/>
      <c r="EZ40" s="234"/>
      <c r="FA40" s="436"/>
      <c r="FB40" s="501"/>
      <c r="FC40" s="234"/>
      <c r="FD40" s="436"/>
      <c r="FE40" s="501"/>
      <c r="FF40" s="234"/>
      <c r="FG40" s="436"/>
      <c r="FH40" s="511"/>
      <c r="FI40" s="580"/>
      <c r="FJ40" s="580"/>
      <c r="FK40" s="511"/>
      <c r="FL40" s="580"/>
      <c r="FM40" s="580"/>
      <c r="FN40" s="511"/>
      <c r="FO40" s="580"/>
      <c r="FP40" s="580"/>
      <c r="FQ40" s="511"/>
      <c r="FR40" s="580"/>
      <c r="FS40" s="580"/>
      <c r="FT40" s="511"/>
      <c r="FU40" s="580"/>
      <c r="FV40" s="580"/>
      <c r="FW40" s="511"/>
      <c r="FX40" s="580"/>
      <c r="FY40" s="580"/>
      <c r="FZ40" s="511"/>
      <c r="GA40" s="580"/>
      <c r="GB40" s="580"/>
      <c r="GC40" s="511"/>
      <c r="GD40" s="580"/>
      <c r="GE40" s="511"/>
      <c r="GF40" s="580"/>
      <c r="GG40" s="511"/>
      <c r="GH40" s="580"/>
      <c r="GI40" s="511"/>
      <c r="GJ40" s="580"/>
      <c r="GK40" s="511"/>
      <c r="GL40" s="580"/>
      <c r="GM40" s="511"/>
      <c r="GN40" s="580"/>
      <c r="GO40" s="511"/>
      <c r="GP40" s="580"/>
      <c r="GQ40" s="511"/>
      <c r="GR40" s="580"/>
      <c r="GS40" s="580"/>
      <c r="GT40" s="511"/>
      <c r="GU40" s="580"/>
      <c r="GV40" s="580"/>
      <c r="GW40" s="545"/>
      <c r="GX40" s="580"/>
      <c r="GY40" s="580"/>
      <c r="GZ40" s="545"/>
      <c r="HA40" s="580"/>
      <c r="HB40" s="580"/>
      <c r="HC40" s="1065"/>
      <c r="HD40" s="580"/>
      <c r="HE40" s="580"/>
      <c r="HF40" s="511"/>
      <c r="HG40" s="580"/>
      <c r="HH40" s="580"/>
      <c r="HI40" s="511"/>
      <c r="HJ40" s="580"/>
      <c r="HK40" s="580"/>
      <c r="HL40" s="511"/>
      <c r="HM40" s="580"/>
      <c r="HN40" s="580"/>
      <c r="HO40" s="511"/>
      <c r="HP40" s="580"/>
      <c r="HQ40" s="580"/>
      <c r="HR40" s="511"/>
      <c r="HS40" s="580"/>
      <c r="HT40" s="580"/>
      <c r="HU40" s="511"/>
      <c r="HV40" s="580"/>
      <c r="HW40" s="580"/>
      <c r="HX40" s="580"/>
      <c r="HY40" s="580"/>
      <c r="HZ40" s="580"/>
      <c r="IA40" s="511"/>
      <c r="IB40" s="580"/>
      <c r="IC40" s="198"/>
      <c r="ID40" s="198"/>
      <c r="IE40" s="198"/>
    </row>
    <row r="41" spans="1:266" ht="14.4" hidden="1" customHeight="1">
      <c r="A41" s="585" t="s">
        <v>458</v>
      </c>
      <c r="B41" s="230"/>
      <c r="D41" s="267"/>
      <c r="E41" s="234"/>
      <c r="F41" s="240"/>
      <c r="G41" s="234"/>
      <c r="H41" s="157"/>
      <c r="I41" s="268"/>
      <c r="J41" s="157"/>
      <c r="K41" s="268"/>
      <c r="L41" s="157"/>
      <c r="M41" s="234"/>
      <c r="N41" s="157"/>
      <c r="O41" s="234"/>
      <c r="P41" s="157"/>
      <c r="Q41" s="234"/>
      <c r="R41" s="157"/>
      <c r="S41" s="234"/>
      <c r="T41" s="157"/>
      <c r="U41" s="234"/>
      <c r="V41" s="157"/>
      <c r="W41" s="234"/>
      <c r="X41" s="157"/>
      <c r="Y41" s="234"/>
      <c r="Z41" s="157"/>
      <c r="AA41" s="234"/>
      <c r="AB41" s="157"/>
      <c r="AC41" s="234"/>
      <c r="AD41" s="157"/>
      <c r="AE41" s="234"/>
      <c r="AF41" s="157"/>
      <c r="AG41" s="234"/>
      <c r="AH41" s="157"/>
      <c r="AI41" s="234"/>
      <c r="AJ41" s="157"/>
      <c r="AK41" s="234"/>
      <c r="AL41" s="157"/>
      <c r="AM41" s="234"/>
      <c r="AN41" s="157"/>
      <c r="AO41" s="234"/>
      <c r="AP41" s="157"/>
      <c r="AQ41" s="234"/>
      <c r="AR41" s="157"/>
      <c r="AS41" s="234"/>
      <c r="AT41" s="157"/>
      <c r="AU41" s="234"/>
      <c r="AV41" s="157"/>
      <c r="AW41" s="234"/>
      <c r="AX41" s="157"/>
      <c r="AY41" s="234"/>
      <c r="AZ41" s="157"/>
      <c r="BA41" s="234"/>
      <c r="BB41" s="157"/>
      <c r="BC41" s="234"/>
      <c r="BD41" s="157"/>
      <c r="BE41" s="234"/>
      <c r="BF41" s="157"/>
      <c r="BG41" s="234"/>
      <c r="BH41" s="157"/>
      <c r="BI41" s="234"/>
      <c r="BJ41" s="157"/>
      <c r="BK41" s="234"/>
      <c r="BL41" s="157"/>
      <c r="BM41" s="234"/>
      <c r="BN41" s="157"/>
      <c r="BO41" s="234"/>
      <c r="BP41" s="157"/>
      <c r="BQ41" s="234"/>
      <c r="BR41" s="157"/>
      <c r="BS41" s="234"/>
      <c r="BT41" s="157"/>
      <c r="BU41" s="234"/>
      <c r="BV41" s="157"/>
      <c r="BW41" s="234"/>
      <c r="BX41" s="157"/>
      <c r="BY41" s="234"/>
      <c r="BZ41" s="157"/>
      <c r="CA41" s="234"/>
      <c r="CB41" s="157"/>
      <c r="CC41" s="234"/>
      <c r="CD41" s="157"/>
      <c r="CE41" s="234"/>
      <c r="CF41" s="157"/>
      <c r="CG41" s="234"/>
      <c r="CH41" s="157"/>
      <c r="CI41" s="234"/>
      <c r="CJ41" s="234"/>
      <c r="CK41" s="157">
        <v>3</v>
      </c>
      <c r="CL41" s="234"/>
      <c r="CM41" s="234"/>
      <c r="CN41" s="157">
        <v>12</v>
      </c>
      <c r="CO41" s="234"/>
      <c r="CP41" s="234"/>
      <c r="CQ41" s="157">
        <v>9</v>
      </c>
      <c r="CR41" s="234"/>
      <c r="CS41" s="234"/>
      <c r="CT41" s="157">
        <v>12</v>
      </c>
      <c r="CU41" s="234"/>
      <c r="CV41" s="198"/>
      <c r="CW41" s="157">
        <v>12</v>
      </c>
      <c r="CX41" s="234"/>
      <c r="CY41" s="436"/>
      <c r="CZ41" s="157">
        <v>12</v>
      </c>
      <c r="DA41" s="234"/>
      <c r="DB41" s="436"/>
      <c r="DC41" s="157">
        <v>12</v>
      </c>
      <c r="DD41" s="234"/>
      <c r="DE41" s="436"/>
      <c r="DF41" s="501">
        <v>12</v>
      </c>
      <c r="DG41" s="234"/>
      <c r="DH41" s="436"/>
      <c r="DI41" s="501">
        <v>12</v>
      </c>
      <c r="DJ41" s="234"/>
      <c r="DK41" s="436"/>
      <c r="DL41" s="501">
        <v>12</v>
      </c>
      <c r="DM41" s="234"/>
      <c r="DN41" s="436"/>
      <c r="DO41" s="501">
        <v>12</v>
      </c>
      <c r="DP41" s="234"/>
      <c r="DQ41" s="436"/>
      <c r="DR41" s="501">
        <v>12</v>
      </c>
      <c r="DS41" s="234"/>
      <c r="DT41" s="436"/>
      <c r="DU41" s="501">
        <v>12</v>
      </c>
      <c r="DV41" s="234"/>
      <c r="DW41" s="436"/>
      <c r="DX41" s="511">
        <v>12</v>
      </c>
      <c r="DY41" s="580"/>
      <c r="DZ41" s="580"/>
      <c r="EA41" s="511">
        <v>12</v>
      </c>
      <c r="EB41" s="580"/>
      <c r="EC41" s="580"/>
      <c r="ED41" s="511">
        <v>12</v>
      </c>
      <c r="EE41" s="580"/>
      <c r="EF41" s="580"/>
      <c r="EG41" s="157">
        <v>12</v>
      </c>
      <c r="EH41" s="234"/>
      <c r="EI41" s="436"/>
      <c r="EJ41" s="157">
        <v>12</v>
      </c>
      <c r="EK41" s="234"/>
      <c r="EL41" s="436"/>
      <c r="EM41" s="157">
        <v>12</v>
      </c>
      <c r="EN41" s="234"/>
      <c r="EO41" s="436"/>
      <c r="EP41" s="501">
        <v>12</v>
      </c>
      <c r="EQ41" s="234"/>
      <c r="ER41" s="436"/>
      <c r="ES41" s="501">
        <v>12</v>
      </c>
      <c r="ET41" s="234"/>
      <c r="EU41" s="436"/>
      <c r="EV41" s="501">
        <v>12</v>
      </c>
      <c r="EW41" s="234"/>
      <c r="EX41" s="436"/>
      <c r="EY41" s="501">
        <v>9</v>
      </c>
      <c r="EZ41" s="234"/>
      <c r="FA41" s="436"/>
      <c r="FB41" s="501">
        <v>12</v>
      </c>
      <c r="FC41" s="234"/>
      <c r="FD41" s="436"/>
      <c r="FE41" s="501">
        <v>9</v>
      </c>
      <c r="FF41" s="234"/>
      <c r="FG41" s="436"/>
      <c r="FH41" s="511">
        <v>1</v>
      </c>
      <c r="FI41" s="580"/>
      <c r="FJ41" s="580"/>
      <c r="FK41" s="511">
        <v>3</v>
      </c>
      <c r="FL41" s="580"/>
      <c r="FM41" s="580"/>
      <c r="FN41" s="511">
        <v>12</v>
      </c>
      <c r="FO41" s="580"/>
      <c r="FP41" s="580"/>
      <c r="FQ41" s="511">
        <v>9</v>
      </c>
      <c r="FR41" s="580"/>
      <c r="FS41" s="580"/>
      <c r="FT41" s="511">
        <v>9</v>
      </c>
      <c r="FU41" s="580"/>
      <c r="FV41" s="580"/>
      <c r="FW41" s="511">
        <v>9</v>
      </c>
      <c r="FX41" s="580"/>
      <c r="FY41" s="580"/>
      <c r="FZ41" s="511">
        <v>12</v>
      </c>
      <c r="GA41" s="580"/>
      <c r="GB41" s="580"/>
      <c r="GC41" s="511">
        <v>9</v>
      </c>
      <c r="GD41" s="580"/>
      <c r="GE41" s="511">
        <v>3</v>
      </c>
      <c r="GF41" s="580"/>
      <c r="GG41" s="511">
        <v>3</v>
      </c>
      <c r="GH41" s="580"/>
      <c r="GI41" s="511">
        <v>1</v>
      </c>
      <c r="GJ41" s="580"/>
      <c r="GK41" s="511">
        <v>1</v>
      </c>
      <c r="GL41" s="580"/>
      <c r="GM41" s="511">
        <v>18</v>
      </c>
      <c r="GN41" s="580"/>
      <c r="GO41" s="511">
        <v>18</v>
      </c>
      <c r="GP41" s="580"/>
      <c r="GQ41" s="511">
        <v>9</v>
      </c>
      <c r="GR41" s="580"/>
      <c r="GS41" s="580"/>
      <c r="GT41" s="511">
        <v>1</v>
      </c>
      <c r="GU41" s="580"/>
      <c r="GV41" s="580"/>
      <c r="GW41" s="545">
        <v>9</v>
      </c>
      <c r="GX41" s="580"/>
      <c r="GY41" s="580"/>
      <c r="GZ41" s="545">
        <v>1</v>
      </c>
      <c r="HA41" s="580"/>
      <c r="HB41" s="580"/>
      <c r="HC41" s="1065">
        <v>9</v>
      </c>
      <c r="HD41" s="580"/>
      <c r="HE41" s="580"/>
      <c r="HF41" s="511">
        <v>9</v>
      </c>
      <c r="HG41" s="580"/>
      <c r="HH41" s="580"/>
      <c r="HI41" s="511">
        <v>9</v>
      </c>
      <c r="HJ41" s="580"/>
      <c r="HK41" s="580"/>
      <c r="HL41" s="511">
        <v>9</v>
      </c>
      <c r="HM41" s="580"/>
      <c r="HN41" s="580"/>
      <c r="HO41" s="511">
        <v>9</v>
      </c>
      <c r="HP41" s="580"/>
      <c r="HQ41" s="580"/>
      <c r="HR41" s="511">
        <v>9</v>
      </c>
      <c r="HS41" s="580"/>
      <c r="HT41" s="580"/>
      <c r="HU41" s="511">
        <v>9</v>
      </c>
      <c r="HV41" s="580"/>
      <c r="HW41" s="580"/>
      <c r="HX41" s="580"/>
      <c r="HY41" s="580"/>
      <c r="HZ41" s="580"/>
      <c r="IA41" s="511">
        <v>12</v>
      </c>
      <c r="IB41" s="580"/>
      <c r="IC41" s="198"/>
      <c r="ID41" s="198"/>
      <c r="IE41" s="198"/>
    </row>
    <row r="42" spans="1:266" ht="14.4" hidden="1" customHeight="1">
      <c r="A42" s="584"/>
      <c r="B42" s="212" t="s">
        <v>448</v>
      </c>
      <c r="E42" s="234"/>
      <c r="F42" s="240"/>
      <c r="G42" s="234"/>
      <c r="H42" s="157"/>
      <c r="I42" s="234"/>
      <c r="J42" s="157"/>
      <c r="K42" s="234"/>
      <c r="L42" s="157"/>
      <c r="M42" s="234"/>
      <c r="N42" s="157"/>
      <c r="O42" s="234"/>
      <c r="P42" s="157"/>
      <c r="Q42" s="234"/>
      <c r="R42" s="157"/>
      <c r="S42" s="234"/>
      <c r="T42" s="157"/>
      <c r="U42" s="234"/>
      <c r="V42" s="157"/>
      <c r="W42" s="234"/>
      <c r="X42" s="157"/>
      <c r="Y42" s="234"/>
      <c r="Z42" s="157"/>
      <c r="AA42" s="234"/>
      <c r="AB42" s="157"/>
      <c r="AC42" s="234"/>
      <c r="AD42" s="157"/>
      <c r="AE42" s="234"/>
      <c r="AF42" s="157"/>
      <c r="AG42" s="234"/>
      <c r="AH42" s="157"/>
      <c r="AI42" s="234"/>
      <c r="AJ42" s="157"/>
      <c r="AK42" s="234"/>
      <c r="AL42" s="157"/>
      <c r="AM42" s="234"/>
      <c r="AN42" s="157"/>
      <c r="AO42" s="234"/>
      <c r="AP42" s="157"/>
      <c r="AQ42" s="234"/>
      <c r="AR42" s="157"/>
      <c r="AS42" s="234"/>
      <c r="AT42" s="157"/>
      <c r="AU42" s="234"/>
      <c r="AV42" s="157"/>
      <c r="AW42" s="234"/>
      <c r="AX42" s="157"/>
      <c r="AY42" s="234"/>
      <c r="AZ42" s="157"/>
      <c r="BA42" s="234"/>
      <c r="BB42" s="157"/>
      <c r="BC42" s="234"/>
      <c r="BD42" s="157"/>
      <c r="BE42" s="234"/>
      <c r="BF42" s="157"/>
      <c r="BG42" s="234"/>
      <c r="BH42" s="157"/>
      <c r="BI42" s="234"/>
      <c r="BJ42" s="157"/>
      <c r="BK42" s="234"/>
      <c r="BL42" s="157"/>
      <c r="BM42" s="234"/>
      <c r="BN42" s="157"/>
      <c r="BO42" s="234"/>
      <c r="BP42" s="157"/>
      <c r="BQ42" s="234"/>
      <c r="BR42" s="157"/>
      <c r="BS42" s="234"/>
      <c r="BT42" s="157"/>
      <c r="BU42" s="234"/>
      <c r="BV42" s="157"/>
      <c r="BW42" s="234"/>
      <c r="BX42" s="157"/>
      <c r="BY42" s="234"/>
      <c r="BZ42" s="157"/>
      <c r="CA42" s="234"/>
      <c r="CB42" s="157"/>
      <c r="CC42" s="234"/>
      <c r="CD42" s="157"/>
      <c r="CE42" s="234"/>
      <c r="CF42" s="157"/>
      <c r="CG42" s="234"/>
      <c r="CH42" s="157"/>
      <c r="CI42" s="234"/>
      <c r="CJ42" s="234"/>
      <c r="CK42" s="157"/>
      <c r="CL42" s="234"/>
      <c r="CM42" s="234"/>
      <c r="CN42" s="157"/>
      <c r="CO42" s="234"/>
      <c r="CP42" s="234"/>
      <c r="CQ42" s="157"/>
      <c r="CR42" s="234"/>
      <c r="CS42" s="234"/>
      <c r="CT42" s="157"/>
      <c r="CU42" s="234"/>
      <c r="CV42" s="198"/>
      <c r="CW42" s="157"/>
      <c r="CX42" s="234"/>
      <c r="CY42" s="436"/>
      <c r="CZ42" s="157"/>
      <c r="DA42" s="234"/>
      <c r="DB42" s="436"/>
      <c r="DC42" s="157"/>
      <c r="DD42" s="234"/>
      <c r="DE42" s="436"/>
      <c r="DF42" s="501"/>
      <c r="DG42" s="234"/>
      <c r="DH42" s="436"/>
      <c r="DI42" s="501"/>
      <c r="DJ42" s="234"/>
      <c r="DK42" s="436"/>
      <c r="DL42" s="501"/>
      <c r="DM42" s="234"/>
      <c r="DN42" s="436"/>
      <c r="DO42" s="501"/>
      <c r="DP42" s="234"/>
      <c r="DQ42" s="436"/>
      <c r="DR42" s="501"/>
      <c r="DS42" s="234"/>
      <c r="DT42" s="436"/>
      <c r="DU42" s="501"/>
      <c r="DV42" s="234"/>
      <c r="DW42" s="436"/>
      <c r="DX42" s="511"/>
      <c r="DY42" s="580"/>
      <c r="DZ42" s="580"/>
      <c r="EA42" s="511"/>
      <c r="EB42" s="580"/>
      <c r="EC42" s="580"/>
      <c r="ED42" s="511"/>
      <c r="EE42" s="580"/>
      <c r="EF42" s="580"/>
      <c r="EG42" s="157"/>
      <c r="EH42" s="234"/>
      <c r="EI42" s="436"/>
      <c r="EJ42" s="157"/>
      <c r="EK42" s="234"/>
      <c r="EL42" s="436"/>
      <c r="EM42" s="157"/>
      <c r="EN42" s="234"/>
      <c r="EO42" s="436"/>
      <c r="EP42" s="501"/>
      <c r="EQ42" s="234"/>
      <c r="ER42" s="436"/>
      <c r="ES42" s="501"/>
      <c r="ET42" s="234"/>
      <c r="EU42" s="436"/>
      <c r="EV42" s="501"/>
      <c r="EW42" s="234"/>
      <c r="EX42" s="436"/>
      <c r="EY42" s="501"/>
      <c r="EZ42" s="234"/>
      <c r="FA42" s="436"/>
      <c r="FB42" s="501"/>
      <c r="FC42" s="234"/>
      <c r="FD42" s="436"/>
      <c r="FE42" s="501"/>
      <c r="FF42" s="234"/>
      <c r="FG42" s="436"/>
      <c r="FH42" s="511"/>
      <c r="FI42" s="580"/>
      <c r="FJ42" s="580"/>
      <c r="FK42" s="511"/>
      <c r="FL42" s="580"/>
      <c r="FM42" s="580"/>
      <c r="FN42" s="511"/>
      <c r="FO42" s="580"/>
      <c r="FP42" s="580"/>
      <c r="FQ42" s="511"/>
      <c r="FR42" s="580"/>
      <c r="FS42" s="580"/>
      <c r="FT42" s="511"/>
      <c r="FU42" s="580"/>
      <c r="FV42" s="580"/>
      <c r="FW42" s="511"/>
      <c r="FX42" s="580"/>
      <c r="FY42" s="580"/>
      <c r="FZ42" s="511"/>
      <c r="GA42" s="580"/>
      <c r="GB42" s="580"/>
      <c r="GC42" s="511"/>
      <c r="GD42" s="580"/>
      <c r="GE42" s="511"/>
      <c r="GF42" s="580"/>
      <c r="GG42" s="511"/>
      <c r="GH42" s="580"/>
      <c r="GI42" s="511"/>
      <c r="GJ42" s="580"/>
      <c r="GK42" s="511"/>
      <c r="GL42" s="580"/>
      <c r="GM42" s="511"/>
      <c r="GN42" s="580"/>
      <c r="GO42" s="511"/>
      <c r="GP42" s="580"/>
      <c r="GQ42" s="511"/>
      <c r="GR42" s="580"/>
      <c r="GS42" s="580"/>
      <c r="GT42" s="511"/>
      <c r="GU42" s="580"/>
      <c r="GV42" s="580"/>
      <c r="GW42" s="545"/>
      <c r="GX42" s="580"/>
      <c r="GY42" s="580"/>
      <c r="GZ42" s="545"/>
      <c r="HA42" s="580"/>
      <c r="HB42" s="580"/>
      <c r="HC42" s="1065"/>
      <c r="HD42" s="580"/>
      <c r="HE42" s="580"/>
      <c r="HF42" s="511"/>
      <c r="HG42" s="580"/>
      <c r="HH42" s="580"/>
      <c r="HI42" s="511"/>
      <c r="HJ42" s="580"/>
      <c r="HK42" s="580"/>
      <c r="HL42" s="511"/>
      <c r="HM42" s="580"/>
      <c r="HN42" s="580"/>
      <c r="HO42" s="511"/>
      <c r="HP42" s="580"/>
      <c r="HQ42" s="580"/>
      <c r="HR42" s="511"/>
      <c r="HS42" s="580"/>
      <c r="HT42" s="580"/>
      <c r="HU42" s="511"/>
      <c r="HV42" s="580"/>
      <c r="HW42" s="580"/>
      <c r="HX42" s="580"/>
      <c r="HY42" s="580"/>
      <c r="HZ42" s="580"/>
      <c r="IA42" s="511"/>
      <c r="IB42" s="580"/>
      <c r="IC42" s="198"/>
      <c r="ID42" s="198"/>
      <c r="IE42" s="198"/>
      <c r="JB42">
        <v>1</v>
      </c>
      <c r="JC42">
        <v>3</v>
      </c>
      <c r="JD42">
        <v>6</v>
      </c>
      <c r="JE42">
        <v>9</v>
      </c>
      <c r="JF42">
        <v>12</v>
      </c>
    </row>
    <row r="43" spans="1:266" ht="14.4" hidden="1" customHeight="1">
      <c r="A43" s="586">
        <v>3</v>
      </c>
      <c r="B43" s="242" t="s">
        <v>450</v>
      </c>
      <c r="D43" s="244">
        <f t="shared" ref="D43:D50" si="5">D18/$A18*3</f>
        <v>0</v>
      </c>
      <c r="E43" s="247">
        <f t="shared" ref="E43:E50" si="6">+D43/D$61</f>
        <v>0</v>
      </c>
      <c r="F43" s="244">
        <f t="shared" ref="F43:F50" si="7">F18/$A18*3</f>
        <v>0</v>
      </c>
      <c r="G43" s="247">
        <f t="shared" ref="G43:G50" si="8">+F43/F$61</f>
        <v>0</v>
      </c>
      <c r="H43" s="244">
        <f t="shared" ref="H43:H50" si="9">H18/$A18*3</f>
        <v>0</v>
      </c>
      <c r="I43" s="247">
        <f t="shared" ref="I43:I50" si="10">+H43/H$61</f>
        <v>0</v>
      </c>
      <c r="J43" s="244">
        <f t="shared" ref="J43:J50" si="11">J18/$A18*3</f>
        <v>0</v>
      </c>
      <c r="K43" s="247">
        <f t="shared" ref="K43:K50" si="12">+J43/J$61</f>
        <v>0</v>
      </c>
      <c r="L43" s="244">
        <f t="shared" ref="L43:L50" si="13">L18/$A18*3</f>
        <v>0</v>
      </c>
      <c r="M43" s="247">
        <f t="shared" ref="M43:M50" si="14">+L43/L$61</f>
        <v>0</v>
      </c>
      <c r="N43" s="244">
        <f t="shared" ref="N43:N50" si="15">N18/$A18*3</f>
        <v>0</v>
      </c>
      <c r="O43" s="247">
        <f t="shared" ref="O43:O50" si="16">+N43/N$61</f>
        <v>0</v>
      </c>
      <c r="P43" s="244">
        <f t="shared" ref="P43:P50" si="17">P18/$A18*3</f>
        <v>0</v>
      </c>
      <c r="Q43" s="247">
        <f t="shared" ref="Q43:Q50" si="18">+P43/P$61</f>
        <v>0</v>
      </c>
      <c r="R43" s="244">
        <f t="shared" ref="R43:R50" si="19">R18/$A18*3</f>
        <v>0</v>
      </c>
      <c r="S43" s="247">
        <f t="shared" ref="S43:S50" si="20">+R43/R$61</f>
        <v>0</v>
      </c>
      <c r="T43" s="244">
        <f t="shared" ref="T43:T50" si="21">T18/$A18*3</f>
        <v>0</v>
      </c>
      <c r="U43" s="247">
        <f t="shared" ref="U43:U50" si="22">+T43/T$61</f>
        <v>0</v>
      </c>
      <c r="V43" s="244">
        <f t="shared" ref="V43:V50" si="23">V18/$A18*3</f>
        <v>0</v>
      </c>
      <c r="W43" s="247">
        <f t="shared" ref="W43:W50" si="24">+V43/V$61</f>
        <v>0</v>
      </c>
      <c r="X43" s="244">
        <f t="shared" ref="X43:X50" si="25">X18/$A18*3</f>
        <v>0</v>
      </c>
      <c r="Y43" s="247">
        <f t="shared" ref="Y43:Y50" si="26">+X43/X$61</f>
        <v>0</v>
      </c>
      <c r="Z43" s="244">
        <f t="shared" ref="Z43:Z50" si="27">Z18/$A18*3</f>
        <v>0</v>
      </c>
      <c r="AA43" s="247">
        <f t="shared" ref="AA43:AA50" si="28">+Z43/Z$61</f>
        <v>0</v>
      </c>
      <c r="AB43" s="244">
        <f t="shared" ref="AB43:AB50" si="29">AB18/$A18*3</f>
        <v>0</v>
      </c>
      <c r="AC43" s="247">
        <f t="shared" ref="AC43:AC50" si="30">+AB43/AB$61</f>
        <v>0</v>
      </c>
      <c r="AD43" s="244">
        <f t="shared" ref="AD43:AD50" si="31">AD18/$A18*3</f>
        <v>0</v>
      </c>
      <c r="AE43" s="247">
        <f t="shared" ref="AE43:AE50" si="32">+AD43/AD$61</f>
        <v>0</v>
      </c>
      <c r="AF43" s="244">
        <f t="shared" ref="AF43:AF50" si="33">AF18/$A18*3</f>
        <v>0</v>
      </c>
      <c r="AG43" s="247">
        <f t="shared" ref="AG43:AG50" si="34">+AF43/AF$61</f>
        <v>0</v>
      </c>
      <c r="AH43" s="244">
        <f t="shared" ref="AH43:AH50" si="35">AH18/$A18*3</f>
        <v>0</v>
      </c>
      <c r="AI43" s="247">
        <f t="shared" ref="AI43:AI50" si="36">+AH43/AH$61</f>
        <v>0</v>
      </c>
      <c r="AJ43" s="244">
        <f t="shared" ref="AJ43:AJ50" si="37">AJ18/$A18*3</f>
        <v>0</v>
      </c>
      <c r="AK43" s="247">
        <f t="shared" ref="AK43:AK50" si="38">+AJ43/AJ$61</f>
        <v>0</v>
      </c>
      <c r="AL43" s="244">
        <f t="shared" ref="AL43:AL50" si="39">AL18/$A18*3</f>
        <v>0</v>
      </c>
      <c r="AM43" s="247">
        <f t="shared" ref="AM43:AM50" si="40">+AL43/AL$61</f>
        <v>0</v>
      </c>
      <c r="AN43" s="244">
        <f t="shared" ref="AN43:AN50" si="41">AN18/$A18*3</f>
        <v>0</v>
      </c>
      <c r="AO43" s="247">
        <f t="shared" ref="AO43:AO50" si="42">+AN43/AN$61</f>
        <v>0</v>
      </c>
      <c r="AP43" s="244">
        <f t="shared" ref="AP43:AP50" si="43">AP18/$A18*3</f>
        <v>0</v>
      </c>
      <c r="AQ43" s="247">
        <f t="shared" ref="AQ43:AQ50" si="44">+AP43/AP$61</f>
        <v>0</v>
      </c>
      <c r="AR43" s="244">
        <f t="shared" ref="AR43:AR50" si="45">AR18/$A18*3</f>
        <v>0</v>
      </c>
      <c r="AS43" s="247">
        <f t="shared" ref="AS43:AS50" si="46">+AR43/AR$61</f>
        <v>0</v>
      </c>
      <c r="AT43" s="244">
        <f t="shared" ref="AT43:AT50" si="47">AT18/$A18*3</f>
        <v>0</v>
      </c>
      <c r="AU43" s="247">
        <f t="shared" ref="AU43:AU50" si="48">+AT43/AT$61</f>
        <v>0</v>
      </c>
      <c r="AV43" s="244">
        <f t="shared" ref="AV43:AV50" si="49">AV18/$A18*3</f>
        <v>0</v>
      </c>
      <c r="AW43" s="247">
        <f t="shared" ref="AW43:AW50" si="50">+AV43/AV$61</f>
        <v>0</v>
      </c>
      <c r="AX43" s="244">
        <f t="shared" ref="AX43:AX50" si="51">AX18/$A18*3</f>
        <v>0</v>
      </c>
      <c r="AY43" s="247">
        <f t="shared" ref="AY43:AY50" si="52">+AX43/AX$61</f>
        <v>0</v>
      </c>
      <c r="AZ43" s="244">
        <f t="shared" ref="AZ43:AZ50" si="53">AZ18/$A18*3</f>
        <v>0</v>
      </c>
      <c r="BA43" s="247">
        <f t="shared" ref="BA43:BA50" si="54">+AZ43/AZ$61</f>
        <v>0</v>
      </c>
      <c r="BB43" s="244">
        <f t="shared" ref="BB43:BB50" si="55">BB18/$A18*3</f>
        <v>709859.52</v>
      </c>
      <c r="BC43" s="247">
        <f t="shared" ref="BC43:BC50" si="56">+BB43/BB$61</f>
        <v>1.1832458364190154E-2</v>
      </c>
      <c r="BD43" s="244">
        <f t="shared" ref="BD43:BD50" si="57">BD18/$A18*3</f>
        <v>579861.05000000005</v>
      </c>
      <c r="BE43" s="247">
        <f t="shared" ref="BE43:BE50" si="58">+BD43/BD$61</f>
        <v>1.0151709872100565E-2</v>
      </c>
      <c r="BF43" s="244">
        <f t="shared" ref="BF43:BF50" si="59">BF18/$A18*3</f>
        <v>567361.99</v>
      </c>
      <c r="BG43" s="247">
        <f t="shared" ref="BG43:BG50" si="60">+BF43/BF$61</f>
        <v>9.7427907913093127E-3</v>
      </c>
      <c r="BH43" s="244">
        <f t="shared" ref="BH43:BH50" si="61">BH18/$A18*3</f>
        <v>278728.96999999997</v>
      </c>
      <c r="BI43" s="247">
        <f t="shared" ref="BI43:BI50" si="62">+BH43/BH$61</f>
        <v>4.6706816323489591E-3</v>
      </c>
      <c r="BJ43" s="244">
        <f t="shared" ref="BJ43:BJ50" si="63">BJ18/$A18*3</f>
        <v>1521483.33</v>
      </c>
      <c r="BK43" s="247">
        <f t="shared" ref="BK43:BK50" si="64">+BJ43/BJ$61</f>
        <v>2.3508061595462156E-2</v>
      </c>
      <c r="BL43" s="244">
        <f t="shared" ref="BL43:BL50" si="65">BL18/$A18*3</f>
        <v>3583287.55</v>
      </c>
      <c r="BM43" s="247">
        <f t="shared" ref="BM43:BM50" si="66">+BL43/BL$61</f>
        <v>4.8478362787883408E-2</v>
      </c>
      <c r="BN43" s="244">
        <f t="shared" ref="BN43:BN50" si="67">BN18/$A18*3</f>
        <v>1161947.4099999999</v>
      </c>
      <c r="BO43" s="247">
        <f t="shared" ref="BO43:BO50" si="68">+BN43/BN$61</f>
        <v>1.6282609369544242E-2</v>
      </c>
      <c r="BP43" s="244">
        <f t="shared" ref="BP43:BP50" si="69">BP18/$A18*3</f>
        <v>2557052.5999999996</v>
      </c>
      <c r="BQ43" s="247">
        <f t="shared" ref="BQ43:BQ50" si="70">+BP43/BP$61</f>
        <v>3.4276846081115184E-2</v>
      </c>
      <c r="BR43" s="244">
        <f t="shared" ref="BR43:BR50" si="71">BR18/$A18*3</f>
        <v>1952047.2900000005</v>
      </c>
      <c r="BS43" s="247">
        <f t="shared" ref="BS43:BS50" si="72">+BR43/BR$61</f>
        <v>2.4384565882535174E-2</v>
      </c>
      <c r="BT43" s="244">
        <f>BT18/$A18*3</f>
        <v>2470052.0399999996</v>
      </c>
      <c r="BU43" s="247" t="e">
        <f t="shared" ref="BU43:BU50" si="73">+BT43/BT$61</f>
        <v>#REF!</v>
      </c>
      <c r="BV43" s="244">
        <f>BV18/$A18*3</f>
        <v>1416750.32</v>
      </c>
      <c r="BW43" s="247" t="e">
        <f t="shared" ref="BW43:BW50" si="74">+BV43/BV$61</f>
        <v>#REF!</v>
      </c>
      <c r="BX43" s="244">
        <f>BX18/$A18*3</f>
        <v>2320417.0699999998</v>
      </c>
      <c r="BY43" s="247" t="e">
        <f t="shared" ref="BY43:BY50" si="75">+BX43/BX$61</f>
        <v>#REF!</v>
      </c>
      <c r="BZ43" s="244">
        <f>BZ18/$A18*3</f>
        <v>3841101.91</v>
      </c>
      <c r="CA43" s="247" t="e">
        <f t="shared" ref="CA43:CA50" si="76">+BZ43/BZ$61</f>
        <v>#REF!</v>
      </c>
      <c r="CB43" s="244">
        <f>CB18/$A18*3</f>
        <v>3587527.1099999994</v>
      </c>
      <c r="CC43" s="247" t="e">
        <f t="shared" ref="CC43:CC52" si="77">+CB43/CB$61</f>
        <v>#REF!</v>
      </c>
      <c r="CD43" s="244">
        <f t="shared" ref="CD43:CD52" si="78">CD18/$A18*3</f>
        <v>1433208.29</v>
      </c>
      <c r="CE43" s="247">
        <f t="shared" ref="CE43:CE52" si="79">+CD43/CD$61</f>
        <v>1.2892670690932397E-2</v>
      </c>
      <c r="CF43" s="244">
        <f t="shared" ref="CF43:CF52" si="80">CF18/$A18*3</f>
        <v>1804779.6900000004</v>
      </c>
      <c r="CG43" s="247">
        <f t="shared" ref="CG43:CG52" si="81">+CF43/CF$61</f>
        <v>1.5183870385788259E-2</v>
      </c>
      <c r="CH43" s="244">
        <f t="shared" ref="CH43:CH52" si="82">CH18/$A18*3</f>
        <v>2613998.6799999997</v>
      </c>
      <c r="CI43" s="247">
        <f t="shared" ref="CI43:CI52" si="83">+CH43/CH$61</f>
        <v>2.048858777415841E-2</v>
      </c>
      <c r="CJ43" s="247"/>
      <c r="CK43" s="244">
        <f>IF(CK41&gt;$A18,CK18,CK18/$A18*$CK$41)</f>
        <v>4200035.22</v>
      </c>
      <c r="CL43" s="247">
        <f t="shared" ref="CL43:CL52" si="84">+CK43/CK$61</f>
        <v>3.0393176339478075E-2</v>
      </c>
      <c r="CM43" s="326"/>
      <c r="CN43" s="244">
        <f>IF(CN41&gt;$A18,CN18,CN18/$A18*$CN$41)</f>
        <v>4376777.16</v>
      </c>
      <c r="CO43" s="247">
        <f t="shared" ref="CO43:CO52" si="85">+CN43/CN$61</f>
        <v>1.2390916689429118E-2</v>
      </c>
      <c r="CP43" s="326"/>
      <c r="CQ43" s="244">
        <f>IF(CQ41&gt;$A18,CQ18,CQ18/$A18*$CQ$41)</f>
        <v>1313763.8999999999</v>
      </c>
      <c r="CR43" s="247">
        <f t="shared" ref="CR43:CR52" si="86">+CQ43/CQ$61</f>
        <v>3.3938657764899902E-3</v>
      </c>
      <c r="CS43" s="326"/>
      <c r="CT43" s="244">
        <f>IF(CT41&gt;$A18,CT18,CT18/$A18*$CT$41)</f>
        <v>1573498.38</v>
      </c>
      <c r="CU43" s="247">
        <f t="shared" ref="CU43:CU52" si="87">+CT43/CT$61</f>
        <v>3.551284786882073E-3</v>
      </c>
      <c r="CV43" s="198"/>
      <c r="CW43" s="244">
        <f>IF(CW41&gt;$A18,CW18,CW18/$A18*$CW$41)</f>
        <v>2261298.69</v>
      </c>
      <c r="CX43" s="247">
        <f t="shared" ref="CX43:CX52" si="88">+CW43/CW$61</f>
        <v>4.9144179728270272E-3</v>
      </c>
      <c r="CY43" s="247"/>
      <c r="CZ43" s="244">
        <f>IF(CZ41&gt;$A18,CZ18,CZ18/$A18*$CZ$41)</f>
        <v>1416133.29</v>
      </c>
      <c r="DA43" s="247">
        <f t="shared" ref="DA43:DA52" si="89">+CZ43/CZ$61</f>
        <v>2.9866154948269999E-3</v>
      </c>
      <c r="DB43" s="247"/>
      <c r="DC43" s="244">
        <f>IF(DC41&gt;$A18,DC18,DC18/$A18*$DC$41)</f>
        <v>528516.61999999988</v>
      </c>
      <c r="DD43" s="247">
        <f t="shared" ref="DD43:DD52" si="90">+DC43/DC$61</f>
        <v>1.0543123522849974E-3</v>
      </c>
      <c r="DE43" s="247"/>
      <c r="DF43" s="244">
        <f>IF(DF41&gt;$A18,DF18,DF18/$A18*$DF$41)</f>
        <v>3254349</v>
      </c>
      <c r="DG43" s="247">
        <f t="shared" ref="DG43:DG52" si="91">+DF43/DF$61</f>
        <v>6.0910647200311478E-3</v>
      </c>
      <c r="DH43" s="440"/>
      <c r="DI43" s="244">
        <f>IF(DI41&gt;$A18,DI18,DI18/$A18*$DI$41)</f>
        <v>2215350.0299999998</v>
      </c>
      <c r="DJ43" s="247">
        <f t="shared" ref="DJ43:DJ52" si="92">+DI43/DI$61</f>
        <v>3.9960504170638783E-3</v>
      </c>
      <c r="DK43" s="247"/>
      <c r="DL43" s="244">
        <f>IF(DL41&gt;$A18,DL18,DL18/$A18*$DL$41)</f>
        <v>5804582</v>
      </c>
      <c r="DM43" s="247">
        <f t="shared" ref="DM43:DM52" si="93">+DL43/DL$61</f>
        <v>1.0058535021683454E-2</v>
      </c>
      <c r="DN43" s="440"/>
      <c r="DO43" s="244">
        <f>IF(DO41&gt;$A18,DO18,DO18/$A18*$DO$41)</f>
        <v>5872144.8300000001</v>
      </c>
      <c r="DP43" s="247">
        <f t="shared" ref="DP43:DP52" si="94">+DO43/DO$61</f>
        <v>9.6003917524774881E-3</v>
      </c>
      <c r="DQ43" s="247"/>
      <c r="DR43" s="244">
        <f>IF(DR41&gt;$A18,DR18,DR18/$A18*$DR$41)</f>
        <v>4496156.4299999988</v>
      </c>
      <c r="DS43" s="247">
        <f t="shared" ref="DS43:DS52" si="95">+DR43/DR$61</f>
        <v>7.2226482485279551E-3</v>
      </c>
      <c r="DT43" s="440"/>
      <c r="DU43" s="244">
        <f>IF(DU41&gt;$A18,DU18,DU18/$A18*$DU$41)</f>
        <v>2696284.5900000003</v>
      </c>
      <c r="DV43" s="247">
        <f t="shared" ref="DV43:DV52" si="96">+DU43/DU$61</f>
        <v>3.9213077554075652E-3</v>
      </c>
      <c r="DW43" s="440"/>
      <c r="DX43" s="244">
        <f>IF(DX41&gt;$A18,DX18,DX18/$A18*$DX$41)</f>
        <v>735900.00000000012</v>
      </c>
      <c r="DY43" s="247">
        <f t="shared" ref="DY43:DY52" si="97">+DX43/DX$61</f>
        <v>1.0965564454885174E-3</v>
      </c>
      <c r="DZ43" s="440"/>
      <c r="EA43" s="244">
        <f>IF(EA41&gt;$A18,EA18,EA18/$A18*$EA$41)</f>
        <v>771233.3200000003</v>
      </c>
      <c r="EB43" s="247">
        <f t="shared" ref="EB43:EB52" si="98">+EA43/EA$61</f>
        <v>1.1030994464582349E-3</v>
      </c>
      <c r="EC43" s="440"/>
      <c r="ED43" s="244">
        <f>IF(ED41&gt;$A18,ED18,ED18/$A18*$ED41)</f>
        <v>661233.33000000019</v>
      </c>
      <c r="EE43" s="247">
        <f t="shared" ref="EE43:EE52" si="99">+ED43/ED$61</f>
        <v>8.9354100804812638E-4</v>
      </c>
      <c r="EF43" s="440"/>
      <c r="EG43" s="244">
        <f>IF(EG41&gt;$A18,EG18,EG18/$A18*EG41)</f>
        <v>230032.98000000027</v>
      </c>
      <c r="EH43" s="247">
        <f t="shared" ref="EH43:EH52" si="100">+EG43/EG$61</f>
        <v>2.8773941188257207E-4</v>
      </c>
      <c r="EI43" s="247"/>
      <c r="EJ43" s="244">
        <f>IF(EJ41&gt;$A18,EJ18,EJ18/$A18*EJ41)</f>
        <v>123366.65</v>
      </c>
      <c r="EK43" s="247">
        <f t="shared" ref="EK43:EK52" si="101">+EJ43/EJ$61</f>
        <v>1.4693156091795186E-4</v>
      </c>
      <c r="EL43" s="247"/>
      <c r="EM43" s="244">
        <f>IF(EM$41&gt;$A18,EM18,EM18/$A18*EM$41)</f>
        <v>20366.670000000002</v>
      </c>
      <c r="EN43" s="247">
        <f t="shared" ref="EN43:EN52" si="102">+EM43/EM$61</f>
        <v>2.2864733947742188E-5</v>
      </c>
      <c r="EO43" s="247"/>
      <c r="EP43" s="244">
        <f>IF(EP41&gt;$A18,EP18,EP18/$A18*$EP$41)</f>
        <v>142399.68000000046</v>
      </c>
      <c r="EQ43" s="247">
        <f t="shared" ref="EQ43:EQ52" si="103">+EP43/EP$61</f>
        <v>1.5045842947430872E-4</v>
      </c>
      <c r="ER43" s="440"/>
      <c r="ES43" s="244">
        <f>IF(ES41&gt;$A18,ES18,ES18/$A18*$DI$41)</f>
        <v>80900</v>
      </c>
      <c r="ET43" s="247">
        <f t="shared" ref="ET43:ET52" si="104">+ES43/ES$61</f>
        <v>8.1286761085081602E-5</v>
      </c>
      <c r="EU43" s="247"/>
      <c r="EV43" s="244">
        <f>IF(EV41&gt;$A18,EV18,EV18/$A18*$EV$41)</f>
        <v>27567</v>
      </c>
      <c r="EW43" s="247">
        <f t="shared" ref="EW43:EW52" si="105">+EV43/EV$61</f>
        <v>2.5522921760410872E-5</v>
      </c>
      <c r="EX43" s="440"/>
      <c r="EY43" s="244">
        <f>IF(EY41&gt;$A18,EY18,EY18/$A18*$EY$41)</f>
        <v>900</v>
      </c>
      <c r="EZ43" s="247">
        <f t="shared" ref="EZ43:EZ52" si="106">+EY43/EY$61</f>
        <v>8.6945554153912025E-7</v>
      </c>
      <c r="FA43" s="247"/>
      <c r="FB43" s="244">
        <f>IF(FB41&gt;$A18,FB18,FB18/$A18*$DR$41)</f>
        <v>900</v>
      </c>
      <c r="FC43" s="247">
        <f t="shared" ref="FC43:FC52" si="107">+FB43/FB$61</f>
        <v>7.4803623964841911E-7</v>
      </c>
      <c r="FD43" s="440"/>
      <c r="FE43" s="244">
        <f>IF(FE41&gt;$A18,FE18,FE18/$A18*$FE$41)</f>
        <v>900</v>
      </c>
      <c r="FF43" s="247">
        <f t="shared" ref="FF43:FF52" si="108">+FE43/FE$61</f>
        <v>7.5386304174268534E-7</v>
      </c>
      <c r="FG43" s="440"/>
      <c r="FH43" s="244">
        <f>IF(FH41&gt;$A18,FH18,FH18/$A18*$FH$41)</f>
        <v>300</v>
      </c>
      <c r="FI43" s="247">
        <f t="shared" ref="FI43:FI52" si="109">+FH43/FH$61</f>
        <v>2.1170325546746215E-6</v>
      </c>
      <c r="FJ43" s="440"/>
      <c r="FK43" s="244">
        <f>IF(FK41&gt;$A18,FK18,FK18/$A18*$FK$41)</f>
        <v>900</v>
      </c>
      <c r="FL43" s="247">
        <f t="shared" ref="FL43:FL52" si="110">+FK43/FK$61</f>
        <v>1.9881136142937393E-6</v>
      </c>
      <c r="FM43" s="440"/>
      <c r="FN43" s="244">
        <f>IF(FN41&gt;$A18,FN18,FN18/$A18*$FN$41)</f>
        <v>20900</v>
      </c>
      <c r="FO43" s="247">
        <f t="shared" ref="FO43:FO52" si="111">+FN43/FN$61</f>
        <v>1.3089424912193795E-5</v>
      </c>
      <c r="FP43" s="440"/>
      <c r="FQ43" s="244">
        <f>IF(FQ41&gt;$A18,FQ18,FQ18/$A18*$FQ$41)</f>
        <v>17566.669999999998</v>
      </c>
      <c r="FR43" s="247">
        <f t="shared" ref="FR43:FR52" si="112">+FQ43/FQ$61</f>
        <v>1.2019101351659136E-5</v>
      </c>
      <c r="FS43" s="247"/>
      <c r="FT43" s="244">
        <f>IF(FT41&gt;$A18,FT18,FT18/$A18*$FT$41)</f>
        <v>510900.01</v>
      </c>
      <c r="FU43" s="247">
        <f t="shared" ref="FU43:FU52" si="113">+FT43/FT$61</f>
        <v>3.4144098615725035E-4</v>
      </c>
      <c r="FV43" s="247"/>
      <c r="FW43" s="244">
        <f>IF(FW41&gt;$A18,FW18,FW18/$A18*$FW$41)</f>
        <v>337566.68999999994</v>
      </c>
      <c r="FX43" s="247">
        <f t="shared" ref="FX43:FX52" si="114">+FW43/FW$61</f>
        <v>2.209363984841828E-4</v>
      </c>
      <c r="FY43" s="247"/>
      <c r="FZ43" s="244">
        <f>IF(FZ41&gt;$A18,FZ18,FZ18/$A18*$FZ$41)</f>
        <v>166666.68</v>
      </c>
      <c r="GA43" s="247">
        <f t="shared" ref="GA43:GA52" si="115">+FZ43/FZ$61</f>
        <v>9.1840342133347032E-5</v>
      </c>
      <c r="GB43" s="247"/>
      <c r="GC43" s="244">
        <f>IF(GC41&gt;$A18,GC18,GC18/$A18*$FZ$41)</f>
        <v>-2.9103830456733704E-11</v>
      </c>
      <c r="GD43" s="247">
        <f t="shared" ref="GD43:GD52" si="116">+GC43/GC$61</f>
        <v>-1.8655738973380213E-20</v>
      </c>
      <c r="GE43" s="244">
        <v>0</v>
      </c>
      <c r="GF43" s="247">
        <f t="shared" ref="GF43:GF52" si="117">+GE43/GE$61</f>
        <v>0</v>
      </c>
      <c r="GG43" s="244">
        <f>IF(GG41&gt;$A18,GG18,GG18/$A18*$FZ$41)</f>
        <v>0</v>
      </c>
      <c r="GH43" s="247">
        <f t="shared" ref="GH43:GH52" si="118">+GG43/GG$61</f>
        <v>0</v>
      </c>
      <c r="GI43" s="244">
        <f>IF(GI41&gt;$A18,GI18,GI18/$A18*$FZ$41)</f>
        <v>0</v>
      </c>
      <c r="GJ43" s="247">
        <f t="shared" ref="GJ43:GJ52" si="119">+GI43/GI$61</f>
        <v>0</v>
      </c>
      <c r="GK43" s="244">
        <f>IF(GK41&gt;$A18,GK18,GK18/$A18*$FZ$41)</f>
        <v>0</v>
      </c>
      <c r="GL43" s="247">
        <f t="shared" ref="GL43:GL52" si="120">+GK43/GK$61</f>
        <v>0</v>
      </c>
      <c r="GM43" s="244">
        <f>IF(GM41&gt;$A18,GM18,GM18/$A18*$FZ$41)</f>
        <v>0</v>
      </c>
      <c r="GN43" s="247">
        <f t="shared" ref="GN43:GN52" si="121">+GM43/GM$61</f>
        <v>0</v>
      </c>
      <c r="GO43" s="244">
        <f>IF(GO41&gt;$A18,GO18,GO18/$A18*$FZ$41)</f>
        <v>0</v>
      </c>
      <c r="GP43" s="247">
        <f t="shared" ref="GP43:GP52" si="122">+GO43/GO$61</f>
        <v>0</v>
      </c>
      <c r="GQ43" s="244">
        <f>IF(GQ41&gt;$A18,GQ18,GQ18/$A18*$GQ$41)</f>
        <v>0</v>
      </c>
      <c r="GR43" s="247">
        <f t="shared" ref="GR43:GR52" si="123">+GQ43/GQ$61</f>
        <v>0</v>
      </c>
      <c r="GS43" s="247"/>
      <c r="GT43" s="244">
        <f>IF(GT41&gt;$A18,GT18,GT18/$A18*$GQ$41)</f>
        <v>0</v>
      </c>
      <c r="GU43" s="247">
        <f t="shared" ref="GU43:GU52" si="124">+GT43/GT$61</f>
        <v>0</v>
      </c>
      <c r="GV43" s="247"/>
      <c r="GW43" s="1038">
        <f>IF(GW41&gt;$A18,GW18,GW18/$A18*$GQ$41)</f>
        <v>0</v>
      </c>
      <c r="GX43" s="247">
        <f t="shared" ref="GX43:GX52" si="125">+GW43/GW$61</f>
        <v>0</v>
      </c>
      <c r="GY43" s="247"/>
      <c r="GZ43" s="1038">
        <f>IF(GZ41&gt;$A18,GZ18,GZ18/$A18*$GQ$41)</f>
        <v>0</v>
      </c>
      <c r="HA43" s="247">
        <f t="shared" ref="HA43:HA52" si="126">+GZ43/GZ$61</f>
        <v>0</v>
      </c>
      <c r="HB43" s="247"/>
      <c r="HC43" s="1063">
        <f>IF(HC41&gt;$A18,HC18,HC18/$A18*$GQ$41)</f>
        <v>0</v>
      </c>
      <c r="HD43" s="247">
        <f t="shared" ref="HD43:HD52" si="127">+HC43/HC$61</f>
        <v>0</v>
      </c>
      <c r="HE43" s="247"/>
      <c r="HF43" s="244">
        <f>IF(HF41&gt;$A18,HF18,HF18/$A18*$GQ$41)</f>
        <v>0</v>
      </c>
      <c r="HG43" s="247">
        <f t="shared" ref="HG43:HG52" si="128">+HF43/HF$61</f>
        <v>0</v>
      </c>
      <c r="HH43" s="247"/>
      <c r="HI43" s="244">
        <f>IF(HI41&gt;$A18,HI18,HI18/$A18*$GQ$41)</f>
        <v>0</v>
      </c>
      <c r="HJ43" s="247">
        <f t="shared" ref="HJ43:HJ52" si="129">+HI43/HI$61</f>
        <v>0</v>
      </c>
      <c r="HK43" s="247"/>
      <c r="HL43" s="244">
        <f>IF(HL41&gt;$A18,HL18,HL18/$A18*$GQ$41)</f>
        <v>0</v>
      </c>
      <c r="HM43" s="247">
        <f t="shared" ref="HM43:HM52" si="130">+HL43/HL$61</f>
        <v>0</v>
      </c>
      <c r="HN43" s="247"/>
      <c r="HO43" s="244">
        <f>IF(HO41&gt;$A18,HO18,HO18/$A18*$GQ$41)</f>
        <v>0</v>
      </c>
      <c r="HP43" s="247">
        <f t="shared" ref="HP43:HP52" si="131">+HO43/HO$61</f>
        <v>0</v>
      </c>
      <c r="HQ43" s="247"/>
      <c r="HR43" s="244">
        <f>IF(HR41&gt;$A18,HR18,HR18/$A18*$GQ$41)</f>
        <v>0</v>
      </c>
      <c r="HS43" s="247">
        <f t="shared" ref="HS43:HS52" si="132">+HR43/HR$61</f>
        <v>0</v>
      </c>
      <c r="HT43" s="247"/>
      <c r="HU43" s="244">
        <f>IF(HU41&gt;$A18,HU18,HU18/$A18*$GQ$41)</f>
        <v>0</v>
      </c>
      <c r="HV43" s="247">
        <f t="shared" ref="HV43:HV52" si="133">+HU43/HU$61</f>
        <v>0</v>
      </c>
      <c r="HW43" s="247"/>
      <c r="HX43" s="247"/>
      <c r="HY43" s="247"/>
      <c r="HZ43" s="247"/>
      <c r="IA43" s="244">
        <f>IF(IA41&gt;$A18,IA18,IA18/$A18*$ED41)</f>
        <v>661233.33000000019</v>
      </c>
      <c r="IB43" s="247">
        <f t="shared" ref="IB43:IB52" si="134">+IA43/IA$61</f>
        <v>8.9354100804812638E-4</v>
      </c>
      <c r="IC43" s="198"/>
      <c r="ID43" s="198"/>
      <c r="IE43" s="198"/>
      <c r="IY43" s="244"/>
      <c r="IZ43" s="244"/>
      <c r="JB43" s="244">
        <v>296462789.30198413</v>
      </c>
      <c r="JC43" s="244">
        <v>579485866.08309507</v>
      </c>
      <c r="JD43" s="244">
        <v>1120071432.0947618</v>
      </c>
      <c r="JE43" s="244">
        <v>1643316723.3314281</v>
      </c>
      <c r="JF43" s="244">
        <v>1998881134.9614284</v>
      </c>
    </row>
    <row r="44" spans="1:266" ht="14.4" hidden="1" customHeight="1">
      <c r="A44" s="586">
        <v>4</v>
      </c>
      <c r="B44" s="242" t="s">
        <v>451</v>
      </c>
      <c r="D44" s="244">
        <f t="shared" si="5"/>
        <v>0</v>
      </c>
      <c r="E44" s="247">
        <f t="shared" si="6"/>
        <v>0</v>
      </c>
      <c r="F44" s="244">
        <f t="shared" si="7"/>
        <v>0</v>
      </c>
      <c r="G44" s="247">
        <f t="shared" si="8"/>
        <v>0</v>
      </c>
      <c r="H44" s="244">
        <f t="shared" si="9"/>
        <v>0</v>
      </c>
      <c r="I44" s="247">
        <f t="shared" si="10"/>
        <v>0</v>
      </c>
      <c r="J44" s="244">
        <f t="shared" si="11"/>
        <v>0</v>
      </c>
      <c r="K44" s="247">
        <f t="shared" si="12"/>
        <v>0</v>
      </c>
      <c r="L44" s="244">
        <f t="shared" si="13"/>
        <v>0</v>
      </c>
      <c r="M44" s="247">
        <f t="shared" si="14"/>
        <v>0</v>
      </c>
      <c r="N44" s="244">
        <f t="shared" si="15"/>
        <v>0</v>
      </c>
      <c r="O44" s="247">
        <f t="shared" si="16"/>
        <v>0</v>
      </c>
      <c r="P44" s="244">
        <f t="shared" si="17"/>
        <v>0</v>
      </c>
      <c r="Q44" s="247">
        <f t="shared" si="18"/>
        <v>0</v>
      </c>
      <c r="R44" s="244">
        <f t="shared" si="19"/>
        <v>0</v>
      </c>
      <c r="S44" s="247">
        <f t="shared" si="20"/>
        <v>0</v>
      </c>
      <c r="T44" s="244">
        <f t="shared" si="21"/>
        <v>0</v>
      </c>
      <c r="U44" s="247">
        <f t="shared" si="22"/>
        <v>0</v>
      </c>
      <c r="V44" s="244">
        <f t="shared" si="23"/>
        <v>0</v>
      </c>
      <c r="W44" s="247">
        <f t="shared" si="24"/>
        <v>0</v>
      </c>
      <c r="X44" s="244">
        <f t="shared" si="25"/>
        <v>0</v>
      </c>
      <c r="Y44" s="247">
        <f t="shared" si="26"/>
        <v>0</v>
      </c>
      <c r="Z44" s="244">
        <f t="shared" si="27"/>
        <v>0</v>
      </c>
      <c r="AA44" s="247">
        <f t="shared" si="28"/>
        <v>0</v>
      </c>
      <c r="AB44" s="244">
        <f t="shared" si="29"/>
        <v>0</v>
      </c>
      <c r="AC44" s="247">
        <f t="shared" si="30"/>
        <v>0</v>
      </c>
      <c r="AD44" s="244">
        <f t="shared" si="31"/>
        <v>0</v>
      </c>
      <c r="AE44" s="247">
        <f t="shared" si="32"/>
        <v>0</v>
      </c>
      <c r="AF44" s="244">
        <f t="shared" si="33"/>
        <v>0</v>
      </c>
      <c r="AG44" s="247">
        <f t="shared" si="34"/>
        <v>0</v>
      </c>
      <c r="AH44" s="244">
        <f t="shared" si="35"/>
        <v>0</v>
      </c>
      <c r="AI44" s="247">
        <f t="shared" si="36"/>
        <v>0</v>
      </c>
      <c r="AJ44" s="244">
        <f t="shared" si="37"/>
        <v>0</v>
      </c>
      <c r="AK44" s="247">
        <f t="shared" si="38"/>
        <v>0</v>
      </c>
      <c r="AL44" s="244">
        <f t="shared" si="39"/>
        <v>0</v>
      </c>
      <c r="AM44" s="247">
        <f t="shared" si="40"/>
        <v>0</v>
      </c>
      <c r="AN44" s="244">
        <f t="shared" si="41"/>
        <v>0</v>
      </c>
      <c r="AO44" s="247">
        <f t="shared" si="42"/>
        <v>0</v>
      </c>
      <c r="AP44" s="244">
        <f t="shared" si="43"/>
        <v>0</v>
      </c>
      <c r="AQ44" s="247">
        <f t="shared" si="44"/>
        <v>0</v>
      </c>
      <c r="AR44" s="244">
        <f t="shared" si="45"/>
        <v>0</v>
      </c>
      <c r="AS44" s="247">
        <f t="shared" si="46"/>
        <v>0</v>
      </c>
      <c r="AT44" s="244">
        <f t="shared" si="47"/>
        <v>0</v>
      </c>
      <c r="AU44" s="247">
        <f t="shared" si="48"/>
        <v>0</v>
      </c>
      <c r="AV44" s="244">
        <f t="shared" si="49"/>
        <v>0</v>
      </c>
      <c r="AW44" s="247">
        <f t="shared" si="50"/>
        <v>0</v>
      </c>
      <c r="AX44" s="244">
        <f t="shared" si="51"/>
        <v>0</v>
      </c>
      <c r="AY44" s="247">
        <f t="shared" si="52"/>
        <v>0</v>
      </c>
      <c r="AZ44" s="244">
        <f t="shared" si="53"/>
        <v>0</v>
      </c>
      <c r="BA44" s="247">
        <f t="shared" si="54"/>
        <v>0</v>
      </c>
      <c r="BB44" s="244">
        <f t="shared" si="55"/>
        <v>0</v>
      </c>
      <c r="BC44" s="247">
        <f t="shared" si="56"/>
        <v>0</v>
      </c>
      <c r="BD44" s="244">
        <f t="shared" si="57"/>
        <v>0</v>
      </c>
      <c r="BE44" s="247">
        <f t="shared" si="58"/>
        <v>0</v>
      </c>
      <c r="BF44" s="244">
        <f t="shared" si="59"/>
        <v>0</v>
      </c>
      <c r="BG44" s="247">
        <f t="shared" si="60"/>
        <v>0</v>
      </c>
      <c r="BH44" s="244">
        <f t="shared" si="61"/>
        <v>0</v>
      </c>
      <c r="BI44" s="247">
        <f t="shared" si="62"/>
        <v>0</v>
      </c>
      <c r="BJ44" s="244">
        <f t="shared" si="63"/>
        <v>0</v>
      </c>
      <c r="BK44" s="247">
        <f t="shared" si="64"/>
        <v>0</v>
      </c>
      <c r="BL44" s="244">
        <f t="shared" si="65"/>
        <v>0</v>
      </c>
      <c r="BM44" s="247">
        <f t="shared" si="66"/>
        <v>0</v>
      </c>
      <c r="BN44" s="244">
        <f t="shared" si="67"/>
        <v>0</v>
      </c>
      <c r="BO44" s="247">
        <f t="shared" si="68"/>
        <v>0</v>
      </c>
      <c r="BP44" s="244">
        <f t="shared" si="69"/>
        <v>0</v>
      </c>
      <c r="BQ44" s="247">
        <f t="shared" si="70"/>
        <v>0</v>
      </c>
      <c r="BR44" s="244">
        <f t="shared" si="71"/>
        <v>0</v>
      </c>
      <c r="BS44" s="247">
        <f t="shared" si="72"/>
        <v>0</v>
      </c>
      <c r="BT44" s="244">
        <f>BT21/$A19*3</f>
        <v>35385981.270000011</v>
      </c>
      <c r="BU44" s="247" t="e">
        <f t="shared" si="73"/>
        <v>#REF!</v>
      </c>
      <c r="BV44" s="244">
        <f>BV21/$A19*3</f>
        <v>37407663.997500002</v>
      </c>
      <c r="BW44" s="247" t="e">
        <f t="shared" si="74"/>
        <v>#REF!</v>
      </c>
      <c r="BX44" s="244">
        <f>BX21/$A19*3</f>
        <v>39708482.947500035</v>
      </c>
      <c r="BY44" s="247" t="e">
        <f t="shared" si="75"/>
        <v>#REF!</v>
      </c>
      <c r="BZ44" s="244">
        <f>BZ21/$A19*3</f>
        <v>42652877.977499947</v>
      </c>
      <c r="CA44" s="247" t="e">
        <f t="shared" si="76"/>
        <v>#REF!</v>
      </c>
      <c r="CB44" s="244">
        <f>CB19/$A19*3</f>
        <v>0</v>
      </c>
      <c r="CC44" s="247" t="e">
        <f t="shared" si="77"/>
        <v>#REF!</v>
      </c>
      <c r="CD44" s="244">
        <f t="shared" si="78"/>
        <v>0</v>
      </c>
      <c r="CE44" s="247">
        <f t="shared" si="79"/>
        <v>0</v>
      </c>
      <c r="CF44" s="244">
        <f t="shared" si="80"/>
        <v>0</v>
      </c>
      <c r="CG44" s="247">
        <f t="shared" si="81"/>
        <v>0</v>
      </c>
      <c r="CH44" s="244">
        <f t="shared" si="82"/>
        <v>0</v>
      </c>
      <c r="CI44" s="247">
        <f t="shared" si="83"/>
        <v>0</v>
      </c>
      <c r="CJ44" s="247"/>
      <c r="CK44" s="244">
        <f>IF(CK41&gt;$A19,CK19,CK19/$A19*$CK$41)</f>
        <v>0</v>
      </c>
      <c r="CL44" s="247">
        <f t="shared" si="84"/>
        <v>0</v>
      </c>
      <c r="CM44" s="326"/>
      <c r="CN44" s="244"/>
      <c r="CO44" s="247">
        <f t="shared" si="85"/>
        <v>0</v>
      </c>
      <c r="CP44" s="326"/>
      <c r="CQ44" s="244"/>
      <c r="CR44" s="247">
        <f t="shared" si="86"/>
        <v>0</v>
      </c>
      <c r="CS44" s="326"/>
      <c r="CT44" s="244"/>
      <c r="CU44" s="247">
        <f t="shared" si="87"/>
        <v>0</v>
      </c>
      <c r="CW44" s="244"/>
      <c r="CX44" s="247">
        <f t="shared" si="88"/>
        <v>0</v>
      </c>
      <c r="CY44" s="247"/>
      <c r="CZ44" s="244"/>
      <c r="DA44" s="247">
        <f t="shared" si="89"/>
        <v>0</v>
      </c>
      <c r="DB44" s="247"/>
      <c r="DC44" s="244"/>
      <c r="DD44" s="247">
        <f t="shared" si="90"/>
        <v>0</v>
      </c>
      <c r="DE44" s="247"/>
      <c r="DF44" s="244"/>
      <c r="DG44" s="247">
        <f t="shared" si="91"/>
        <v>0</v>
      </c>
      <c r="DH44" s="440"/>
      <c r="DI44" s="244"/>
      <c r="DJ44" s="247">
        <f t="shared" si="92"/>
        <v>0</v>
      </c>
      <c r="DK44" s="247"/>
      <c r="DL44" s="244"/>
      <c r="DM44" s="247">
        <f t="shared" si="93"/>
        <v>0</v>
      </c>
      <c r="DN44" s="440"/>
      <c r="DO44" s="244"/>
      <c r="DP44" s="247">
        <f t="shared" si="94"/>
        <v>0</v>
      </c>
      <c r="DQ44" s="247"/>
      <c r="DR44" s="244"/>
      <c r="DS44" s="247">
        <f t="shared" si="95"/>
        <v>0</v>
      </c>
      <c r="DT44" s="440"/>
      <c r="DU44" s="244"/>
      <c r="DV44" s="247">
        <f t="shared" si="96"/>
        <v>0</v>
      </c>
      <c r="DW44" s="440"/>
      <c r="DX44" s="244"/>
      <c r="DY44" s="247">
        <f t="shared" si="97"/>
        <v>0</v>
      </c>
      <c r="DZ44" s="440"/>
      <c r="EA44" s="244"/>
      <c r="EB44" s="247">
        <f t="shared" si="98"/>
        <v>0</v>
      </c>
      <c r="EC44" s="440"/>
      <c r="ED44" s="244"/>
      <c r="EE44" s="247">
        <f t="shared" si="99"/>
        <v>0</v>
      </c>
      <c r="EF44" s="440"/>
      <c r="EG44" s="244"/>
      <c r="EH44" s="247">
        <f t="shared" si="100"/>
        <v>0</v>
      </c>
      <c r="EI44" s="247"/>
      <c r="EJ44" s="244"/>
      <c r="EK44" s="247">
        <f t="shared" si="101"/>
        <v>0</v>
      </c>
      <c r="EL44" s="247"/>
      <c r="EM44" s="244"/>
      <c r="EN44" s="247">
        <f t="shared" si="102"/>
        <v>0</v>
      </c>
      <c r="EO44" s="247"/>
      <c r="EP44" s="244"/>
      <c r="EQ44" s="247">
        <f t="shared" si="103"/>
        <v>0</v>
      </c>
      <c r="ER44" s="440"/>
      <c r="ES44" s="244"/>
      <c r="ET44" s="247">
        <f t="shared" si="104"/>
        <v>0</v>
      </c>
      <c r="EU44" s="247"/>
      <c r="EV44" s="244"/>
      <c r="EW44" s="247">
        <f t="shared" si="105"/>
        <v>0</v>
      </c>
      <c r="EX44" s="440"/>
      <c r="EY44" s="244"/>
      <c r="EZ44" s="247">
        <f t="shared" si="106"/>
        <v>0</v>
      </c>
      <c r="FA44" s="247"/>
      <c r="FB44" s="244"/>
      <c r="FC44" s="247">
        <f t="shared" si="107"/>
        <v>0</v>
      </c>
      <c r="FD44" s="440"/>
      <c r="FE44" s="244"/>
      <c r="FF44" s="247">
        <f t="shared" si="108"/>
        <v>0</v>
      </c>
      <c r="FG44" s="440"/>
      <c r="FH44" s="244"/>
      <c r="FI44" s="247">
        <f t="shared" si="109"/>
        <v>0</v>
      </c>
      <c r="FJ44" s="440"/>
      <c r="FK44" s="244"/>
      <c r="FL44" s="247">
        <f t="shared" si="110"/>
        <v>0</v>
      </c>
      <c r="FM44" s="440"/>
      <c r="FN44" s="244"/>
      <c r="FO44" s="247">
        <f t="shared" si="111"/>
        <v>0</v>
      </c>
      <c r="FP44" s="440"/>
      <c r="FQ44" s="244"/>
      <c r="FR44" s="247">
        <f t="shared" si="112"/>
        <v>0</v>
      </c>
      <c r="FS44" s="247"/>
      <c r="FT44" s="244"/>
      <c r="FU44" s="247">
        <f t="shared" si="113"/>
        <v>0</v>
      </c>
      <c r="FV44" s="247"/>
      <c r="FW44" s="244"/>
      <c r="FX44" s="247">
        <f t="shared" si="114"/>
        <v>0</v>
      </c>
      <c r="FY44" s="247"/>
      <c r="FZ44" s="244"/>
      <c r="GA44" s="247">
        <f t="shared" si="115"/>
        <v>0</v>
      </c>
      <c r="GB44" s="247"/>
      <c r="GC44" s="244"/>
      <c r="GD44" s="247">
        <f t="shared" si="116"/>
        <v>0</v>
      </c>
      <c r="GE44" s="244"/>
      <c r="GF44" s="247">
        <f t="shared" si="117"/>
        <v>0</v>
      </c>
      <c r="GG44" s="244"/>
      <c r="GH44" s="247">
        <f t="shared" si="118"/>
        <v>0</v>
      </c>
      <c r="GI44" s="244"/>
      <c r="GJ44" s="247">
        <f t="shared" si="119"/>
        <v>0</v>
      </c>
      <c r="GK44" s="244"/>
      <c r="GL44" s="247">
        <f t="shared" si="120"/>
        <v>0</v>
      </c>
      <c r="GM44" s="244"/>
      <c r="GN44" s="247">
        <f t="shared" si="121"/>
        <v>0</v>
      </c>
      <c r="GO44" s="244"/>
      <c r="GP44" s="247">
        <f t="shared" si="122"/>
        <v>0</v>
      </c>
      <c r="GQ44" s="244"/>
      <c r="GR44" s="247">
        <f t="shared" si="123"/>
        <v>0</v>
      </c>
      <c r="GS44" s="247"/>
      <c r="GT44" s="244"/>
      <c r="GU44" s="247">
        <f t="shared" si="124"/>
        <v>0</v>
      </c>
      <c r="GV44" s="247"/>
      <c r="GW44" s="1038"/>
      <c r="GX44" s="247">
        <f t="shared" si="125"/>
        <v>0</v>
      </c>
      <c r="GY44" s="247"/>
      <c r="GZ44" s="1038"/>
      <c r="HA44" s="247">
        <f t="shared" si="126"/>
        <v>0</v>
      </c>
      <c r="HB44" s="247"/>
      <c r="HC44" s="1063"/>
      <c r="HD44" s="247">
        <f t="shared" si="127"/>
        <v>0</v>
      </c>
      <c r="HE44" s="247"/>
      <c r="HF44" s="244"/>
      <c r="HG44" s="247">
        <f t="shared" si="128"/>
        <v>0</v>
      </c>
      <c r="HH44" s="247"/>
      <c r="HI44" s="244"/>
      <c r="HJ44" s="247">
        <f t="shared" si="129"/>
        <v>0</v>
      </c>
      <c r="HK44" s="247"/>
      <c r="HL44" s="244"/>
      <c r="HM44" s="247">
        <f t="shared" si="130"/>
        <v>0</v>
      </c>
      <c r="HN44" s="247"/>
      <c r="HO44" s="244"/>
      <c r="HP44" s="247">
        <f t="shared" si="131"/>
        <v>0</v>
      </c>
      <c r="HQ44" s="247"/>
      <c r="HR44" s="244"/>
      <c r="HS44" s="247">
        <f t="shared" si="132"/>
        <v>0</v>
      </c>
      <c r="HT44" s="247"/>
      <c r="HU44" s="244"/>
      <c r="HV44" s="247">
        <f t="shared" si="133"/>
        <v>0</v>
      </c>
      <c r="HW44" s="247"/>
      <c r="HX44" s="247"/>
      <c r="HY44" s="247"/>
      <c r="HZ44" s="247"/>
      <c r="IA44" s="244"/>
      <c r="IB44" s="247">
        <f t="shared" si="134"/>
        <v>0</v>
      </c>
      <c r="IY44" s="244"/>
      <c r="IZ44" s="244"/>
      <c r="JB44" s="244"/>
      <c r="JC44" s="244">
        <f>JC43-JB43</f>
        <v>283023076.78111094</v>
      </c>
      <c r="JD44" s="244">
        <f>JD43-JC43</f>
        <v>540585566.01166677</v>
      </c>
      <c r="JE44" s="244">
        <f t="shared" ref="JE44:JF44" si="135">JE43-JD43</f>
        <v>523245291.2366662</v>
      </c>
      <c r="JF44" s="244">
        <f t="shared" si="135"/>
        <v>355564411.63000035</v>
      </c>
    </row>
    <row r="45" spans="1:266" ht="14.4" hidden="1" customHeight="1">
      <c r="A45" s="586">
        <v>5</v>
      </c>
      <c r="B45" s="242" t="s">
        <v>452</v>
      </c>
      <c r="D45" s="244">
        <f t="shared" si="5"/>
        <v>0</v>
      </c>
      <c r="E45" s="247">
        <f t="shared" si="6"/>
        <v>0</v>
      </c>
      <c r="F45" s="244">
        <f t="shared" si="7"/>
        <v>0</v>
      </c>
      <c r="G45" s="247">
        <f t="shared" si="8"/>
        <v>0</v>
      </c>
      <c r="H45" s="244">
        <f t="shared" si="9"/>
        <v>0</v>
      </c>
      <c r="I45" s="247">
        <f t="shared" si="10"/>
        <v>0</v>
      </c>
      <c r="J45" s="244">
        <f t="shared" si="11"/>
        <v>0</v>
      </c>
      <c r="K45" s="247">
        <f t="shared" si="12"/>
        <v>0</v>
      </c>
      <c r="L45" s="244">
        <f t="shared" si="13"/>
        <v>0</v>
      </c>
      <c r="M45" s="247">
        <f t="shared" si="14"/>
        <v>0</v>
      </c>
      <c r="N45" s="244">
        <f t="shared" si="15"/>
        <v>0</v>
      </c>
      <c r="O45" s="247">
        <f t="shared" si="16"/>
        <v>0</v>
      </c>
      <c r="P45" s="244">
        <f t="shared" si="17"/>
        <v>0</v>
      </c>
      <c r="Q45" s="247">
        <f t="shared" si="18"/>
        <v>0</v>
      </c>
      <c r="R45" s="244">
        <f t="shared" si="19"/>
        <v>0</v>
      </c>
      <c r="S45" s="247">
        <f t="shared" si="20"/>
        <v>0</v>
      </c>
      <c r="T45" s="244">
        <f t="shared" si="21"/>
        <v>0</v>
      </c>
      <c r="U45" s="247">
        <f t="shared" si="22"/>
        <v>0</v>
      </c>
      <c r="V45" s="244">
        <f t="shared" si="23"/>
        <v>0</v>
      </c>
      <c r="W45" s="247">
        <f t="shared" si="24"/>
        <v>0</v>
      </c>
      <c r="X45" s="244">
        <f t="shared" si="25"/>
        <v>0</v>
      </c>
      <c r="Y45" s="247">
        <f t="shared" si="26"/>
        <v>0</v>
      </c>
      <c r="Z45" s="244">
        <f t="shared" si="27"/>
        <v>0</v>
      </c>
      <c r="AA45" s="247">
        <f t="shared" si="28"/>
        <v>0</v>
      </c>
      <c r="AB45" s="244">
        <f t="shared" si="29"/>
        <v>0</v>
      </c>
      <c r="AC45" s="247">
        <f t="shared" si="30"/>
        <v>0</v>
      </c>
      <c r="AD45" s="244">
        <f t="shared" si="31"/>
        <v>0</v>
      </c>
      <c r="AE45" s="247">
        <f t="shared" si="32"/>
        <v>0</v>
      </c>
      <c r="AF45" s="244">
        <f t="shared" si="33"/>
        <v>0</v>
      </c>
      <c r="AG45" s="247">
        <f t="shared" si="34"/>
        <v>0</v>
      </c>
      <c r="AH45" s="244">
        <f t="shared" si="35"/>
        <v>0</v>
      </c>
      <c r="AI45" s="247">
        <f t="shared" si="36"/>
        <v>0</v>
      </c>
      <c r="AJ45" s="244">
        <f t="shared" si="37"/>
        <v>0</v>
      </c>
      <c r="AK45" s="247">
        <f t="shared" si="38"/>
        <v>0</v>
      </c>
      <c r="AL45" s="244">
        <f t="shared" si="39"/>
        <v>0</v>
      </c>
      <c r="AM45" s="247">
        <f t="shared" si="40"/>
        <v>0</v>
      </c>
      <c r="AN45" s="244">
        <f t="shared" si="41"/>
        <v>0</v>
      </c>
      <c r="AO45" s="247">
        <f t="shared" si="42"/>
        <v>0</v>
      </c>
      <c r="AP45" s="244">
        <f t="shared" si="43"/>
        <v>0</v>
      </c>
      <c r="AQ45" s="247">
        <f t="shared" si="44"/>
        <v>0</v>
      </c>
      <c r="AR45" s="244">
        <f t="shared" si="45"/>
        <v>0</v>
      </c>
      <c r="AS45" s="247">
        <f t="shared" si="46"/>
        <v>0</v>
      </c>
      <c r="AT45" s="244">
        <f t="shared" si="47"/>
        <v>0</v>
      </c>
      <c r="AU45" s="247">
        <f t="shared" si="48"/>
        <v>0</v>
      </c>
      <c r="AV45" s="244">
        <f t="shared" si="49"/>
        <v>0</v>
      </c>
      <c r="AW45" s="247">
        <f t="shared" si="50"/>
        <v>0</v>
      </c>
      <c r="AX45" s="244">
        <f t="shared" si="51"/>
        <v>0</v>
      </c>
      <c r="AY45" s="247">
        <f t="shared" si="52"/>
        <v>0</v>
      </c>
      <c r="AZ45" s="244">
        <f t="shared" si="53"/>
        <v>0</v>
      </c>
      <c r="BA45" s="247">
        <f t="shared" si="54"/>
        <v>0</v>
      </c>
      <c r="BB45" s="244">
        <f t="shared" si="55"/>
        <v>0</v>
      </c>
      <c r="BC45" s="247">
        <f t="shared" si="56"/>
        <v>0</v>
      </c>
      <c r="BD45" s="244">
        <f t="shared" si="57"/>
        <v>0</v>
      </c>
      <c r="BE45" s="247">
        <f t="shared" si="58"/>
        <v>0</v>
      </c>
      <c r="BF45" s="244">
        <f t="shared" si="59"/>
        <v>0</v>
      </c>
      <c r="BG45" s="247">
        <f t="shared" si="60"/>
        <v>0</v>
      </c>
      <c r="BH45" s="244">
        <f t="shared" si="61"/>
        <v>0</v>
      </c>
      <c r="BI45" s="247">
        <f t="shared" si="62"/>
        <v>0</v>
      </c>
      <c r="BJ45" s="244">
        <f t="shared" si="63"/>
        <v>0</v>
      </c>
      <c r="BK45" s="247">
        <f t="shared" si="64"/>
        <v>0</v>
      </c>
      <c r="BL45" s="244">
        <f t="shared" si="65"/>
        <v>0</v>
      </c>
      <c r="BM45" s="247">
        <f t="shared" si="66"/>
        <v>0</v>
      </c>
      <c r="BN45" s="244">
        <f t="shared" si="67"/>
        <v>0</v>
      </c>
      <c r="BO45" s="247">
        <f t="shared" si="68"/>
        <v>0</v>
      </c>
      <c r="BP45" s="244">
        <f t="shared" si="69"/>
        <v>0</v>
      </c>
      <c r="BQ45" s="247">
        <f t="shared" si="70"/>
        <v>0</v>
      </c>
      <c r="BR45" s="244">
        <f t="shared" si="71"/>
        <v>67995.546000000002</v>
      </c>
      <c r="BS45" s="247">
        <f t="shared" si="72"/>
        <v>8.4938611869180209E-4</v>
      </c>
      <c r="BT45" s="244">
        <f>BT24/$A20*3</f>
        <v>34462977.702</v>
      </c>
      <c r="BU45" s="247" t="e">
        <f t="shared" si="73"/>
        <v>#REF!</v>
      </c>
      <c r="BV45" s="244">
        <f>BV24/$A20*3</f>
        <v>34701575.94599998</v>
      </c>
      <c r="BW45" s="247" t="e">
        <f t="shared" si="74"/>
        <v>#REF!</v>
      </c>
      <c r="BX45" s="244">
        <f>BX24/$A20*3</f>
        <v>37166351.285999998</v>
      </c>
      <c r="BY45" s="247" t="e">
        <f t="shared" si="75"/>
        <v>#REF!</v>
      </c>
      <c r="BZ45" s="244">
        <f>BZ24/$A20*3</f>
        <v>39908694.690000027</v>
      </c>
      <c r="CA45" s="247" t="e">
        <f t="shared" si="76"/>
        <v>#REF!</v>
      </c>
      <c r="CB45" s="244">
        <f>CB20/$A20*3</f>
        <v>0</v>
      </c>
      <c r="CC45" s="247" t="e">
        <f t="shared" si="77"/>
        <v>#REF!</v>
      </c>
      <c r="CD45" s="244">
        <f t="shared" si="78"/>
        <v>0</v>
      </c>
      <c r="CE45" s="247">
        <f t="shared" si="79"/>
        <v>0</v>
      </c>
      <c r="CF45" s="244">
        <f t="shared" si="80"/>
        <v>0</v>
      </c>
      <c r="CG45" s="247">
        <f t="shared" si="81"/>
        <v>0</v>
      </c>
      <c r="CH45" s="244">
        <f t="shared" si="82"/>
        <v>0</v>
      </c>
      <c r="CI45" s="247">
        <f t="shared" si="83"/>
        <v>0</v>
      </c>
      <c r="CJ45" s="247"/>
      <c r="CK45" s="244">
        <f>IF(CK41&gt;$A20,CK20,CK20/$A20*$CK$41)</f>
        <v>0</v>
      </c>
      <c r="CL45" s="247">
        <f t="shared" si="84"/>
        <v>0</v>
      </c>
      <c r="CM45" s="326"/>
      <c r="CN45" s="244"/>
      <c r="CO45" s="247">
        <f t="shared" si="85"/>
        <v>0</v>
      </c>
      <c r="CP45" s="326"/>
      <c r="CQ45" s="244"/>
      <c r="CR45" s="247">
        <f t="shared" si="86"/>
        <v>0</v>
      </c>
      <c r="CS45" s="326"/>
      <c r="CT45" s="244"/>
      <c r="CU45" s="247">
        <f t="shared" si="87"/>
        <v>0</v>
      </c>
      <c r="CV45" s="198"/>
      <c r="CW45" s="244"/>
      <c r="CX45" s="247">
        <f t="shared" si="88"/>
        <v>0</v>
      </c>
      <c r="CY45" s="247"/>
      <c r="CZ45" s="244"/>
      <c r="DA45" s="247">
        <f t="shared" si="89"/>
        <v>0</v>
      </c>
      <c r="DB45" s="247"/>
      <c r="DC45" s="244"/>
      <c r="DD45" s="247">
        <f t="shared" si="90"/>
        <v>0</v>
      </c>
      <c r="DE45" s="247"/>
      <c r="DF45" s="244"/>
      <c r="DG45" s="247">
        <f t="shared" si="91"/>
        <v>0</v>
      </c>
      <c r="DH45" s="440"/>
      <c r="DI45" s="244"/>
      <c r="DJ45" s="247">
        <f t="shared" si="92"/>
        <v>0</v>
      </c>
      <c r="DK45" s="247"/>
      <c r="DL45" s="244"/>
      <c r="DM45" s="247">
        <f t="shared" si="93"/>
        <v>0</v>
      </c>
      <c r="DN45" s="440"/>
      <c r="DO45" s="244"/>
      <c r="DP45" s="247">
        <f t="shared" si="94"/>
        <v>0</v>
      </c>
      <c r="DQ45" s="247"/>
      <c r="DR45" s="244"/>
      <c r="DS45" s="247">
        <f t="shared" si="95"/>
        <v>0</v>
      </c>
      <c r="DT45" s="440"/>
      <c r="DU45" s="244"/>
      <c r="DV45" s="247">
        <f t="shared" si="96"/>
        <v>0</v>
      </c>
      <c r="DW45" s="440"/>
      <c r="DX45" s="244"/>
      <c r="DY45" s="247">
        <f t="shared" si="97"/>
        <v>0</v>
      </c>
      <c r="DZ45" s="440"/>
      <c r="EA45" s="244"/>
      <c r="EB45" s="247">
        <f t="shared" si="98"/>
        <v>0</v>
      </c>
      <c r="EC45" s="440"/>
      <c r="ED45" s="244"/>
      <c r="EE45" s="247">
        <f t="shared" si="99"/>
        <v>0</v>
      </c>
      <c r="EF45" s="440"/>
      <c r="EG45" s="244"/>
      <c r="EH45" s="247">
        <f t="shared" si="100"/>
        <v>0</v>
      </c>
      <c r="EI45" s="247"/>
      <c r="EJ45" s="244"/>
      <c r="EK45" s="247">
        <f t="shared" si="101"/>
        <v>0</v>
      </c>
      <c r="EL45" s="247"/>
      <c r="EM45" s="244"/>
      <c r="EN45" s="247">
        <f t="shared" si="102"/>
        <v>0</v>
      </c>
      <c r="EO45" s="247"/>
      <c r="EP45" s="244"/>
      <c r="EQ45" s="247">
        <f t="shared" si="103"/>
        <v>0</v>
      </c>
      <c r="ER45" s="440"/>
      <c r="ES45" s="244"/>
      <c r="ET45" s="247">
        <f t="shared" si="104"/>
        <v>0</v>
      </c>
      <c r="EU45" s="247"/>
      <c r="EV45" s="244"/>
      <c r="EW45" s="247">
        <f t="shared" si="105"/>
        <v>0</v>
      </c>
      <c r="EX45" s="440"/>
      <c r="EY45" s="244"/>
      <c r="EZ45" s="247">
        <f t="shared" si="106"/>
        <v>0</v>
      </c>
      <c r="FA45" s="247"/>
      <c r="FB45" s="244"/>
      <c r="FC45" s="247">
        <f t="shared" si="107"/>
        <v>0</v>
      </c>
      <c r="FD45" s="440"/>
      <c r="FE45" s="244"/>
      <c r="FF45" s="247">
        <f t="shared" si="108"/>
        <v>0</v>
      </c>
      <c r="FG45" s="440"/>
      <c r="FH45" s="244"/>
      <c r="FI45" s="247">
        <f t="shared" si="109"/>
        <v>0</v>
      </c>
      <c r="FJ45" s="440"/>
      <c r="FK45" s="244"/>
      <c r="FL45" s="247">
        <f t="shared" si="110"/>
        <v>0</v>
      </c>
      <c r="FM45" s="440"/>
      <c r="FN45" s="244"/>
      <c r="FO45" s="247">
        <f t="shared" si="111"/>
        <v>0</v>
      </c>
      <c r="FP45" s="440"/>
      <c r="FQ45" s="244"/>
      <c r="FR45" s="247">
        <f t="shared" si="112"/>
        <v>0</v>
      </c>
      <c r="FS45" s="247"/>
      <c r="FT45" s="244"/>
      <c r="FU45" s="247">
        <f t="shared" si="113"/>
        <v>0</v>
      </c>
      <c r="FV45" s="247"/>
      <c r="FW45" s="244"/>
      <c r="FX45" s="247">
        <f t="shared" si="114"/>
        <v>0</v>
      </c>
      <c r="FY45" s="247"/>
      <c r="FZ45" s="244"/>
      <c r="GA45" s="247">
        <f t="shared" si="115"/>
        <v>0</v>
      </c>
      <c r="GB45" s="247"/>
      <c r="GC45" s="244"/>
      <c r="GD45" s="247">
        <f t="shared" si="116"/>
        <v>0</v>
      </c>
      <c r="GE45" s="244"/>
      <c r="GF45" s="247">
        <f t="shared" si="117"/>
        <v>0</v>
      </c>
      <c r="GG45" s="244"/>
      <c r="GH45" s="247">
        <f t="shared" si="118"/>
        <v>0</v>
      </c>
      <c r="GI45" s="244"/>
      <c r="GJ45" s="247">
        <f t="shared" si="119"/>
        <v>0</v>
      </c>
      <c r="GK45" s="244"/>
      <c r="GL45" s="247">
        <f t="shared" si="120"/>
        <v>0</v>
      </c>
      <c r="GM45" s="244"/>
      <c r="GN45" s="247">
        <f t="shared" si="121"/>
        <v>0</v>
      </c>
      <c r="GO45" s="244"/>
      <c r="GP45" s="247">
        <f t="shared" si="122"/>
        <v>0</v>
      </c>
      <c r="GQ45" s="244"/>
      <c r="GR45" s="247">
        <f t="shared" si="123"/>
        <v>0</v>
      </c>
      <c r="GS45" s="247"/>
      <c r="GT45" s="244"/>
      <c r="GU45" s="247">
        <f t="shared" si="124"/>
        <v>0</v>
      </c>
      <c r="GV45" s="247"/>
      <c r="GW45" s="1038"/>
      <c r="GX45" s="247">
        <f t="shared" si="125"/>
        <v>0</v>
      </c>
      <c r="GY45" s="247"/>
      <c r="GZ45" s="1038"/>
      <c r="HA45" s="247">
        <f t="shared" si="126"/>
        <v>0</v>
      </c>
      <c r="HB45" s="247"/>
      <c r="HC45" s="1063"/>
      <c r="HD45" s="247">
        <f t="shared" si="127"/>
        <v>0</v>
      </c>
      <c r="HE45" s="247"/>
      <c r="HF45" s="244"/>
      <c r="HG45" s="247">
        <f t="shared" si="128"/>
        <v>0</v>
      </c>
      <c r="HH45" s="247"/>
      <c r="HI45" s="244"/>
      <c r="HJ45" s="247">
        <f t="shared" si="129"/>
        <v>0</v>
      </c>
      <c r="HK45" s="247"/>
      <c r="HL45" s="244"/>
      <c r="HM45" s="247">
        <f t="shared" si="130"/>
        <v>0</v>
      </c>
      <c r="HN45" s="247"/>
      <c r="HO45" s="244"/>
      <c r="HP45" s="247">
        <f t="shared" si="131"/>
        <v>0</v>
      </c>
      <c r="HQ45" s="247"/>
      <c r="HR45" s="244"/>
      <c r="HS45" s="247">
        <f t="shared" si="132"/>
        <v>0</v>
      </c>
      <c r="HT45" s="247"/>
      <c r="HU45" s="244"/>
      <c r="HV45" s="247">
        <f t="shared" si="133"/>
        <v>0</v>
      </c>
      <c r="HW45" s="247"/>
      <c r="HX45" s="247"/>
      <c r="HY45" s="247"/>
      <c r="HZ45" s="247"/>
      <c r="IA45" s="244"/>
      <c r="IB45" s="247">
        <f t="shared" si="134"/>
        <v>0</v>
      </c>
      <c r="IC45" s="198"/>
      <c r="ID45" s="198"/>
      <c r="IE45" s="198"/>
      <c r="IX45" s="244"/>
      <c r="IY45" s="244"/>
      <c r="IZ45" s="244"/>
      <c r="JA45" s="244"/>
      <c r="JB45" s="244"/>
      <c r="JC45" s="244"/>
    </row>
    <row r="46" spans="1:266" ht="14.4" hidden="1" customHeight="1">
      <c r="A46" s="586">
        <v>6</v>
      </c>
      <c r="B46" s="242" t="s">
        <v>444</v>
      </c>
      <c r="D46" s="244">
        <f t="shared" si="5"/>
        <v>9581172.2400000002</v>
      </c>
      <c r="E46" s="247">
        <f t="shared" si="6"/>
        <v>0.8156277237638031</v>
      </c>
      <c r="F46" s="244">
        <f t="shared" si="7"/>
        <v>9527254.8250000067</v>
      </c>
      <c r="G46" s="247">
        <f t="shared" si="8"/>
        <v>0.7932430408453699</v>
      </c>
      <c r="H46" s="244">
        <f t="shared" si="9"/>
        <v>11182843.530000001</v>
      </c>
      <c r="I46" s="247">
        <f t="shared" si="10"/>
        <v>0.80625070847239755</v>
      </c>
      <c r="J46" s="244">
        <f t="shared" si="11"/>
        <v>13118861.535000008</v>
      </c>
      <c r="K46" s="247">
        <f t="shared" si="12"/>
        <v>0.82827359472882578</v>
      </c>
      <c r="L46" s="244">
        <f t="shared" si="13"/>
        <v>13576510.447500002</v>
      </c>
      <c r="M46" s="247">
        <f t="shared" si="14"/>
        <v>0.80581679750539903</v>
      </c>
      <c r="N46" s="244">
        <f t="shared" si="15"/>
        <v>13690570.042500004</v>
      </c>
      <c r="O46" s="247">
        <f t="shared" si="16"/>
        <v>0.7183352319478491</v>
      </c>
      <c r="P46" s="244">
        <f t="shared" si="17"/>
        <v>13787481.234999999</v>
      </c>
      <c r="Q46" s="247">
        <f t="shared" si="18"/>
        <v>0.65118255996386853</v>
      </c>
      <c r="R46" s="244">
        <f t="shared" si="19"/>
        <v>14217407.355</v>
      </c>
      <c r="S46" s="247">
        <f t="shared" si="20"/>
        <v>0.64620890460563007</v>
      </c>
      <c r="T46" s="244">
        <f t="shared" si="21"/>
        <v>15483141.914999999</v>
      </c>
      <c r="U46" s="247">
        <f t="shared" si="22"/>
        <v>0.6377621660099746</v>
      </c>
      <c r="V46" s="244">
        <f t="shared" si="23"/>
        <v>17162422.190000001</v>
      </c>
      <c r="W46" s="247">
        <f t="shared" si="24"/>
        <v>0.62907584745273726</v>
      </c>
      <c r="X46" s="244">
        <f t="shared" si="25"/>
        <v>15258154.535</v>
      </c>
      <c r="Y46" s="247">
        <f t="shared" si="26"/>
        <v>0.57048460964799341</v>
      </c>
      <c r="Z46" s="244">
        <f t="shared" si="27"/>
        <v>14437675.129999999</v>
      </c>
      <c r="AA46" s="247">
        <f t="shared" si="28"/>
        <v>0.52873666998008562</v>
      </c>
      <c r="AB46" s="244">
        <f t="shared" si="29"/>
        <v>14369185</v>
      </c>
      <c r="AC46" s="247">
        <f t="shared" si="30"/>
        <v>0.48078261248464677</v>
      </c>
      <c r="AD46" s="244">
        <f t="shared" si="31"/>
        <v>14935771.915000001</v>
      </c>
      <c r="AE46" s="247">
        <f t="shared" si="32"/>
        <v>0.47886867355863527</v>
      </c>
      <c r="AF46" s="244">
        <f t="shared" si="33"/>
        <v>16920670.18</v>
      </c>
      <c r="AG46" s="247">
        <f t="shared" si="34"/>
        <v>0.48975987189010933</v>
      </c>
      <c r="AH46" s="244">
        <f t="shared" si="35"/>
        <v>16815845.205000002</v>
      </c>
      <c r="AI46" s="247">
        <f t="shared" si="36"/>
        <v>0.45524207415545731</v>
      </c>
      <c r="AJ46" s="244">
        <f t="shared" si="37"/>
        <v>19064777.675000001</v>
      </c>
      <c r="AK46" s="247">
        <f t="shared" si="38"/>
        <v>0.45615773328065695</v>
      </c>
      <c r="AL46" s="244">
        <f t="shared" si="39"/>
        <v>20369103.872499999</v>
      </c>
      <c r="AM46" s="247">
        <f t="shared" si="40"/>
        <v>0.44350968967861698</v>
      </c>
      <c r="AN46" s="244">
        <f t="shared" si="41"/>
        <v>25143699.397499997</v>
      </c>
      <c r="AO46" s="247">
        <f t="shared" si="42"/>
        <v>0.45259044933062348</v>
      </c>
      <c r="AP46" s="244">
        <f t="shared" si="43"/>
        <v>25590151.469999999</v>
      </c>
      <c r="AQ46" s="247">
        <f t="shared" si="44"/>
        <v>0.44073675079552227</v>
      </c>
      <c r="AR46" s="244">
        <f t="shared" si="45"/>
        <v>26472197.745000005</v>
      </c>
      <c r="AS46" s="247">
        <f t="shared" si="46"/>
        <v>0.43435605695937501</v>
      </c>
      <c r="AT46" s="244">
        <f t="shared" si="47"/>
        <v>30907323.439999998</v>
      </c>
      <c r="AU46" s="247">
        <f t="shared" si="48"/>
        <v>0.44698323558246283</v>
      </c>
      <c r="AV46" s="244">
        <f t="shared" si="49"/>
        <v>28487399.209999949</v>
      </c>
      <c r="AW46" s="247">
        <f t="shared" si="50"/>
        <v>0.43057671196918229</v>
      </c>
      <c r="AX46" s="244">
        <f t="shared" si="51"/>
        <v>24809835.010000002</v>
      </c>
      <c r="AY46" s="247">
        <f t="shared" si="52"/>
        <v>0.41062787278718277</v>
      </c>
      <c r="AZ46" s="244">
        <f t="shared" si="53"/>
        <v>24115746.845000003</v>
      </c>
      <c r="BA46" s="247">
        <f t="shared" si="54"/>
        <v>0.40435372825840554</v>
      </c>
      <c r="BB46" s="244">
        <f t="shared" si="55"/>
        <v>24583415.214999989</v>
      </c>
      <c r="BC46" s="247">
        <f t="shared" si="56"/>
        <v>0.40977436913304494</v>
      </c>
      <c r="BD46" s="244">
        <f t="shared" si="57"/>
        <v>22212033.220000003</v>
      </c>
      <c r="BE46" s="247">
        <f t="shared" si="58"/>
        <v>0.38886922465114654</v>
      </c>
      <c r="BF46" s="244">
        <f t="shared" si="59"/>
        <v>20817931.085000001</v>
      </c>
      <c r="BG46" s="247">
        <f t="shared" si="60"/>
        <v>0.35748737286586629</v>
      </c>
      <c r="BH46" s="244">
        <f t="shared" si="61"/>
        <v>20651387.780000001</v>
      </c>
      <c r="BI46" s="247">
        <f t="shared" si="62"/>
        <v>0.34605680775328723</v>
      </c>
      <c r="BJ46" s="244">
        <f t="shared" si="63"/>
        <v>20021869.41</v>
      </c>
      <c r="BK46" s="247">
        <f t="shared" si="64"/>
        <v>0.30935293871841468</v>
      </c>
      <c r="BL46" s="244">
        <f t="shared" si="65"/>
        <v>21550577.16</v>
      </c>
      <c r="BM46" s="247">
        <f t="shared" si="66"/>
        <v>0.29155815247111672</v>
      </c>
      <c r="BN46" s="244">
        <f t="shared" si="67"/>
        <v>21348872.000000007</v>
      </c>
      <c r="BO46" s="247">
        <f t="shared" si="68"/>
        <v>0.29916615869594376</v>
      </c>
      <c r="BP46" s="244">
        <f t="shared" si="69"/>
        <v>22948584.555</v>
      </c>
      <c r="BQ46" s="247">
        <f t="shared" si="70"/>
        <v>0.3076217910304983</v>
      </c>
      <c r="BR46" s="244">
        <f t="shared" si="71"/>
        <v>23988305.970000003</v>
      </c>
      <c r="BS46" s="247">
        <f t="shared" si="72"/>
        <v>0.29965689373021115</v>
      </c>
      <c r="BT46" s="244">
        <f>BT27/$A21*3</f>
        <v>8154812.5850000009</v>
      </c>
      <c r="BU46" s="247" t="e">
        <f t="shared" si="73"/>
        <v>#REF!</v>
      </c>
      <c r="BV46" s="244">
        <f>BV27/$A21*3</f>
        <v>9126466.7199999988</v>
      </c>
      <c r="BW46" s="247" t="e">
        <f t="shared" si="74"/>
        <v>#REF!</v>
      </c>
      <c r="BX46" s="244">
        <f>BX27/$A21*3</f>
        <v>10195949.75</v>
      </c>
      <c r="BY46" s="247" t="e">
        <f t="shared" si="75"/>
        <v>#REF!</v>
      </c>
      <c r="BZ46" s="244">
        <f>BZ27/$A21*3</f>
        <v>10282171.570000002</v>
      </c>
      <c r="CA46" s="247" t="e">
        <f t="shared" si="76"/>
        <v>#REF!</v>
      </c>
      <c r="CB46" s="244">
        <f>CB21/$A21*3</f>
        <v>29686652.350000009</v>
      </c>
      <c r="CC46" s="247" t="e">
        <f t="shared" si="77"/>
        <v>#REF!</v>
      </c>
      <c r="CD46" s="244">
        <f t="shared" si="78"/>
        <v>34120809.695</v>
      </c>
      <c r="CE46" s="247">
        <f t="shared" si="79"/>
        <v>0.30693958873598792</v>
      </c>
      <c r="CF46" s="244">
        <f t="shared" si="80"/>
        <v>37537460.439999983</v>
      </c>
      <c r="CG46" s="247">
        <f t="shared" si="81"/>
        <v>0.31580803856043721</v>
      </c>
      <c r="CH46" s="244">
        <f t="shared" si="82"/>
        <v>42323263.910000011</v>
      </c>
      <c r="CI46" s="247">
        <f t="shared" si="83"/>
        <v>0.33173081308094088</v>
      </c>
      <c r="CJ46" s="247"/>
      <c r="CK46" s="244">
        <f>IF(CK41&gt;$A21,CK21,CK21/$A21*$CK$41)</f>
        <v>46295051.475000039</v>
      </c>
      <c r="CL46" s="247">
        <f t="shared" si="84"/>
        <v>0.33500996763662638</v>
      </c>
      <c r="CM46" s="326"/>
      <c r="CN46" s="244">
        <f>IF(CN41&gt;$A21,CN21,CN21/$A21*$CN$41)</f>
        <v>85759990</v>
      </c>
      <c r="CO46" s="247">
        <f t="shared" si="85"/>
        <v>0.24279163698073086</v>
      </c>
      <c r="CP46" s="326"/>
      <c r="CQ46" s="244">
        <f>IF(CQ41&gt;$A21,CQ21,CQ21/$A21*$CQ$41)</f>
        <v>78596304.770000011</v>
      </c>
      <c r="CR46" s="247">
        <f t="shared" si="86"/>
        <v>0.20303900032378727</v>
      </c>
      <c r="CS46" s="326"/>
      <c r="CT46" s="244">
        <f>IF(CT41&gt;$A21,CT21,CT21/$A21*$CT$41)</f>
        <v>65978777.790000051</v>
      </c>
      <c r="CU46" s="247">
        <f t="shared" si="87"/>
        <v>0.14890986403347933</v>
      </c>
      <c r="CV46" s="198"/>
      <c r="CW46" s="244">
        <f>IF(CW41&gt;$A21,CW21,CW21/$A21*$CW$41)</f>
        <v>69013229.660000026</v>
      </c>
      <c r="CX46" s="247">
        <f t="shared" si="88"/>
        <v>0.14998454547547782</v>
      </c>
      <c r="CY46" s="247"/>
      <c r="CZ46" s="244">
        <f>IF(CZ41&gt;$A21,CZ21,CZ21/$A21*$CZ$41)</f>
        <v>67899276.569999963</v>
      </c>
      <c r="DA46" s="247">
        <f t="shared" si="89"/>
        <v>0.1431991133345264</v>
      </c>
      <c r="DB46" s="247"/>
      <c r="DC46" s="244">
        <f>IF(DC41&gt;$A21,DC21,DC21/$A21*$DC$41)</f>
        <v>68485559.49999994</v>
      </c>
      <c r="DD46" s="247">
        <f t="shared" si="90"/>
        <v>0.13661854443479771</v>
      </c>
      <c r="DE46" s="247"/>
      <c r="DF46" s="244">
        <f>IF(DF41&gt;$A21,DF21,DF21/$A21*$DF$41)</f>
        <v>73026786</v>
      </c>
      <c r="DG46" s="247">
        <f t="shared" si="91"/>
        <v>0.13668198457567537</v>
      </c>
      <c r="DH46" s="440"/>
      <c r="DI46" s="244">
        <f>IF(DI41&gt;$A21,DI21,DI21/$A21*$DI$41)</f>
        <v>73940613.99999994</v>
      </c>
      <c r="DJ46" s="247">
        <f t="shared" si="92"/>
        <v>0.13337414738593659</v>
      </c>
      <c r="DK46" s="247"/>
      <c r="DL46" s="244">
        <f>IF(DL41&gt;$A21,DL21,DL21/$A21*$DL$41)</f>
        <v>81605683.890000015</v>
      </c>
      <c r="DM46" s="247">
        <f t="shared" si="93"/>
        <v>0.14141132460115036</v>
      </c>
      <c r="DN46" s="440"/>
      <c r="DO46" s="244">
        <f>IF(DO41&gt;$A21,DO21,DO21/$A21*$DO$41)</f>
        <v>83703502.170000032</v>
      </c>
      <c r="DP46" s="247">
        <f t="shared" si="94"/>
        <v>0.13684717171499836</v>
      </c>
      <c r="DQ46" s="247"/>
      <c r="DR46" s="244">
        <f>IF(DR41&gt;$A21,DR21,DR21/$A21*$DR$41)</f>
        <v>78262200.010000005</v>
      </c>
      <c r="DS46" s="247">
        <f t="shared" si="95"/>
        <v>0.12572079077510459</v>
      </c>
      <c r="DT46" s="440"/>
      <c r="DU46" s="244">
        <f>IF(DU41&gt;$A21,DU21,DU21/$A21*$DU$41)</f>
        <v>88652291.410000145</v>
      </c>
      <c r="DV46" s="247">
        <f t="shared" si="96"/>
        <v>0.12893035072409956</v>
      </c>
      <c r="DW46" s="440"/>
      <c r="DX46" s="244">
        <f>IF(DX41&gt;$A21,DX21,DX21/$A21*$DX$41)</f>
        <v>72578447.75999999</v>
      </c>
      <c r="DY46" s="247">
        <f t="shared" si="97"/>
        <v>0.10814834175129723</v>
      </c>
      <c r="DZ46" s="440"/>
      <c r="EA46" s="244">
        <f>IF(EA41&gt;$A21,EA21,EA21/$A21*$EA$41)</f>
        <v>65047578.64000006</v>
      </c>
      <c r="EB46" s="247">
        <f t="shared" si="98"/>
        <v>9.3037925269142355E-2</v>
      </c>
      <c r="EC46" s="440"/>
      <c r="ED46" s="244">
        <f>IF(ED41&gt;$A21,ED21,ED21/$A21*$ED41)</f>
        <v>54885976.179999977</v>
      </c>
      <c r="EE46" s="247">
        <f t="shared" si="99"/>
        <v>7.4168781666802269E-2</v>
      </c>
      <c r="EF46" s="440"/>
      <c r="EG46" s="244">
        <f>IF(EG41&gt;$A21,EG21,EG21/$A21*EG41)</f>
        <v>41075898.479999959</v>
      </c>
      <c r="EH46" s="247">
        <f t="shared" si="100"/>
        <v>5.1380262391868374E-2</v>
      </c>
      <c r="EI46" s="247"/>
      <c r="EJ46" s="244">
        <f>IF(EJ41&gt;$A21,EJ21,EJ21/$A21*EJ41)</f>
        <v>32798350.780000038</v>
      </c>
      <c r="EK46" s="247">
        <f t="shared" si="101"/>
        <v>3.9063335801368768E-2</v>
      </c>
      <c r="EL46" s="247"/>
      <c r="EM46" s="244">
        <f>IF(EM$41&gt;$A21,EM21,EM21/$A21*EM$41)</f>
        <v>29460526.490000002</v>
      </c>
      <c r="EN46" s="247">
        <f t="shared" si="102"/>
        <v>3.3073992957820847E-2</v>
      </c>
      <c r="EO46" s="247"/>
      <c r="EP46" s="244">
        <f>IF(EP41&gt;$A21,EP21,EP21/$A21*$EP$41)</f>
        <v>24924853.570000011</v>
      </c>
      <c r="EQ46" s="247">
        <f t="shared" si="103"/>
        <v>2.6335412572691924E-2</v>
      </c>
      <c r="ER46" s="440"/>
      <c r="ES46" s="244">
        <f>IF(ES41&gt;$A21,ES21,ES21/$A21*$DI$41)</f>
        <v>18110908.509999987</v>
      </c>
      <c r="ET46" s="247">
        <f t="shared" si="104"/>
        <v>1.8197491879927565E-2</v>
      </c>
      <c r="EU46" s="247"/>
      <c r="EV46" s="244">
        <f>IF(EV41&gt;$A21,EV21,EV21/$A21*$EV$41)</f>
        <v>15907778.729999978</v>
      </c>
      <c r="EW46" s="247">
        <f t="shared" si="105"/>
        <v>1.4728225483647755E-2</v>
      </c>
      <c r="EX46" s="440"/>
      <c r="EY46" s="244">
        <f>IF(EY41&gt;$A21,EY21,EY21/$A21*$EY$41)</f>
        <v>14150152.329999989</v>
      </c>
      <c r="EZ46" s="247">
        <f t="shared" si="106"/>
        <v>1.3669920396601316E-2</v>
      </c>
      <c r="FA46" s="247"/>
      <c r="FB46" s="244">
        <f>IF(FB41&gt;$A21,FB21,FB21/$A21*$DR$41)</f>
        <v>15109039.399999999</v>
      </c>
      <c r="FC46" s="247">
        <f t="shared" si="107"/>
        <v>1.2557898908306451E-2</v>
      </c>
      <c r="FD46" s="440"/>
      <c r="FE46" s="244">
        <f>IF(FE41&gt;$A21,FE21,FE21/$A21*$FE$41)</f>
        <v>13930742.800000001</v>
      </c>
      <c r="FF46" s="247">
        <f t="shared" si="108"/>
        <v>1.1668746823270015E-2</v>
      </c>
      <c r="FG46" s="440"/>
      <c r="FH46" s="244">
        <f>IF(FH41&gt;$A21,FH21,FH21/$A21*$FH$41)</f>
        <v>2275128.7516666688</v>
      </c>
      <c r="FI46" s="247">
        <f t="shared" si="109"/>
        <v>1.6055072111181901E-2</v>
      </c>
      <c r="FJ46" s="440"/>
      <c r="FK46" s="244">
        <f>IF(FK41&gt;$A21,FK21,FK21/$A21*$FK$41)</f>
        <v>6856779.185000008</v>
      </c>
      <c r="FL46" s="247">
        <f t="shared" si="110"/>
        <v>1.514672894211605E-2</v>
      </c>
      <c r="FM46" s="440"/>
      <c r="FN46" s="244">
        <f>IF(FN41&gt;$A21,FN21,FN21/$A21*$FN$41)</f>
        <v>12989314.360000022</v>
      </c>
      <c r="FO46" s="247">
        <f t="shared" si="111"/>
        <v>8.1350552620143967E-3</v>
      </c>
      <c r="FP46" s="440"/>
      <c r="FQ46" s="244">
        <f>IF(FQ41&gt;$A21,FQ21,FQ21/$A21*$FQ$41)</f>
        <v>13496629.320000043</v>
      </c>
      <c r="FR46" s="247">
        <f t="shared" si="112"/>
        <v>9.2343828228602723E-3</v>
      </c>
      <c r="FS46" s="247"/>
      <c r="FT46" s="244">
        <f>IF(FT41&gt;$A21,FT21,FT21/$A21*$FT$41)</f>
        <v>14376707.050000032</v>
      </c>
      <c r="FU46" s="247">
        <f t="shared" si="113"/>
        <v>9.6081364978753952E-3</v>
      </c>
      <c r="FV46" s="247"/>
      <c r="FW46" s="244">
        <f>IF(FW41&gt;$A21,FW21,FW21/$A21*$FW$41)</f>
        <v>14150472.100000041</v>
      </c>
      <c r="FX46" s="247">
        <f t="shared" si="114"/>
        <v>9.2614420653439489E-3</v>
      </c>
      <c r="FY46" s="247"/>
      <c r="FZ46" s="244">
        <f>IF(FZ41&gt;$A21,FZ21,FZ21/$A21*$FZ$41)</f>
        <v>12855283.61000005</v>
      </c>
      <c r="GA46" s="247">
        <f t="shared" si="115"/>
        <v>7.0838013030775741E-3</v>
      </c>
      <c r="GB46" s="247"/>
      <c r="GC46" s="244">
        <f>IF(GC41&gt;$A21,GC21,GC21/$A21*$GC$41)</f>
        <v>12684323.290000055</v>
      </c>
      <c r="GD46" s="247">
        <f t="shared" si="116"/>
        <v>8.1307312693425348E-3</v>
      </c>
      <c r="GE46" s="244">
        <v>6034942.4600000251</v>
      </c>
      <c r="GF46" s="247">
        <f t="shared" si="117"/>
        <v>1.0996222739575337E-2</v>
      </c>
      <c r="GG46" s="244">
        <f>IF(GG41&gt;$A21,GG21,GG21/$A21*$GM$41)</f>
        <v>33552254.369999997</v>
      </c>
      <c r="GH46" s="247">
        <f t="shared" si="118"/>
        <v>1.0778226669677817E-2</v>
      </c>
      <c r="GI46" s="244">
        <f>IF(GI41&gt;$A21,GI21,GI21/$A21*$GM$41)</f>
        <v>42995068.500000015</v>
      </c>
      <c r="GJ46" s="247">
        <f t="shared" si="119"/>
        <v>1.2946887415627739E-2</v>
      </c>
      <c r="GK46" s="244">
        <f>IF(GK41&gt;$A21,GK21,GK21/$A21*$GM$41)</f>
        <v>37318984.830000058</v>
      </c>
      <c r="GL46" s="247">
        <f t="shared" si="120"/>
        <v>1.112320447052422E-2</v>
      </c>
      <c r="GM46" s="244">
        <f>IF(GM41&gt;$A21,GM21,GM21/$A21*$GM$41)</f>
        <v>9692563.1999999955</v>
      </c>
      <c r="GN46" s="247">
        <f t="shared" si="121"/>
        <v>4.8771677204241491E-3</v>
      </c>
      <c r="GO46" s="244">
        <f>IF(GO41&gt;$A21,GO21,GO21/$A21*$GO$41)</f>
        <v>9328782.2100000009</v>
      </c>
      <c r="GP46" s="247">
        <f>+GO46/GO$61</f>
        <v>4.6909179855102942E-3</v>
      </c>
      <c r="GQ46" s="244">
        <f>IF(GQ41&gt;$A21,GQ21,GQ21/$A21*$GQ$41)</f>
        <v>8828923.200000003</v>
      </c>
      <c r="GR46" s="247">
        <f t="shared" si="123"/>
        <v>5.3004441890710059E-3</v>
      </c>
      <c r="GS46" s="247"/>
      <c r="GT46" s="244">
        <f>IF(GT41&gt;$A21,GT21,GT21/$A21*$GT$41)</f>
        <v>1173127.1233333333</v>
      </c>
      <c r="GU46" s="247">
        <f t="shared" si="124"/>
        <v>4.9162154616043544E-3</v>
      </c>
      <c r="GV46" s="247"/>
      <c r="GW46" s="1038">
        <f>IF(GW41&gt;$A21,GW21,GW21/$A21*$GW$41)</f>
        <v>6318503.1500000004</v>
      </c>
      <c r="GX46" s="247">
        <f t="shared" si="125"/>
        <v>4.1250786384267575E-3</v>
      </c>
      <c r="GY46" s="247"/>
      <c r="GZ46" s="1038">
        <f>IF(GZ41&gt;$A21,GZ21,GZ21/$A21*$GZ$41)</f>
        <v>1022387.7916666666</v>
      </c>
      <c r="HA46" s="247">
        <f t="shared" si="126"/>
        <v>4.6441743945076471E-3</v>
      </c>
      <c r="HB46" s="247"/>
      <c r="HC46" s="1063">
        <f>IF(HC41&gt;$A21,HC21,HC21/$A21*$HC$41)</f>
        <v>6784288.9399999985</v>
      </c>
      <c r="HD46" s="247">
        <f t="shared" si="127"/>
        <v>4.2031480929595735E-3</v>
      </c>
      <c r="HE46" s="247"/>
      <c r="HF46" s="244">
        <f>IF(HF41&gt;$A21,HF21,HF21/$A21*$HF$41)</f>
        <v>6740136.1700000018</v>
      </c>
      <c r="HG46" s="247">
        <f t="shared" si="128"/>
        <v>4.1682664674668858E-3</v>
      </c>
      <c r="HH46" s="247"/>
      <c r="HI46" s="244">
        <f>IF(HI41&gt;$A21,HI21,HI21/$A21*$HF$41)</f>
        <v>7355519.6464264495</v>
      </c>
      <c r="HJ46" s="247">
        <f t="shared" si="129"/>
        <v>4.6759108244569785E-3</v>
      </c>
      <c r="HK46" s="247"/>
      <c r="HL46" s="244">
        <f>IF(HL41&gt;$A21,HL21,HL21/$A21*$HL$41)</f>
        <v>7300407.3866289221</v>
      </c>
      <c r="HM46" s="247">
        <f t="shared" si="130"/>
        <v>4.6348493360106472E-3</v>
      </c>
      <c r="HN46" s="247"/>
      <c r="HO46" s="244">
        <f>IF(HO41&gt;$A21,HO21,HO21/$A21*$HO$41)</f>
        <v>6619967.6817838047</v>
      </c>
      <c r="HP46" s="247">
        <f t="shared" si="131"/>
        <v>4.2946259991827494E-3</v>
      </c>
      <c r="HQ46" s="247"/>
      <c r="HR46" s="244">
        <f>IF(HR41&gt;$A21,HR21,HR21/$A21*$HO$41)</f>
        <v>6570366.6479660301</v>
      </c>
      <c r="HS46" s="247">
        <f t="shared" si="132"/>
        <v>4.2667735080502422E-3</v>
      </c>
      <c r="HT46" s="247"/>
      <c r="HU46" s="244">
        <f>IF(HU41&gt;$A21,HU21,HU21/$A21*$HO$41)</f>
        <v>5957970.9136054246</v>
      </c>
      <c r="HV46" s="247">
        <f t="shared" si="133"/>
        <v>3.9181780073649416E-3</v>
      </c>
      <c r="HW46" s="247"/>
      <c r="HX46" s="247"/>
      <c r="HY46" s="247"/>
      <c r="HZ46" s="247"/>
      <c r="IA46" s="244">
        <f>IF(IA41&gt;$A21,IA21,IA21/$A21*$ED41)</f>
        <v>54885976.179999977</v>
      </c>
      <c r="IB46" s="247">
        <f t="shared" si="134"/>
        <v>7.4168781666802269E-2</v>
      </c>
      <c r="IC46" s="198"/>
      <c r="ID46" s="198"/>
      <c r="IE46" s="198"/>
      <c r="IX46" s="244"/>
      <c r="IY46" s="244"/>
      <c r="IZ46" s="244"/>
      <c r="JA46" s="244"/>
      <c r="JB46" s="244"/>
      <c r="JC46" s="244"/>
    </row>
    <row r="47" spans="1:266" ht="14.4" hidden="1" customHeight="1">
      <c r="A47" s="586">
        <v>7</v>
      </c>
      <c r="B47" s="242" t="s">
        <v>453</v>
      </c>
      <c r="D47" s="244">
        <f t="shared" si="5"/>
        <v>0</v>
      </c>
      <c r="E47" s="247">
        <f t="shared" si="6"/>
        <v>0</v>
      </c>
      <c r="F47" s="244">
        <f t="shared" si="7"/>
        <v>0</v>
      </c>
      <c r="G47" s="247">
        <f t="shared" si="8"/>
        <v>0</v>
      </c>
      <c r="H47" s="244">
        <f t="shared" si="9"/>
        <v>0</v>
      </c>
      <c r="I47" s="247">
        <f t="shared" si="10"/>
        <v>0</v>
      </c>
      <c r="J47" s="244">
        <f t="shared" si="11"/>
        <v>0</v>
      </c>
      <c r="K47" s="247">
        <f t="shared" si="12"/>
        <v>0</v>
      </c>
      <c r="L47" s="244">
        <f t="shared" si="13"/>
        <v>0</v>
      </c>
      <c r="M47" s="247">
        <f t="shared" si="14"/>
        <v>0</v>
      </c>
      <c r="N47" s="244">
        <f t="shared" si="15"/>
        <v>0</v>
      </c>
      <c r="O47" s="247">
        <f t="shared" si="16"/>
        <v>0</v>
      </c>
      <c r="P47" s="244">
        <f t="shared" si="17"/>
        <v>0</v>
      </c>
      <c r="Q47" s="247">
        <f t="shared" si="18"/>
        <v>0</v>
      </c>
      <c r="R47" s="244">
        <f t="shared" si="19"/>
        <v>0</v>
      </c>
      <c r="S47" s="247">
        <f t="shared" si="20"/>
        <v>0</v>
      </c>
      <c r="T47" s="244">
        <f t="shared" si="21"/>
        <v>0</v>
      </c>
      <c r="U47" s="247">
        <f t="shared" si="22"/>
        <v>0</v>
      </c>
      <c r="V47" s="244">
        <f t="shared" si="23"/>
        <v>0</v>
      </c>
      <c r="W47" s="247">
        <f t="shared" si="24"/>
        <v>0</v>
      </c>
      <c r="X47" s="244">
        <f t="shared" si="25"/>
        <v>0</v>
      </c>
      <c r="Y47" s="247">
        <f t="shared" si="26"/>
        <v>0</v>
      </c>
      <c r="Z47" s="244">
        <f t="shared" si="27"/>
        <v>0</v>
      </c>
      <c r="AA47" s="247">
        <f t="shared" si="28"/>
        <v>0</v>
      </c>
      <c r="AB47" s="244">
        <f t="shared" si="29"/>
        <v>0</v>
      </c>
      <c r="AC47" s="247">
        <f t="shared" si="30"/>
        <v>0</v>
      </c>
      <c r="AD47" s="244">
        <f t="shared" si="31"/>
        <v>0</v>
      </c>
      <c r="AE47" s="247">
        <f t="shared" si="32"/>
        <v>0</v>
      </c>
      <c r="AF47" s="244">
        <f t="shared" si="33"/>
        <v>0</v>
      </c>
      <c r="AG47" s="247">
        <f t="shared" si="34"/>
        <v>0</v>
      </c>
      <c r="AH47" s="244">
        <f t="shared" si="35"/>
        <v>0</v>
      </c>
      <c r="AI47" s="247">
        <f t="shared" si="36"/>
        <v>0</v>
      </c>
      <c r="AJ47" s="244">
        <f t="shared" si="37"/>
        <v>0</v>
      </c>
      <c r="AK47" s="247">
        <f t="shared" si="38"/>
        <v>0</v>
      </c>
      <c r="AL47" s="244">
        <f t="shared" si="39"/>
        <v>0</v>
      </c>
      <c r="AM47" s="247">
        <f t="shared" si="40"/>
        <v>0</v>
      </c>
      <c r="AN47" s="244">
        <f t="shared" si="41"/>
        <v>0</v>
      </c>
      <c r="AO47" s="247">
        <f t="shared" si="42"/>
        <v>0</v>
      </c>
      <c r="AP47" s="244">
        <f t="shared" si="43"/>
        <v>0</v>
      </c>
      <c r="AQ47" s="247">
        <f t="shared" si="44"/>
        <v>0</v>
      </c>
      <c r="AR47" s="244">
        <f t="shared" si="45"/>
        <v>0</v>
      </c>
      <c r="AS47" s="247">
        <f t="shared" si="46"/>
        <v>0</v>
      </c>
      <c r="AT47" s="244">
        <f t="shared" si="47"/>
        <v>0</v>
      </c>
      <c r="AU47" s="247">
        <f t="shared" si="48"/>
        <v>0</v>
      </c>
      <c r="AV47" s="244">
        <f t="shared" si="49"/>
        <v>0</v>
      </c>
      <c r="AW47" s="247">
        <f t="shared" si="50"/>
        <v>0</v>
      </c>
      <c r="AX47" s="244">
        <f t="shared" si="51"/>
        <v>0</v>
      </c>
      <c r="AY47" s="247">
        <f t="shared" si="52"/>
        <v>0</v>
      </c>
      <c r="AZ47" s="244">
        <f t="shared" si="53"/>
        <v>0</v>
      </c>
      <c r="BA47" s="247">
        <f t="shared" si="54"/>
        <v>0</v>
      </c>
      <c r="BB47" s="244">
        <f t="shared" si="55"/>
        <v>0</v>
      </c>
      <c r="BC47" s="247">
        <f t="shared" si="56"/>
        <v>0</v>
      </c>
      <c r="BD47" s="244">
        <f t="shared" si="57"/>
        <v>0</v>
      </c>
      <c r="BE47" s="247">
        <f t="shared" si="58"/>
        <v>0</v>
      </c>
      <c r="BF47" s="244">
        <f t="shared" si="59"/>
        <v>0</v>
      </c>
      <c r="BG47" s="247">
        <f t="shared" si="60"/>
        <v>0</v>
      </c>
      <c r="BH47" s="244">
        <f t="shared" si="61"/>
        <v>0</v>
      </c>
      <c r="BI47" s="247">
        <f t="shared" si="62"/>
        <v>0</v>
      </c>
      <c r="BJ47" s="244">
        <f t="shared" si="63"/>
        <v>147535.67142857146</v>
      </c>
      <c r="BK47" s="247">
        <f t="shared" si="64"/>
        <v>2.279537069571918E-3</v>
      </c>
      <c r="BL47" s="244">
        <f t="shared" si="65"/>
        <v>126526.31142857141</v>
      </c>
      <c r="BM47" s="247">
        <f t="shared" si="66"/>
        <v>1.7117767809750584E-3</v>
      </c>
      <c r="BN47" s="244">
        <f t="shared" si="67"/>
        <v>96814.011428571423</v>
      </c>
      <c r="BO47" s="247">
        <f t="shared" si="68"/>
        <v>1.3566747651600002E-3</v>
      </c>
      <c r="BP47" s="244">
        <f t="shared" si="69"/>
        <v>75044.674285714282</v>
      </c>
      <c r="BQ47" s="247">
        <f t="shared" si="70"/>
        <v>1.0059608275945718E-3</v>
      </c>
      <c r="BR47" s="244">
        <f t="shared" si="71"/>
        <v>62517.072857142848</v>
      </c>
      <c r="BS47" s="247">
        <f t="shared" si="72"/>
        <v>7.8095017967943331E-4</v>
      </c>
      <c r="BT47" s="244" t="e">
        <f>#REF!/$A22*3</f>
        <v>#REF!</v>
      </c>
      <c r="BU47" s="247" t="e">
        <f t="shared" si="73"/>
        <v>#REF!</v>
      </c>
      <c r="BV47" s="244" t="e">
        <f>#REF!/$A22*3</f>
        <v>#REF!</v>
      </c>
      <c r="BW47" s="247" t="e">
        <f t="shared" si="74"/>
        <v>#REF!</v>
      </c>
      <c r="BX47" s="244" t="e">
        <f>#REF!/$A22*3</f>
        <v>#REF!</v>
      </c>
      <c r="BY47" s="247" t="e">
        <f t="shared" si="75"/>
        <v>#REF!</v>
      </c>
      <c r="BZ47" s="244" t="e">
        <f>#REF!/$A22*3</f>
        <v>#REF!</v>
      </c>
      <c r="CA47" s="247" t="e">
        <f t="shared" si="76"/>
        <v>#REF!</v>
      </c>
      <c r="CB47" s="244">
        <f>CB24/$A22*3</f>
        <v>30003706.169999994</v>
      </c>
      <c r="CC47" s="247" t="e">
        <f t="shared" si="77"/>
        <v>#REF!</v>
      </c>
      <c r="CD47" s="244">
        <f t="shared" si="78"/>
        <v>0</v>
      </c>
      <c r="CE47" s="247">
        <f t="shared" si="79"/>
        <v>0</v>
      </c>
      <c r="CF47" s="244">
        <f t="shared" si="80"/>
        <v>0</v>
      </c>
      <c r="CG47" s="247">
        <f t="shared" si="81"/>
        <v>0</v>
      </c>
      <c r="CH47" s="244">
        <f t="shared" si="82"/>
        <v>0</v>
      </c>
      <c r="CI47" s="247">
        <f t="shared" si="83"/>
        <v>0</v>
      </c>
      <c r="CJ47" s="247"/>
      <c r="CK47" s="244">
        <f>IF(CK41&gt;$A22,CK22,CK22/$A22*$CK$41)</f>
        <v>0</v>
      </c>
      <c r="CL47" s="247">
        <f t="shared" si="84"/>
        <v>0</v>
      </c>
      <c r="CM47" s="326"/>
      <c r="CN47" s="244"/>
      <c r="CO47" s="247">
        <f t="shared" si="85"/>
        <v>0</v>
      </c>
      <c r="CP47" s="326"/>
      <c r="CQ47" s="244"/>
      <c r="CR47" s="247">
        <f t="shared" si="86"/>
        <v>0</v>
      </c>
      <c r="CS47" s="326"/>
      <c r="CT47" s="244"/>
      <c r="CU47" s="247">
        <f t="shared" si="87"/>
        <v>0</v>
      </c>
      <c r="CV47" s="198"/>
      <c r="CW47" s="244"/>
      <c r="CX47" s="247">
        <f t="shared" si="88"/>
        <v>0</v>
      </c>
      <c r="CY47" s="247"/>
      <c r="CZ47" s="244"/>
      <c r="DA47" s="247">
        <f t="shared" si="89"/>
        <v>0</v>
      </c>
      <c r="DB47" s="247"/>
      <c r="DC47" s="244"/>
      <c r="DD47" s="247">
        <f t="shared" si="90"/>
        <v>0</v>
      </c>
      <c r="DE47" s="247"/>
      <c r="DF47" s="244">
        <f>IF(DF45&gt;$A22,DF22,DF22/$A22*$DF$41)</f>
        <v>0</v>
      </c>
      <c r="DG47" s="247">
        <f t="shared" si="91"/>
        <v>0</v>
      </c>
      <c r="DH47" s="440"/>
      <c r="DI47" s="244">
        <f>IF(DI45&gt;$A22,DI22,DI22/$A22*$DF$41)</f>
        <v>0</v>
      </c>
      <c r="DJ47" s="247">
        <f t="shared" si="92"/>
        <v>0</v>
      </c>
      <c r="DK47" s="247"/>
      <c r="DL47" s="244">
        <f>IF(DL45&gt;$A22,DL22,DL22/$A22*$DF$41)</f>
        <v>0</v>
      </c>
      <c r="DM47" s="247">
        <f t="shared" si="93"/>
        <v>0</v>
      </c>
      <c r="DN47" s="440"/>
      <c r="DO47" s="244">
        <f>IF(DO45&gt;$A22,DO22,DO22/$A22*$DF$41)</f>
        <v>0</v>
      </c>
      <c r="DP47" s="247">
        <f t="shared" si="94"/>
        <v>0</v>
      </c>
      <c r="DQ47" s="247"/>
      <c r="DR47" s="244">
        <f>IF(DR45&gt;$A22,DR22,DR22/$A22*$DF$41)</f>
        <v>0</v>
      </c>
      <c r="DS47" s="247">
        <f t="shared" si="95"/>
        <v>0</v>
      </c>
      <c r="DT47" s="440"/>
      <c r="DU47" s="244">
        <f>IF(DU45&gt;$A22,DU22,DU22/$A22*$DF$41)</f>
        <v>0</v>
      </c>
      <c r="DV47" s="247">
        <f t="shared" si="96"/>
        <v>0</v>
      </c>
      <c r="DW47" s="440"/>
      <c r="DX47" s="244">
        <f>IF(DX45&gt;$A22,DX22,DX22/$A22*$DF$41)</f>
        <v>0</v>
      </c>
      <c r="DY47" s="247">
        <f t="shared" si="97"/>
        <v>0</v>
      </c>
      <c r="DZ47" s="440"/>
      <c r="EA47" s="244">
        <f>IF(EA45&gt;$A22,EA22,EA22/$A22*$DF$41)</f>
        <v>0</v>
      </c>
      <c r="EB47" s="247">
        <f t="shared" si="98"/>
        <v>0</v>
      </c>
      <c r="EC47" s="440"/>
      <c r="ED47" s="244">
        <f>IF(ED45&gt;$A22,ED22,ED22/$A22*$DF$41)</f>
        <v>0</v>
      </c>
      <c r="EE47" s="247">
        <f t="shared" si="99"/>
        <v>0</v>
      </c>
      <c r="EF47" s="440"/>
      <c r="EG47" s="244"/>
      <c r="EH47" s="247">
        <f t="shared" si="100"/>
        <v>0</v>
      </c>
      <c r="EI47" s="247"/>
      <c r="EJ47" s="244"/>
      <c r="EK47" s="247">
        <f t="shared" si="101"/>
        <v>0</v>
      </c>
      <c r="EL47" s="247"/>
      <c r="EM47" s="244"/>
      <c r="EN47" s="247">
        <f t="shared" si="102"/>
        <v>0</v>
      </c>
      <c r="EO47" s="247"/>
      <c r="EP47" s="244"/>
      <c r="EQ47" s="247">
        <f t="shared" si="103"/>
        <v>0</v>
      </c>
      <c r="ER47" s="440"/>
      <c r="ES47" s="244">
        <f>IF(ES45&gt;$A22,ES22,ES22/$A22*$DF$41)</f>
        <v>0</v>
      </c>
      <c r="ET47" s="247">
        <f t="shared" si="104"/>
        <v>0</v>
      </c>
      <c r="EU47" s="247"/>
      <c r="EV47" s="244">
        <f>IF(EV41&gt;$A22,EV22,EV22/$A22*$EV$41)</f>
        <v>0</v>
      </c>
      <c r="EW47" s="247">
        <f t="shared" si="105"/>
        <v>0</v>
      </c>
      <c r="EX47" s="440"/>
      <c r="EY47" s="244">
        <f>IF(EY45&gt;$A22,EY22,EY22/$A22*$DF$41)</f>
        <v>0</v>
      </c>
      <c r="EZ47" s="247">
        <f t="shared" si="106"/>
        <v>0</v>
      </c>
      <c r="FA47" s="247"/>
      <c r="FB47" s="244">
        <f>IF(FB45&gt;$A22,FB22,FB22/$A22*$DF$41)</f>
        <v>0</v>
      </c>
      <c r="FC47" s="247">
        <f t="shared" si="107"/>
        <v>0</v>
      </c>
      <c r="FD47" s="440"/>
      <c r="FE47" s="244">
        <f>IF(FE45&gt;$A22,FE22,FE22/$A22*$DF$41)</f>
        <v>0</v>
      </c>
      <c r="FF47" s="247">
        <f t="shared" si="108"/>
        <v>0</v>
      </c>
      <c r="FG47" s="440"/>
      <c r="FH47" s="244">
        <f>IF(FH45&gt;$A22,FH22,FH22/$A22*$DF$41)</f>
        <v>0</v>
      </c>
      <c r="FI47" s="247">
        <f t="shared" si="109"/>
        <v>0</v>
      </c>
      <c r="FJ47" s="440"/>
      <c r="FK47" s="244">
        <f>IF(FK45&gt;$A22,FK22,FK22/$A22*$DF$41)</f>
        <v>0</v>
      </c>
      <c r="FL47" s="247">
        <f t="shared" si="110"/>
        <v>0</v>
      </c>
      <c r="FM47" s="440"/>
      <c r="FN47" s="244">
        <f>IF(FN45&gt;$A22,FN22,FN22/$A22*$DF$41)</f>
        <v>0</v>
      </c>
      <c r="FO47" s="247">
        <f t="shared" si="111"/>
        <v>0</v>
      </c>
      <c r="FP47" s="440"/>
      <c r="FQ47" s="244">
        <f>IF(FQ45&gt;$A22,FQ22,FQ22/$A22*$DF$41)</f>
        <v>0</v>
      </c>
      <c r="FR47" s="247">
        <f t="shared" si="112"/>
        <v>0</v>
      </c>
      <c r="FS47" s="247"/>
      <c r="FT47" s="244">
        <f>IF(FT45&gt;$A22,FT22,FT22/$A22*$DF$41)</f>
        <v>0</v>
      </c>
      <c r="FU47" s="247">
        <f t="shared" si="113"/>
        <v>0</v>
      </c>
      <c r="FV47" s="247"/>
      <c r="FW47" s="244">
        <f>IF(FW45&gt;$A22,FW22,FW22/$A22*$DF$41)</f>
        <v>0</v>
      </c>
      <c r="FX47" s="247">
        <f t="shared" si="114"/>
        <v>0</v>
      </c>
      <c r="FY47" s="247"/>
      <c r="FZ47" s="244">
        <f>IF(FZ45&gt;$A22,FZ22,FZ22/$A22*$DF$41)</f>
        <v>0</v>
      </c>
      <c r="GA47" s="247">
        <f t="shared" si="115"/>
        <v>0</v>
      </c>
      <c r="GB47" s="247"/>
      <c r="GC47" s="244">
        <f>IF(GC45&gt;$A22,GC22,GC22/$A22*$DF$41)</f>
        <v>0</v>
      </c>
      <c r="GD47" s="247">
        <f t="shared" si="116"/>
        <v>0</v>
      </c>
      <c r="GE47" s="244">
        <v>0</v>
      </c>
      <c r="GF47" s="247">
        <f t="shared" si="117"/>
        <v>0</v>
      </c>
      <c r="GG47" s="244">
        <f>IF(GG45&gt;$A22,GG22,GG22/$A22*$DF$41)</f>
        <v>0</v>
      </c>
      <c r="GH47" s="247">
        <f t="shared" si="118"/>
        <v>0</v>
      </c>
      <c r="GI47" s="244">
        <f>IF(GI45&gt;$A22,GI22,GI22/$A22*$DF$41)</f>
        <v>0</v>
      </c>
      <c r="GJ47" s="247">
        <f t="shared" si="119"/>
        <v>0</v>
      </c>
      <c r="GK47" s="244">
        <f>IF(GK45&gt;$A22,GK22,GK22/$A22*$DF$41)</f>
        <v>0</v>
      </c>
      <c r="GL47" s="247">
        <f t="shared" si="120"/>
        <v>0</v>
      </c>
      <c r="GM47" s="244">
        <f>IF(GM45&gt;$A22,GM22,GM22/$A22*$DF$41)</f>
        <v>0</v>
      </c>
      <c r="GN47" s="247">
        <f t="shared" si="121"/>
        <v>0</v>
      </c>
      <c r="GO47" s="244">
        <f>IF(GO45&gt;$A22,GO22,GO22/$A22*$DF$41)</f>
        <v>0</v>
      </c>
      <c r="GP47" s="247">
        <f t="shared" si="122"/>
        <v>0</v>
      </c>
      <c r="GQ47" s="244">
        <f>IF(GQ45&gt;$A22,GQ22,GQ22/$A22*$DF$41)</f>
        <v>0</v>
      </c>
      <c r="GR47" s="247">
        <f t="shared" si="123"/>
        <v>0</v>
      </c>
      <c r="GS47" s="247"/>
      <c r="GT47" s="244">
        <f>IF(GT45&gt;$A22,GT22,GT22/$A22*$DF$41)</f>
        <v>0</v>
      </c>
      <c r="GU47" s="247">
        <f t="shared" si="124"/>
        <v>0</v>
      </c>
      <c r="GV47" s="247"/>
      <c r="GW47" s="1038">
        <f>IF(GW45&gt;$A22,GW22,GW22/$A22*$DF$41)</f>
        <v>0</v>
      </c>
      <c r="GX47" s="247">
        <f t="shared" si="125"/>
        <v>0</v>
      </c>
      <c r="GY47" s="247"/>
      <c r="GZ47" s="1038">
        <f>IF(GZ45&gt;$A22,GZ22,GZ22/$A22*$DF$41)</f>
        <v>0</v>
      </c>
      <c r="HA47" s="247">
        <f t="shared" si="126"/>
        <v>0</v>
      </c>
      <c r="HB47" s="247"/>
      <c r="HC47" s="1063">
        <f>IF(HC45&gt;$A22,HC22,HC22/$A22*$DF$41)</f>
        <v>48750779.365714267</v>
      </c>
      <c r="HD47" s="247">
        <f t="shared" si="127"/>
        <v>3.0203127716623295E-2</v>
      </c>
      <c r="HE47" s="247"/>
      <c r="HF47" s="244">
        <f>IF(HF45&gt;$A22,HF22,HF22/$A22*$DF$41)</f>
        <v>48551474.039999992</v>
      </c>
      <c r="HG47" s="247">
        <f t="shared" si="128"/>
        <v>3.0025429172749328E-2</v>
      </c>
      <c r="HH47" s="247"/>
      <c r="HI47" s="244">
        <f>IF(HI45&gt;$A22,HI22,HI22/$A22*$DF$41)</f>
        <v>12526872.028159626</v>
      </c>
      <c r="HJ47" s="247">
        <f t="shared" si="129"/>
        <v>7.9633444445378308E-3</v>
      </c>
      <c r="HK47" s="247"/>
      <c r="HL47" s="244">
        <f>IF(HL45&gt;$A22,HL22,HL22/$A22*$DF$41)</f>
        <v>12526872.028159626</v>
      </c>
      <c r="HM47" s="247">
        <f t="shared" si="130"/>
        <v>7.9530033636679275E-3</v>
      </c>
      <c r="HN47" s="247"/>
      <c r="HO47" s="244">
        <f>IF(HO45&gt;$A22,HO22,HO22/$A22*$DF$41)</f>
        <v>12526872.028159626</v>
      </c>
      <c r="HP47" s="247">
        <f t="shared" si="131"/>
        <v>8.1266605649157921E-3</v>
      </c>
      <c r="HQ47" s="247"/>
      <c r="HR47" s="244">
        <f>IF(HR45&gt;$A22,HR22,HR22/$A22*$DF$41)</f>
        <v>12526872.028159626</v>
      </c>
      <c r="HS47" s="247">
        <f t="shared" si="132"/>
        <v>8.1349076196582208E-3</v>
      </c>
      <c r="HT47" s="247"/>
      <c r="HU47" s="244">
        <f>IF(HU45&gt;$A22,HU22,HU22/$A22*$DF$41)</f>
        <v>12526872.028159626</v>
      </c>
      <c r="HV47" s="247">
        <f t="shared" si="133"/>
        <v>8.2381258978164711E-3</v>
      </c>
      <c r="HW47" s="247"/>
      <c r="HX47" s="247"/>
      <c r="HY47" s="247"/>
      <c r="HZ47" s="247"/>
      <c r="IA47" s="244">
        <f>IF(IA45&gt;$A22,IA22,IA22/$A22*$DF$41)</f>
        <v>0</v>
      </c>
      <c r="IB47" s="247">
        <f t="shared" si="134"/>
        <v>0</v>
      </c>
      <c r="IC47" s="198"/>
      <c r="ID47" s="198"/>
      <c r="IE47" s="198"/>
    </row>
    <row r="48" spans="1:266" ht="14.4" hidden="1" customHeight="1">
      <c r="A48" s="586">
        <v>8</v>
      </c>
      <c r="B48" s="242" t="s">
        <v>454</v>
      </c>
      <c r="D48" s="244">
        <f t="shared" si="5"/>
        <v>0</v>
      </c>
      <c r="E48" s="247">
        <f t="shared" si="6"/>
        <v>0</v>
      </c>
      <c r="F48" s="244">
        <f t="shared" si="7"/>
        <v>0</v>
      </c>
      <c r="G48" s="247">
        <f t="shared" si="8"/>
        <v>0</v>
      </c>
      <c r="H48" s="244">
        <f t="shared" si="9"/>
        <v>0</v>
      </c>
      <c r="I48" s="247">
        <f t="shared" si="10"/>
        <v>0</v>
      </c>
      <c r="J48" s="244">
        <f t="shared" si="11"/>
        <v>0</v>
      </c>
      <c r="K48" s="247">
        <f t="shared" si="12"/>
        <v>0</v>
      </c>
      <c r="L48" s="244">
        <f t="shared" si="13"/>
        <v>0</v>
      </c>
      <c r="M48" s="247">
        <f t="shared" si="14"/>
        <v>0</v>
      </c>
      <c r="N48" s="244">
        <f t="shared" si="15"/>
        <v>0</v>
      </c>
      <c r="O48" s="247">
        <f t="shared" si="16"/>
        <v>0</v>
      </c>
      <c r="P48" s="244">
        <f t="shared" si="17"/>
        <v>0</v>
      </c>
      <c r="Q48" s="247">
        <f t="shared" si="18"/>
        <v>0</v>
      </c>
      <c r="R48" s="244">
        <f t="shared" si="19"/>
        <v>0</v>
      </c>
      <c r="S48" s="247">
        <f t="shared" si="20"/>
        <v>0</v>
      </c>
      <c r="T48" s="244">
        <f t="shared" si="21"/>
        <v>0</v>
      </c>
      <c r="U48" s="247">
        <f t="shared" si="22"/>
        <v>0</v>
      </c>
      <c r="V48" s="244">
        <f t="shared" si="23"/>
        <v>0</v>
      </c>
      <c r="W48" s="247">
        <f t="shared" si="24"/>
        <v>0</v>
      </c>
      <c r="X48" s="244">
        <f t="shared" si="25"/>
        <v>0</v>
      </c>
      <c r="Y48" s="247">
        <f t="shared" si="26"/>
        <v>0</v>
      </c>
      <c r="Z48" s="244">
        <f t="shared" si="27"/>
        <v>0</v>
      </c>
      <c r="AA48" s="247">
        <f t="shared" si="28"/>
        <v>0</v>
      </c>
      <c r="AB48" s="244">
        <f t="shared" si="29"/>
        <v>0</v>
      </c>
      <c r="AC48" s="247">
        <f t="shared" si="30"/>
        <v>0</v>
      </c>
      <c r="AD48" s="244">
        <f t="shared" si="31"/>
        <v>0</v>
      </c>
      <c r="AE48" s="247">
        <f t="shared" si="32"/>
        <v>0</v>
      </c>
      <c r="AF48" s="244">
        <f t="shared" si="33"/>
        <v>0</v>
      </c>
      <c r="AG48" s="247">
        <f t="shared" si="34"/>
        <v>0</v>
      </c>
      <c r="AH48" s="244">
        <f t="shared" si="35"/>
        <v>0</v>
      </c>
      <c r="AI48" s="247">
        <f t="shared" si="36"/>
        <v>0</v>
      </c>
      <c r="AJ48" s="244">
        <f t="shared" si="37"/>
        <v>0</v>
      </c>
      <c r="AK48" s="247">
        <f t="shared" si="38"/>
        <v>0</v>
      </c>
      <c r="AL48" s="244">
        <f t="shared" si="39"/>
        <v>0</v>
      </c>
      <c r="AM48" s="247">
        <f t="shared" si="40"/>
        <v>0</v>
      </c>
      <c r="AN48" s="244">
        <f t="shared" si="41"/>
        <v>0</v>
      </c>
      <c r="AO48" s="247">
        <f t="shared" si="42"/>
        <v>0</v>
      </c>
      <c r="AP48" s="244">
        <f t="shared" si="43"/>
        <v>0</v>
      </c>
      <c r="AQ48" s="247">
        <f t="shared" si="44"/>
        <v>0</v>
      </c>
      <c r="AR48" s="244">
        <f t="shared" si="45"/>
        <v>0</v>
      </c>
      <c r="AS48" s="247">
        <f t="shared" si="46"/>
        <v>0</v>
      </c>
      <c r="AT48" s="244">
        <f t="shared" si="47"/>
        <v>0</v>
      </c>
      <c r="AU48" s="247">
        <f t="shared" si="48"/>
        <v>0</v>
      </c>
      <c r="AV48" s="244">
        <f t="shared" si="49"/>
        <v>0</v>
      </c>
      <c r="AW48" s="247">
        <f t="shared" si="50"/>
        <v>0</v>
      </c>
      <c r="AX48" s="244">
        <f t="shared" si="51"/>
        <v>0</v>
      </c>
      <c r="AY48" s="247">
        <f t="shared" si="52"/>
        <v>0</v>
      </c>
      <c r="AZ48" s="244">
        <f t="shared" si="53"/>
        <v>0</v>
      </c>
      <c r="BA48" s="247">
        <f t="shared" si="54"/>
        <v>0</v>
      </c>
      <c r="BB48" s="244">
        <f t="shared" si="55"/>
        <v>0</v>
      </c>
      <c r="BC48" s="247">
        <f t="shared" si="56"/>
        <v>0</v>
      </c>
      <c r="BD48" s="244">
        <f t="shared" si="57"/>
        <v>0</v>
      </c>
      <c r="BE48" s="247">
        <f t="shared" si="58"/>
        <v>0</v>
      </c>
      <c r="BF48" s="244">
        <f t="shared" si="59"/>
        <v>67642.226249999992</v>
      </c>
      <c r="BG48" s="247">
        <f t="shared" si="60"/>
        <v>1.1615583536221047E-3</v>
      </c>
      <c r="BH48" s="244">
        <f t="shared" si="61"/>
        <v>52590.989999999991</v>
      </c>
      <c r="BI48" s="247">
        <f t="shared" si="62"/>
        <v>8.8127104627856875E-4</v>
      </c>
      <c r="BJ48" s="244">
        <f t="shared" si="63"/>
        <v>118734.6525</v>
      </c>
      <c r="BK48" s="247">
        <f t="shared" si="64"/>
        <v>1.834539668920194E-3</v>
      </c>
      <c r="BL48" s="244">
        <f t="shared" si="65"/>
        <v>66252.273750000008</v>
      </c>
      <c r="BM48" s="247">
        <f t="shared" si="66"/>
        <v>8.9632822305166812E-4</v>
      </c>
      <c r="BN48" s="244">
        <f t="shared" si="67"/>
        <v>111779.05499999999</v>
      </c>
      <c r="BO48" s="247">
        <f t="shared" si="68"/>
        <v>1.5663830157870923E-3</v>
      </c>
      <c r="BP48" s="244">
        <f t="shared" si="69"/>
        <v>95795.475000000006</v>
      </c>
      <c r="BQ48" s="247">
        <f t="shared" si="70"/>
        <v>1.284121707876607E-3</v>
      </c>
      <c r="BR48" s="244">
        <f t="shared" si="71"/>
        <v>49287.637500000004</v>
      </c>
      <c r="BS48" s="247">
        <f t="shared" si="72"/>
        <v>6.1569084415637339E-4</v>
      </c>
      <c r="BT48" s="244" t="e">
        <f>#REF!/$A23*3</f>
        <v>#REF!</v>
      </c>
      <c r="BU48" s="247" t="e">
        <f t="shared" si="73"/>
        <v>#REF!</v>
      </c>
      <c r="BV48" s="244" t="e">
        <f>#REF!/$A23*3</f>
        <v>#REF!</v>
      </c>
      <c r="BW48" s="247" t="e">
        <f t="shared" si="74"/>
        <v>#REF!</v>
      </c>
      <c r="BX48" s="244" t="e">
        <f>#REF!/$A23*3</f>
        <v>#REF!</v>
      </c>
      <c r="BY48" s="247" t="e">
        <f t="shared" si="75"/>
        <v>#REF!</v>
      </c>
      <c r="BZ48" s="244" t="e">
        <f>#REF!/$A23*3</f>
        <v>#REF!</v>
      </c>
      <c r="CA48" s="247" t="e">
        <f t="shared" si="76"/>
        <v>#REF!</v>
      </c>
      <c r="CB48" s="244">
        <f>CB27/$A23*3</f>
        <v>7300643.5949999988</v>
      </c>
      <c r="CC48" s="247" t="e">
        <f t="shared" si="77"/>
        <v>#REF!</v>
      </c>
      <c r="CD48" s="244">
        <f t="shared" si="78"/>
        <v>0</v>
      </c>
      <c r="CE48" s="247">
        <f t="shared" si="79"/>
        <v>0</v>
      </c>
      <c r="CF48" s="244">
        <f t="shared" si="80"/>
        <v>0</v>
      </c>
      <c r="CG48" s="247">
        <f t="shared" si="81"/>
        <v>0</v>
      </c>
      <c r="CH48" s="244">
        <f t="shared" si="82"/>
        <v>0</v>
      </c>
      <c r="CI48" s="247">
        <f t="shared" si="83"/>
        <v>0</v>
      </c>
      <c r="CJ48" s="247"/>
      <c r="CK48" s="244">
        <f>IF(CK41&gt;$A23,CK23,CK23/$A23*$CK$41)</f>
        <v>0</v>
      </c>
      <c r="CL48" s="247">
        <f t="shared" si="84"/>
        <v>0</v>
      </c>
      <c r="CM48" s="326"/>
      <c r="CN48" s="244"/>
      <c r="CO48" s="247">
        <f t="shared" si="85"/>
        <v>0</v>
      </c>
      <c r="CP48" s="326"/>
      <c r="CQ48" s="244"/>
      <c r="CR48" s="247">
        <f t="shared" si="86"/>
        <v>0</v>
      </c>
      <c r="CS48" s="326"/>
      <c r="CT48" s="244"/>
      <c r="CU48" s="247">
        <f t="shared" si="87"/>
        <v>0</v>
      </c>
      <c r="CV48" s="198"/>
      <c r="CW48" s="244"/>
      <c r="CX48" s="247">
        <f t="shared" si="88"/>
        <v>0</v>
      </c>
      <c r="CY48" s="247"/>
      <c r="CZ48" s="244"/>
      <c r="DA48" s="247">
        <f t="shared" si="89"/>
        <v>0</v>
      </c>
      <c r="DB48" s="247"/>
      <c r="DC48" s="244"/>
      <c r="DD48" s="247">
        <f t="shared" si="90"/>
        <v>0</v>
      </c>
      <c r="DE48" s="247"/>
      <c r="DF48" s="244">
        <f>IF(DF46&gt;$A23,DF23,DF23/$A23*$DF$41)</f>
        <v>0</v>
      </c>
      <c r="DG48" s="247">
        <f t="shared" si="91"/>
        <v>0</v>
      </c>
      <c r="DH48" s="440"/>
      <c r="DI48" s="244">
        <f>IF(DI46&gt;$A23,DI23,DI23/$A23*$DF$41)</f>
        <v>0</v>
      </c>
      <c r="DJ48" s="247">
        <f t="shared" si="92"/>
        <v>0</v>
      </c>
      <c r="DK48" s="247"/>
      <c r="DL48" s="244">
        <f>IF(DL46&gt;$A23,DL23,DL23/$A23*$DF$41)</f>
        <v>0</v>
      </c>
      <c r="DM48" s="247">
        <f t="shared" si="93"/>
        <v>0</v>
      </c>
      <c r="DN48" s="440"/>
      <c r="DO48" s="244">
        <f>IF(DO46&gt;$A23,DO23,DO23/$A23*$DF$41)</f>
        <v>0</v>
      </c>
      <c r="DP48" s="247">
        <f t="shared" si="94"/>
        <v>0</v>
      </c>
      <c r="DQ48" s="247"/>
      <c r="DR48" s="244">
        <f>IF(DR46&gt;$A23,DR23,DR23/$A23*$DF$41)</f>
        <v>0</v>
      </c>
      <c r="DS48" s="247">
        <f t="shared" si="95"/>
        <v>0</v>
      </c>
      <c r="DT48" s="440"/>
      <c r="DU48" s="244">
        <f>IF(DU46&gt;$A23,DU23,DU23/$A23*$DF$41)</f>
        <v>0</v>
      </c>
      <c r="DV48" s="247">
        <f t="shared" si="96"/>
        <v>0</v>
      </c>
      <c r="DW48" s="440"/>
      <c r="DX48" s="244">
        <f>IF(DX46&gt;$A23,DX23,DX23/$A23*$DF$41)</f>
        <v>0</v>
      </c>
      <c r="DY48" s="247">
        <f t="shared" si="97"/>
        <v>0</v>
      </c>
      <c r="DZ48" s="440"/>
      <c r="EA48" s="244">
        <f>IF(EA46&gt;$A23,EA23,EA23/$A23*$DF$41)</f>
        <v>0</v>
      </c>
      <c r="EB48" s="247">
        <f t="shared" si="98"/>
        <v>0</v>
      </c>
      <c r="EC48" s="440"/>
      <c r="ED48" s="244">
        <f>IF(ED46&gt;$A23,ED23,ED23/$A23*$DF$41)</f>
        <v>0</v>
      </c>
      <c r="EE48" s="247">
        <f t="shared" si="99"/>
        <v>0</v>
      </c>
      <c r="EF48" s="440"/>
      <c r="EG48" s="244"/>
      <c r="EH48" s="247">
        <f t="shared" si="100"/>
        <v>0</v>
      </c>
      <c r="EI48" s="247"/>
      <c r="EJ48" s="244"/>
      <c r="EK48" s="247">
        <f t="shared" si="101"/>
        <v>0</v>
      </c>
      <c r="EL48" s="247"/>
      <c r="EM48" s="244"/>
      <c r="EN48" s="247">
        <f t="shared" si="102"/>
        <v>0</v>
      </c>
      <c r="EO48" s="247"/>
      <c r="EP48" s="244"/>
      <c r="EQ48" s="247">
        <f t="shared" si="103"/>
        <v>0</v>
      </c>
      <c r="ER48" s="440"/>
      <c r="ES48" s="244">
        <f>IF(ES46&gt;$A23,ES23,ES23/$A23*$DF$41)</f>
        <v>0</v>
      </c>
      <c r="ET48" s="247">
        <f t="shared" si="104"/>
        <v>0</v>
      </c>
      <c r="EU48" s="247"/>
      <c r="EV48" s="244">
        <f>IF(EV41&gt;$A23,EV23,EV23/$A23*$EV$41)</f>
        <v>0</v>
      </c>
      <c r="EW48" s="247">
        <f t="shared" si="105"/>
        <v>0</v>
      </c>
      <c r="EX48" s="440"/>
      <c r="EY48" s="244">
        <f>IF(EY46&gt;$A23,EY23,EY23/$A23*$DF$41)</f>
        <v>0</v>
      </c>
      <c r="EZ48" s="247">
        <f t="shared" si="106"/>
        <v>0</v>
      </c>
      <c r="FA48" s="247"/>
      <c r="FB48" s="244">
        <f>IF(FB46&gt;$A23,FB23,FB23/$A23*$DF$41)</f>
        <v>0</v>
      </c>
      <c r="FC48" s="247">
        <f t="shared" si="107"/>
        <v>0</v>
      </c>
      <c r="FD48" s="440"/>
      <c r="FE48" s="244">
        <f>IF(FE46&gt;$A23,FE23,FE23/$A23*$DF$41)</f>
        <v>0</v>
      </c>
      <c r="FF48" s="247">
        <f t="shared" si="108"/>
        <v>0</v>
      </c>
      <c r="FG48" s="440"/>
      <c r="FH48" s="244">
        <f>IF(FH46&gt;$A23,FH23,FH23/$A23*$DF$41)</f>
        <v>0</v>
      </c>
      <c r="FI48" s="247">
        <f t="shared" si="109"/>
        <v>0</v>
      </c>
      <c r="FJ48" s="440"/>
      <c r="FK48" s="244">
        <f>IF(FK46&gt;$A23,FK23,FK23/$A23*$DF$41)</f>
        <v>0</v>
      </c>
      <c r="FL48" s="247">
        <f t="shared" si="110"/>
        <v>0</v>
      </c>
      <c r="FM48" s="440"/>
      <c r="FN48" s="244">
        <f>IF(FN46&gt;$A23,FN23,FN23/$A23*$DF$41)</f>
        <v>0</v>
      </c>
      <c r="FO48" s="247">
        <f t="shared" si="111"/>
        <v>0</v>
      </c>
      <c r="FP48" s="440"/>
      <c r="FQ48" s="244">
        <f>IF(FQ46&gt;$A23,FQ23,FQ23/$A23*$DF$41)</f>
        <v>0</v>
      </c>
      <c r="FR48" s="247">
        <f t="shared" si="112"/>
        <v>0</v>
      </c>
      <c r="FS48" s="247"/>
      <c r="FT48" s="244">
        <f>IF(FT46&gt;$A23,FT23,FT23/$A23*$DF$41)</f>
        <v>0</v>
      </c>
      <c r="FU48" s="247">
        <f t="shared" si="113"/>
        <v>0</v>
      </c>
      <c r="FV48" s="247"/>
      <c r="FW48" s="244">
        <f>IF(FW46&gt;$A23,FW23,FW23/$A23*$DF$41)</f>
        <v>0</v>
      </c>
      <c r="FX48" s="247">
        <f t="shared" si="114"/>
        <v>0</v>
      </c>
      <c r="FY48" s="247"/>
      <c r="FZ48" s="244">
        <f>IF(FZ46&gt;$A23,FZ23,FZ23/$A23*$DF$41)</f>
        <v>0</v>
      </c>
      <c r="GA48" s="247">
        <f t="shared" si="115"/>
        <v>0</v>
      </c>
      <c r="GB48" s="247"/>
      <c r="GC48" s="244">
        <f>IF(GC46&gt;$A23,GC23,GC23/$A23*$DF$41)</f>
        <v>0</v>
      </c>
      <c r="GD48" s="247">
        <f t="shared" si="116"/>
        <v>0</v>
      </c>
      <c r="GE48" s="244">
        <v>0</v>
      </c>
      <c r="GF48" s="247">
        <f t="shared" si="117"/>
        <v>0</v>
      </c>
      <c r="GG48" s="244">
        <f>IF(GG46&gt;$A23,GG23,GG23/$A23*$DF$41)</f>
        <v>0</v>
      </c>
      <c r="GH48" s="247">
        <f t="shared" si="118"/>
        <v>0</v>
      </c>
      <c r="GI48" s="244">
        <f>IF(GI46&gt;$A23,GI23,GI23/$A23*$DF$41)</f>
        <v>0</v>
      </c>
      <c r="GJ48" s="247">
        <f t="shared" si="119"/>
        <v>0</v>
      </c>
      <c r="GK48" s="244">
        <f>IF(GK46&gt;$A23,GK23,GK23/$A23*$DF$41)</f>
        <v>0</v>
      </c>
      <c r="GL48" s="247">
        <f t="shared" si="120"/>
        <v>0</v>
      </c>
      <c r="GM48" s="244">
        <f>IF(GM46&gt;$A23,GM23,GM23/$A23*$DF$41)</f>
        <v>0</v>
      </c>
      <c r="GN48" s="247">
        <f t="shared" si="121"/>
        <v>0</v>
      </c>
      <c r="GO48" s="244">
        <f>IF(GO46&gt;$A23,GO23,GO23/$A23*$DF$41)</f>
        <v>0</v>
      </c>
      <c r="GP48" s="247">
        <f t="shared" si="122"/>
        <v>0</v>
      </c>
      <c r="GQ48" s="244">
        <f>IF(GQ46&gt;$A23,GQ23,GQ23/$A23*$DF$41)</f>
        <v>0</v>
      </c>
      <c r="GR48" s="247">
        <f t="shared" si="123"/>
        <v>0</v>
      </c>
      <c r="GS48" s="247"/>
      <c r="GT48" s="244">
        <f>IF(GT46&gt;$A23,GT23,GT23/$A23*$DF$41)</f>
        <v>0</v>
      </c>
      <c r="GU48" s="247">
        <f t="shared" si="124"/>
        <v>0</v>
      </c>
      <c r="GV48" s="247"/>
      <c r="GW48" s="1038">
        <f>IF(GW46&gt;$A23,GW23,GW23/$A23*$DF$41)</f>
        <v>0</v>
      </c>
      <c r="GX48" s="247">
        <f t="shared" si="125"/>
        <v>0</v>
      </c>
      <c r="GY48" s="247"/>
      <c r="GZ48" s="1038">
        <f>IF(GZ46&gt;$A23,GZ23,GZ23/$A23*$DF$41)</f>
        <v>0</v>
      </c>
      <c r="HA48" s="247">
        <f t="shared" si="126"/>
        <v>0</v>
      </c>
      <c r="HB48" s="247"/>
      <c r="HC48" s="1063">
        <f>IF(HC46&gt;$A23,HC23,HC23/$A23*$DF$41)</f>
        <v>45196959.609999999</v>
      </c>
      <c r="HD48" s="247">
        <f t="shared" si="127"/>
        <v>2.8001389131923144E-2</v>
      </c>
      <c r="HE48" s="247"/>
      <c r="HF48" s="244">
        <f>IF(HF46&gt;$A23,HF23,HF23/$A23*$DF$41)</f>
        <v>49365540.090000004</v>
      </c>
      <c r="HG48" s="247">
        <f t="shared" si="128"/>
        <v>3.0528867698757366E-2</v>
      </c>
      <c r="HH48" s="247"/>
      <c r="HI48" s="244">
        <f>IF(HI46&gt;$A23,HI23,HI23/$A23*$DF$41)</f>
        <v>7307342.0164264487</v>
      </c>
      <c r="HJ48" s="247">
        <f t="shared" si="129"/>
        <v>4.6452842593137349E-3</v>
      </c>
      <c r="HK48" s="247"/>
      <c r="HL48" s="244">
        <f>IF(HL46&gt;$A23,HL23,HL23/$A23*$DF$41)</f>
        <v>7307342.0164264487</v>
      </c>
      <c r="HM48" s="247">
        <f t="shared" si="130"/>
        <v>4.6392519621396245E-3</v>
      </c>
      <c r="HN48" s="247"/>
      <c r="HO48" s="244">
        <f>IF(HO46&gt;$A23,HO23,HO23/$A23*$DF$41)</f>
        <v>7307342.0164264487</v>
      </c>
      <c r="HP48" s="247">
        <f t="shared" si="131"/>
        <v>4.7405519962008796E-3</v>
      </c>
      <c r="HQ48" s="247"/>
      <c r="HR48" s="244">
        <f>IF(HR46&gt;$A23,HR23,HR23/$A23*$DF$41)</f>
        <v>7307342.0164264487</v>
      </c>
      <c r="HS48" s="247">
        <f t="shared" si="132"/>
        <v>4.745362778133963E-3</v>
      </c>
      <c r="HT48" s="247"/>
      <c r="HU48" s="244">
        <f>IF(HU46&gt;$A23,HU23,HU23/$A23*$DF$41)</f>
        <v>7307342.0164264487</v>
      </c>
      <c r="HV48" s="247">
        <f t="shared" si="133"/>
        <v>4.8055734403929413E-3</v>
      </c>
      <c r="HW48" s="247"/>
      <c r="HX48" s="247"/>
      <c r="HY48" s="247"/>
      <c r="HZ48" s="247"/>
      <c r="IA48" s="244">
        <f>IF(IA46&gt;$A23,IA23,IA23/$A23*$DF$41)</f>
        <v>0</v>
      </c>
      <c r="IB48" s="247">
        <f t="shared" si="134"/>
        <v>0</v>
      </c>
      <c r="IC48" s="198"/>
      <c r="ID48" s="198"/>
      <c r="IE48" s="198"/>
    </row>
    <row r="49" spans="1:239" ht="14.4" hidden="1" customHeight="1">
      <c r="A49" s="586">
        <v>9</v>
      </c>
      <c r="B49" s="242" t="s">
        <v>446</v>
      </c>
      <c r="D49" s="244">
        <f t="shared" si="5"/>
        <v>0</v>
      </c>
      <c r="E49" s="247">
        <f t="shared" si="6"/>
        <v>0</v>
      </c>
      <c r="F49" s="244">
        <f t="shared" si="7"/>
        <v>0</v>
      </c>
      <c r="G49" s="247">
        <f t="shared" si="8"/>
        <v>0</v>
      </c>
      <c r="H49" s="244">
        <f t="shared" si="9"/>
        <v>0</v>
      </c>
      <c r="I49" s="247">
        <f t="shared" si="10"/>
        <v>0</v>
      </c>
      <c r="J49" s="244">
        <f t="shared" si="11"/>
        <v>0</v>
      </c>
      <c r="K49" s="247">
        <f t="shared" si="12"/>
        <v>0</v>
      </c>
      <c r="L49" s="244">
        <f t="shared" si="13"/>
        <v>0</v>
      </c>
      <c r="M49" s="247">
        <f t="shared" si="14"/>
        <v>0</v>
      </c>
      <c r="N49" s="244">
        <f t="shared" si="15"/>
        <v>686666.66666666663</v>
      </c>
      <c r="O49" s="247">
        <f t="shared" si="16"/>
        <v>3.6028949688700018E-2</v>
      </c>
      <c r="P49" s="244">
        <f t="shared" si="17"/>
        <v>1840035.5999999999</v>
      </c>
      <c r="Q49" s="247">
        <f t="shared" si="18"/>
        <v>8.6904857530538851E-2</v>
      </c>
      <c r="R49" s="244">
        <f t="shared" si="19"/>
        <v>1863212.22</v>
      </c>
      <c r="S49" s="247">
        <f t="shared" si="20"/>
        <v>8.468663080899845E-2</v>
      </c>
      <c r="T49" s="244">
        <f t="shared" si="21"/>
        <v>2419733.59</v>
      </c>
      <c r="U49" s="247">
        <f t="shared" si="22"/>
        <v>9.9670631710120305E-2</v>
      </c>
      <c r="V49" s="244">
        <f t="shared" si="23"/>
        <v>3639018.4799999995</v>
      </c>
      <c r="W49" s="247">
        <f t="shared" si="24"/>
        <v>0.13338552151082886</v>
      </c>
      <c r="X49" s="244">
        <f t="shared" si="25"/>
        <v>5059357.4866666673</v>
      </c>
      <c r="Y49" s="247">
        <f t="shared" si="26"/>
        <v>0.18916347807527867</v>
      </c>
      <c r="Z49" s="244">
        <f t="shared" si="27"/>
        <v>6274430.5700000003</v>
      </c>
      <c r="AA49" s="247">
        <f t="shared" si="28"/>
        <v>0.22978225342594</v>
      </c>
      <c r="AB49" s="244">
        <f t="shared" si="29"/>
        <v>8319603.456666667</v>
      </c>
      <c r="AC49" s="247">
        <f t="shared" si="30"/>
        <v>0.27836795787182766</v>
      </c>
      <c r="AD49" s="244">
        <f t="shared" si="31"/>
        <v>9201822.7966666669</v>
      </c>
      <c r="AE49" s="247">
        <f t="shared" si="32"/>
        <v>0.29502758223938624</v>
      </c>
      <c r="AF49" s="244">
        <f t="shared" si="33"/>
        <v>10637935.726666667</v>
      </c>
      <c r="AG49" s="247">
        <f t="shared" si="34"/>
        <v>0.30790943758396</v>
      </c>
      <c r="AH49" s="244">
        <f t="shared" si="35"/>
        <v>12200562.489999998</v>
      </c>
      <c r="AI49" s="247">
        <f t="shared" si="36"/>
        <v>0.33029617638008402</v>
      </c>
      <c r="AJ49" s="244">
        <f t="shared" si="37"/>
        <v>12878772.353333334</v>
      </c>
      <c r="AK49" s="247">
        <f t="shared" si="38"/>
        <v>0.30814687190597539</v>
      </c>
      <c r="AL49" s="244">
        <f t="shared" si="39"/>
        <v>14581203.106666673</v>
      </c>
      <c r="AM49" s="247">
        <f t="shared" si="40"/>
        <v>0.31748597805078144</v>
      </c>
      <c r="AN49" s="244">
        <f t="shared" si="41"/>
        <v>18079705.623333342</v>
      </c>
      <c r="AO49" s="247">
        <f t="shared" si="42"/>
        <v>0.32543747689902119</v>
      </c>
      <c r="AP49" s="244">
        <f t="shared" si="43"/>
        <v>19357448.223333333</v>
      </c>
      <c r="AQ49" s="247">
        <f t="shared" si="44"/>
        <v>0.33339149413188252</v>
      </c>
      <c r="AR49" s="244">
        <f t="shared" si="45"/>
        <v>20410742.629999995</v>
      </c>
      <c r="AS49" s="247">
        <f t="shared" si="46"/>
        <v>0.33489964731220395</v>
      </c>
      <c r="AT49" s="244">
        <f t="shared" si="47"/>
        <v>21790168.460000001</v>
      </c>
      <c r="AU49" s="247">
        <f t="shared" si="48"/>
        <v>0.31513049070863614</v>
      </c>
      <c r="AV49" s="244">
        <f t="shared" si="49"/>
        <v>20067735.123333331</v>
      </c>
      <c r="AW49" s="247">
        <f t="shared" si="50"/>
        <v>0.30331654154796234</v>
      </c>
      <c r="AX49" s="244">
        <f t="shared" si="51"/>
        <v>18615781.42666667</v>
      </c>
      <c r="AY49" s="247">
        <f t="shared" si="52"/>
        <v>0.30811001864471005</v>
      </c>
      <c r="AZ49" s="244">
        <f t="shared" si="53"/>
        <v>18484558.556666665</v>
      </c>
      <c r="BA49" s="247">
        <f t="shared" si="54"/>
        <v>0.30993442648236491</v>
      </c>
      <c r="BB49" s="244">
        <f t="shared" si="55"/>
        <v>17240727.850000001</v>
      </c>
      <c r="BC49" s="247">
        <f t="shared" si="56"/>
        <v>0.28738107851742084</v>
      </c>
      <c r="BD49" s="244">
        <f t="shared" si="57"/>
        <v>16415305.303333333</v>
      </c>
      <c r="BE49" s="247">
        <f t="shared" si="58"/>
        <v>0.28738508458430473</v>
      </c>
      <c r="BF49" s="244">
        <f t="shared" si="59"/>
        <v>16297015.966666667</v>
      </c>
      <c r="BG49" s="247">
        <f t="shared" si="60"/>
        <v>0.27985381446836233</v>
      </c>
      <c r="BH49" s="244">
        <f t="shared" si="61"/>
        <v>15087376.629999999</v>
      </c>
      <c r="BI49" s="247">
        <f t="shared" si="62"/>
        <v>0.25282026804056984</v>
      </c>
      <c r="BJ49" s="244">
        <f t="shared" si="63"/>
        <v>13312974.806666667</v>
      </c>
      <c r="BK49" s="247">
        <f t="shared" si="64"/>
        <v>0.2056954720456621</v>
      </c>
      <c r="BL49" s="244">
        <f t="shared" si="65"/>
        <v>14867749.856666662</v>
      </c>
      <c r="BM49" s="247">
        <f t="shared" si="66"/>
        <v>0.20114605968225688</v>
      </c>
      <c r="BN49" s="244">
        <f t="shared" si="67"/>
        <v>15307712.436666667</v>
      </c>
      <c r="BO49" s="247">
        <f t="shared" si="68"/>
        <v>0.21451014030622745</v>
      </c>
      <c r="BP49" s="244">
        <f t="shared" si="69"/>
        <v>15342848.109999992</v>
      </c>
      <c r="BQ49" s="247">
        <f t="shared" si="70"/>
        <v>0.20566821469077282</v>
      </c>
      <c r="BR49" s="244">
        <f t="shared" si="71"/>
        <v>17201047.706666671</v>
      </c>
      <c r="BS49" s="247">
        <f t="shared" si="72"/>
        <v>0.21487188512315389</v>
      </c>
      <c r="BT49" s="244" t="e">
        <f>#REF!/$A24*3</f>
        <v>#REF!</v>
      </c>
      <c r="BU49" s="247" t="e">
        <f t="shared" si="73"/>
        <v>#REF!</v>
      </c>
      <c r="BV49" s="244" t="e">
        <f>#REF!/$A24*3</f>
        <v>#REF!</v>
      </c>
      <c r="BW49" s="247" t="e">
        <f t="shared" si="74"/>
        <v>#REF!</v>
      </c>
      <c r="BX49" s="244" t="e">
        <f>#REF!/$A24*3</f>
        <v>#REF!</v>
      </c>
      <c r="BY49" s="247" t="e">
        <f t="shared" si="75"/>
        <v>#REF!</v>
      </c>
      <c r="BZ49" s="244" t="e">
        <f>#REF!/$A24*3</f>
        <v>#REF!</v>
      </c>
      <c r="CA49" s="247" t="e">
        <f t="shared" si="76"/>
        <v>#REF!</v>
      </c>
      <c r="CB49" s="244" t="e">
        <f>#REF!/$A24*3</f>
        <v>#REF!</v>
      </c>
      <c r="CC49" s="247" t="e">
        <f t="shared" si="77"/>
        <v>#REF!</v>
      </c>
      <c r="CD49" s="244">
        <f t="shared" si="78"/>
        <v>25511394.783333398</v>
      </c>
      <c r="CE49" s="247">
        <f t="shared" si="79"/>
        <v>0.22949212204730421</v>
      </c>
      <c r="CF49" s="244">
        <f t="shared" si="80"/>
        <v>26282039.423333339</v>
      </c>
      <c r="CG49" s="247">
        <f t="shared" si="81"/>
        <v>0.2211145672179359</v>
      </c>
      <c r="CH49" s="244">
        <f t="shared" si="82"/>
        <v>27174204.406666681</v>
      </c>
      <c r="CI49" s="247">
        <f t="shared" si="83"/>
        <v>0.21299210150286405</v>
      </c>
      <c r="CJ49" s="247"/>
      <c r="CK49" s="244">
        <f>IF(CK41&gt;$A24,CK24,CK24/$A24*$CK$41)</f>
        <v>29173450.16</v>
      </c>
      <c r="CL49" s="247">
        <f t="shared" si="84"/>
        <v>0.21111104281260168</v>
      </c>
      <c r="CM49" s="326"/>
      <c r="CN49" s="244">
        <f>IF(CN41&gt;$A24,CN24,CN24/$A24*$CN$41)</f>
        <v>80952149.699999973</v>
      </c>
      <c r="CO49" s="247">
        <f t="shared" si="85"/>
        <v>0.22918035488078037</v>
      </c>
      <c r="CP49" s="326"/>
      <c r="CQ49" s="244">
        <f>IF(CQ41&gt;$A24,CQ24,CQ24/$A24*$CQ$41)</f>
        <v>77615987.949999988</v>
      </c>
      <c r="CR49" s="247">
        <f t="shared" si="86"/>
        <v>0.20050653333674678</v>
      </c>
      <c r="CS49" s="326"/>
      <c r="CT49" s="244">
        <f>IF(CT41&gt;$A24,CT24,CT24/$A24*$CT$41)</f>
        <v>82637186.530000001</v>
      </c>
      <c r="CU49" s="247">
        <f t="shared" si="87"/>
        <v>0.18650682268559132</v>
      </c>
      <c r="CV49" s="198"/>
      <c r="CW49" s="244">
        <f>IF(CW41&gt;$A24,CW24,CW24/$A24*$CW$41)</f>
        <v>81659924.680000007</v>
      </c>
      <c r="CX49" s="247">
        <f t="shared" si="88"/>
        <v>0.17746925838757435</v>
      </c>
      <c r="CY49" s="247"/>
      <c r="CZ49" s="244">
        <f>IF(CZ41&gt;$A24,CZ24,CZ24/$A24*$CZ$41)</f>
        <v>81144676.560000032</v>
      </c>
      <c r="DA49" s="247">
        <f t="shared" si="89"/>
        <v>0.17113357199365134</v>
      </c>
      <c r="DB49" s="247"/>
      <c r="DC49" s="244">
        <f>IF(DC41&gt;$A24,DC24,DC24/$A24*$DC$41)</f>
        <v>78103738.640000015</v>
      </c>
      <c r="DD49" s="247">
        <f t="shared" si="90"/>
        <v>0.15580538679709083</v>
      </c>
      <c r="DE49" s="247"/>
      <c r="DF49" s="244">
        <f>IF(DF41&gt;$A24,DF24,DF24/$A24*$DF$41)</f>
        <v>73951943</v>
      </c>
      <c r="DG49" s="247">
        <f t="shared" si="91"/>
        <v>0.13841357241803334</v>
      </c>
      <c r="DH49" s="440"/>
      <c r="DI49" s="244">
        <f>IF(DI41&gt;$A24,DI24,DI24/$A24*$DI$41)</f>
        <v>73012285.899999976</v>
      </c>
      <c r="DJ49" s="247">
        <f t="shared" si="92"/>
        <v>0.13169962830726215</v>
      </c>
      <c r="DK49" s="247"/>
      <c r="DL49" s="244">
        <f>IF(DL41&gt;$A24,DL24,DL24/$A24*$DL$41)</f>
        <v>67427670.720000014</v>
      </c>
      <c r="DM49" s="247">
        <f t="shared" si="93"/>
        <v>0.11684279546187136</v>
      </c>
      <c r="DN49" s="440"/>
      <c r="DO49" s="244">
        <f>IF(DO41&gt;$A24,DO24,DO24/$A24*$DO$41)</f>
        <v>67883886.48999998</v>
      </c>
      <c r="DP49" s="247">
        <f t="shared" si="94"/>
        <v>0.11098362231381029</v>
      </c>
      <c r="DQ49" s="247"/>
      <c r="DR49" s="244">
        <f>IF(DR41&gt;$A24,DR24,DR24/$A24*$DR$41)</f>
        <v>68449246.439999998</v>
      </c>
      <c r="DS49" s="247">
        <f t="shared" si="95"/>
        <v>0.10995721292395615</v>
      </c>
      <c r="DT49" s="440"/>
      <c r="DU49" s="244">
        <f>IF(DU41&gt;$A24,DU24,DU24/$A24*$DU$41)</f>
        <v>73517041.849999994</v>
      </c>
      <c r="DV49" s="247">
        <f t="shared" si="96"/>
        <v>0.10691858991080296</v>
      </c>
      <c r="DW49" s="440"/>
      <c r="DX49" s="244">
        <f>IF(DX41&gt;$A24,DX24,DX24/$A24*$DX$41)</f>
        <v>71356421.730000019</v>
      </c>
      <c r="DY49" s="247">
        <f t="shared" si="97"/>
        <v>0.10632741428866478</v>
      </c>
      <c r="DZ49" s="440"/>
      <c r="EA49" s="244">
        <f>IF(EA41&gt;$A24,EA24,EA24/$A24*$EA$41)</f>
        <v>78341671.770000041</v>
      </c>
      <c r="EB49" s="247">
        <f t="shared" si="98"/>
        <v>0.11205254301525737</v>
      </c>
      <c r="EC49" s="440"/>
      <c r="ED49" s="244">
        <f>IF(ED41&gt;$A24,ED24,ED24/$A24*$ED41)</f>
        <v>90637041.579999954</v>
      </c>
      <c r="EE49" s="247">
        <f t="shared" si="99"/>
        <v>0.12248008354311644</v>
      </c>
      <c r="EF49" s="440"/>
      <c r="EG49" s="244">
        <f>IF(EG41&gt;$A24,EG24,EG24/$A24*EG41)</f>
        <v>100108925.75</v>
      </c>
      <c r="EH49" s="247">
        <f t="shared" si="100"/>
        <v>0.12522240688922537</v>
      </c>
      <c r="EI49" s="247"/>
      <c r="EJ49" s="244">
        <f>IF(EJ41&gt;$A24,EJ24,EJ24/$A24*EJ41)</f>
        <v>100044824.37</v>
      </c>
      <c r="EK49" s="247">
        <f t="shared" si="101"/>
        <v>0.11915491104319079</v>
      </c>
      <c r="EL49" s="247"/>
      <c r="EM49" s="244">
        <f>IF(EM$41&gt;$A24,EM24,EM24/$A24*EM$41)</f>
        <v>109833271.02999999</v>
      </c>
      <c r="EN49" s="247">
        <f t="shared" si="102"/>
        <v>0.12330481716997473</v>
      </c>
      <c r="EO49" s="247"/>
      <c r="EP49" s="244">
        <f>IF(EP41&gt;$A24,EP24,EP24/$A24*$EP$41)</f>
        <v>121108840.78999753</v>
      </c>
      <c r="EQ49" s="247">
        <f t="shared" si="103"/>
        <v>0.12796268910658415</v>
      </c>
      <c r="ER49" s="440"/>
      <c r="ES49" s="244">
        <f>IF(ES41&gt;$A24,ES24,ES24/$A24*$DI$41)</f>
        <v>124090821.31999998</v>
      </c>
      <c r="ET49" s="247">
        <f t="shared" si="104"/>
        <v>0.12468406607528291</v>
      </c>
      <c r="EU49" s="247"/>
      <c r="EV49" s="244">
        <f>IF(EV41&gt;$A24,EV24,EV24/$A24*$EV$41)</f>
        <v>127284148.27</v>
      </c>
      <c r="EW49" s="247">
        <f t="shared" si="105"/>
        <v>0.11784609705937341</v>
      </c>
      <c r="EX49" s="440"/>
      <c r="EY49" s="244">
        <f>IF(EY41&gt;$A24,EY24,EY24/$A24*$EY$41)</f>
        <v>133496113.32000011</v>
      </c>
      <c r="EZ49" s="247">
        <f t="shared" si="106"/>
        <v>0.12896548388889828</v>
      </c>
      <c r="FA49" s="247"/>
      <c r="FB49" s="244">
        <f>IF(FB41&gt;$A24,FB24,FB24/$A24*$DR$41)</f>
        <v>136906746.65000013</v>
      </c>
      <c r="FC49" s="247">
        <f t="shared" si="107"/>
        <v>0.11379023105173877</v>
      </c>
      <c r="FD49" s="440"/>
      <c r="FE49" s="244">
        <f>IF(FE41&gt;$A24,FE24,FE24/$A24*$FE$41)</f>
        <v>135570205.51999998</v>
      </c>
      <c r="FF49" s="247">
        <f t="shared" si="108"/>
        <v>0.1135570750033202</v>
      </c>
      <c r="FG49" s="440"/>
      <c r="FH49" s="244">
        <f>IF(FH41&gt;$A24,FH24,FH24/$A24*$FH$41)</f>
        <v>14027834.967777794</v>
      </c>
      <c r="FI49" s="247">
        <f t="shared" si="109"/>
        <v>9.8991277661295354E-2</v>
      </c>
      <c r="FJ49" s="440"/>
      <c r="FK49" s="244">
        <f>IF(FK41&gt;$A24,FK24,FK24/$A24*$FK$41)</f>
        <v>37976791.890000053</v>
      </c>
      <c r="FL49" s="247">
        <f t="shared" si="110"/>
        <v>8.3891307759676847E-2</v>
      </c>
      <c r="FM49" s="440"/>
      <c r="FN49" s="244">
        <f>IF(FN41&gt;$A24,FN24,FN24/$A24*$FN$41)</f>
        <v>101589169.17999983</v>
      </c>
      <c r="FO49" s="247">
        <f t="shared" si="111"/>
        <v>6.3624105352811475E-2</v>
      </c>
      <c r="FP49" s="440"/>
      <c r="FQ49" s="244">
        <f>IF(FQ41&gt;$A24,FQ24,FQ24/$A24*$FQ$41)</f>
        <v>92235872.830000132</v>
      </c>
      <c r="FR49" s="247">
        <f t="shared" si="112"/>
        <v>6.3107709304183135E-2</v>
      </c>
      <c r="FS49" s="247"/>
      <c r="FT49" s="244">
        <f>IF(FT41&gt;$A24,FT24,FT24/$A24*$FT$41)</f>
        <v>77807769.890000314</v>
      </c>
      <c r="FU49" s="247">
        <f t="shared" si="113"/>
        <v>5.199992398108999E-2</v>
      </c>
      <c r="FV49" s="247"/>
      <c r="FW49" s="244">
        <f>IF(FW41&gt;$A24,FW24,FW24/$A24*$FW$41)</f>
        <v>66317687.030000009</v>
      </c>
      <c r="FX49" s="247">
        <f t="shared" si="114"/>
        <v>4.3404729679369147E-2</v>
      </c>
      <c r="FY49" s="247"/>
      <c r="FZ49" s="244">
        <f>IF(FZ41&gt;$A24,FZ24,FZ24/$A24*$FZ$41)</f>
        <v>60461188.730000019</v>
      </c>
      <c r="GA49" s="247">
        <f t="shared" si="115"/>
        <v>3.3316654887180011E-2</v>
      </c>
      <c r="GB49" s="247"/>
      <c r="GC49" s="244">
        <f>IF(GC41&gt;$A24,GC24,GC24/$A24*$GC$41)</f>
        <v>55108894.370000064</v>
      </c>
      <c r="GD49" s="247">
        <f t="shared" si="116"/>
        <v>3.5325149038601358E-2</v>
      </c>
      <c r="GE49" s="244">
        <v>16405684.793333359</v>
      </c>
      <c r="GF49" s="247">
        <f t="shared" si="117"/>
        <v>2.989267343946753E-2</v>
      </c>
      <c r="GG49" s="244">
        <f>IF(GG41&gt;$A24,GG24,GG24/$A24*$GM$41)</f>
        <v>88966444.539999902</v>
      </c>
      <c r="GH49" s="247">
        <f t="shared" si="118"/>
        <v>2.8579316747932709E-2</v>
      </c>
      <c r="GI49" s="244">
        <f>IF(GI41&gt;$A24,GI24,GI24/$A24*$GM$41)</f>
        <v>94088094.820000008</v>
      </c>
      <c r="GJ49" s="247">
        <f t="shared" si="119"/>
        <v>2.8332271892657808E-2</v>
      </c>
      <c r="GK49" s="244">
        <f>IF(GK41&gt;$A24,GK24,GK24/$A24*$GM$41)</f>
        <v>87903487.740000039</v>
      </c>
      <c r="GL49" s="247">
        <f t="shared" si="120"/>
        <v>2.6200296504802805E-2</v>
      </c>
      <c r="GM49" s="244">
        <f>IF(GM41&gt;$A24,GM24,GM24/$A24*$GM$41)</f>
        <v>43739923.470000014</v>
      </c>
      <c r="GN49" s="247">
        <f t="shared" si="121"/>
        <v>2.2009342465954391E-2</v>
      </c>
      <c r="GO49" s="244">
        <f>IF(GO41&gt;$A24,GO24,GO24/$A24*$GO$41)</f>
        <v>42552350.100000001</v>
      </c>
      <c r="GP49" s="247">
        <f t="shared" si="122"/>
        <v>2.1397174884825693E-2</v>
      </c>
      <c r="GQ49" s="244">
        <f>IF(GQ41&gt;$A24,GQ24,GQ24/$A24*$GQ$41)</f>
        <v>41060210.529999994</v>
      </c>
      <c r="GR49" s="247">
        <f t="shared" si="123"/>
        <v>2.4650498070452182E-2</v>
      </c>
      <c r="GS49" s="247"/>
      <c r="GT49" s="244">
        <f>IF(GT41&gt;$A24,GT24,GT24/$A24*$GT$41)</f>
        <v>4234409.7255555568</v>
      </c>
      <c r="GU49" s="247">
        <f t="shared" si="124"/>
        <v>1.7745110610343499E-2</v>
      </c>
      <c r="GV49" s="247"/>
      <c r="GW49" s="1038">
        <f>IF(GW41&gt;$A24,GW24,GW24/$A24*$GW$41)</f>
        <v>33310712.629999995</v>
      </c>
      <c r="GX49" s="247">
        <f t="shared" si="125"/>
        <v>2.1747129951305851E-2</v>
      </c>
      <c r="GY49" s="247"/>
      <c r="GZ49" s="1038">
        <f>IF(GZ41&gt;$A24,GZ24,GZ24/$A24*$GZ$41)</f>
        <v>3498167.4788888893</v>
      </c>
      <c r="HA49" s="247">
        <f t="shared" si="126"/>
        <v>1.5890349988110904E-2</v>
      </c>
      <c r="HB49" s="247"/>
      <c r="HC49" s="1063">
        <f>IF(HC41&gt;$A24,HC24,HC24/$A24*$HC$41)</f>
        <v>28437954.629999988</v>
      </c>
      <c r="HD49" s="247">
        <f t="shared" si="127"/>
        <v>1.7618491168030253E-2</v>
      </c>
      <c r="HE49" s="247"/>
      <c r="HF49" s="244">
        <f>IF(HF41&gt;$A24,HF24,HF24/$A24*$HF$41)</f>
        <v>28321693.189999998</v>
      </c>
      <c r="HG49" s="247">
        <f t="shared" si="128"/>
        <v>1.7514833684103774E-2</v>
      </c>
      <c r="HH49" s="247"/>
      <c r="HI49" s="244">
        <f>IF(HI41&gt;$A24,HI24,HI24/$A24*$HF$41)</f>
        <v>28750474.683195617</v>
      </c>
      <c r="HJ49" s="247">
        <f t="shared" si="129"/>
        <v>1.8276704059208573E-2</v>
      </c>
      <c r="HK49" s="247"/>
      <c r="HL49" s="244">
        <f>IF(HL41&gt;$A24,HL24,HL24/$A24*$HL$41)</f>
        <v>28535057.730185054</v>
      </c>
      <c r="HM49" s="247">
        <f t="shared" si="130"/>
        <v>1.8116207270296576E-2</v>
      </c>
      <c r="HN49" s="247"/>
      <c r="HO49" s="244">
        <f>IF(HO41&gt;$A24,HO24,HO24/$A24*$HO$41)</f>
        <v>25875427.214876056</v>
      </c>
      <c r="HP49" s="247">
        <f t="shared" si="131"/>
        <v>1.6786378393168221E-2</v>
      </c>
      <c r="HQ49" s="247"/>
      <c r="HR49" s="244">
        <f>IF(HR41&gt;$A24,HR24,HR24/$A24*$HO$41)</f>
        <v>25681551.957166549</v>
      </c>
      <c r="HS49" s="247">
        <f t="shared" si="132"/>
        <v>1.6677511531320043E-2</v>
      </c>
      <c r="HT49" s="247"/>
      <c r="HU49" s="244">
        <f>IF(HU41&gt;$A24,HU24,HU24/$A24*$HO$41)</f>
        <v>23287884.493388452</v>
      </c>
      <c r="HV49" s="247">
        <f t="shared" si="133"/>
        <v>1.531495842849504E-2</v>
      </c>
      <c r="HW49" s="247"/>
      <c r="HX49" s="247"/>
      <c r="HY49" s="247"/>
      <c r="HZ49" s="247"/>
      <c r="IA49" s="244">
        <f>IF(IA41&gt;$A24,IA24,IA24/$A24*$ED41)</f>
        <v>90637041.579999954</v>
      </c>
      <c r="IB49" s="247">
        <f t="shared" si="134"/>
        <v>0.12248008354311644</v>
      </c>
      <c r="IC49" s="198"/>
      <c r="ID49" s="198"/>
      <c r="IE49" s="198"/>
    </row>
    <row r="50" spans="1:239" ht="14.4" hidden="1" customHeight="1">
      <c r="A50" s="586">
        <v>10</v>
      </c>
      <c r="B50" s="242" t="s">
        <v>455</v>
      </c>
      <c r="D50" s="244">
        <f t="shared" si="5"/>
        <v>0</v>
      </c>
      <c r="E50" s="247">
        <f t="shared" si="6"/>
        <v>0</v>
      </c>
      <c r="F50" s="244">
        <f t="shared" si="7"/>
        <v>0</v>
      </c>
      <c r="G50" s="247">
        <f t="shared" si="8"/>
        <v>0</v>
      </c>
      <c r="H50" s="244">
        <f t="shared" si="9"/>
        <v>0</v>
      </c>
      <c r="I50" s="247">
        <f t="shared" si="10"/>
        <v>0</v>
      </c>
      <c r="J50" s="244">
        <f t="shared" si="11"/>
        <v>0</v>
      </c>
      <c r="K50" s="247">
        <f t="shared" si="12"/>
        <v>0</v>
      </c>
      <c r="L50" s="244">
        <f t="shared" si="13"/>
        <v>0</v>
      </c>
      <c r="M50" s="247">
        <f t="shared" si="14"/>
        <v>0</v>
      </c>
      <c r="N50" s="244">
        <f t="shared" si="15"/>
        <v>0</v>
      </c>
      <c r="O50" s="247">
        <f t="shared" si="16"/>
        <v>0</v>
      </c>
      <c r="P50" s="244">
        <f t="shared" si="17"/>
        <v>0</v>
      </c>
      <c r="Q50" s="247">
        <f t="shared" si="18"/>
        <v>0</v>
      </c>
      <c r="R50" s="244">
        <f t="shared" si="19"/>
        <v>0</v>
      </c>
      <c r="S50" s="247">
        <f t="shared" si="20"/>
        <v>0</v>
      </c>
      <c r="T50" s="244">
        <f t="shared" si="21"/>
        <v>0</v>
      </c>
      <c r="U50" s="247">
        <f t="shared" si="22"/>
        <v>0</v>
      </c>
      <c r="V50" s="244">
        <f t="shared" si="23"/>
        <v>0</v>
      </c>
      <c r="W50" s="247">
        <f t="shared" si="24"/>
        <v>0</v>
      </c>
      <c r="X50" s="244">
        <f t="shared" si="25"/>
        <v>0</v>
      </c>
      <c r="Y50" s="247">
        <f t="shared" si="26"/>
        <v>0</v>
      </c>
      <c r="Z50" s="244">
        <f t="shared" si="27"/>
        <v>0</v>
      </c>
      <c r="AA50" s="247">
        <f t="shared" si="28"/>
        <v>0</v>
      </c>
      <c r="AB50" s="244">
        <f t="shared" si="29"/>
        <v>0</v>
      </c>
      <c r="AC50" s="247">
        <f t="shared" si="30"/>
        <v>0</v>
      </c>
      <c r="AD50" s="244">
        <f t="shared" si="31"/>
        <v>0</v>
      </c>
      <c r="AE50" s="247">
        <f t="shared" si="32"/>
        <v>0</v>
      </c>
      <c r="AF50" s="244">
        <f t="shared" si="33"/>
        <v>0</v>
      </c>
      <c r="AG50" s="247">
        <f t="shared" si="34"/>
        <v>0</v>
      </c>
      <c r="AH50" s="244">
        <f t="shared" si="35"/>
        <v>0</v>
      </c>
      <c r="AI50" s="247">
        <f t="shared" si="36"/>
        <v>0</v>
      </c>
      <c r="AJ50" s="244">
        <f t="shared" si="37"/>
        <v>0</v>
      </c>
      <c r="AK50" s="247">
        <f t="shared" si="38"/>
        <v>0</v>
      </c>
      <c r="AL50" s="244">
        <f t="shared" si="39"/>
        <v>0</v>
      </c>
      <c r="AM50" s="247">
        <f t="shared" si="40"/>
        <v>0</v>
      </c>
      <c r="AN50" s="244">
        <f t="shared" si="41"/>
        <v>0</v>
      </c>
      <c r="AO50" s="247">
        <f t="shared" si="42"/>
        <v>0</v>
      </c>
      <c r="AP50" s="244">
        <f t="shared" si="43"/>
        <v>0</v>
      </c>
      <c r="AQ50" s="247">
        <f t="shared" si="44"/>
        <v>0</v>
      </c>
      <c r="AR50" s="244">
        <f t="shared" si="45"/>
        <v>0</v>
      </c>
      <c r="AS50" s="247">
        <f t="shared" si="46"/>
        <v>0</v>
      </c>
      <c r="AT50" s="244">
        <f t="shared" si="47"/>
        <v>0</v>
      </c>
      <c r="AU50" s="247">
        <f t="shared" si="48"/>
        <v>0</v>
      </c>
      <c r="AV50" s="244">
        <f t="shared" si="49"/>
        <v>0</v>
      </c>
      <c r="AW50" s="247">
        <f t="shared" si="50"/>
        <v>0</v>
      </c>
      <c r="AX50" s="244">
        <f t="shared" si="51"/>
        <v>0</v>
      </c>
      <c r="AY50" s="247">
        <f t="shared" si="52"/>
        <v>0</v>
      </c>
      <c r="AZ50" s="244">
        <f t="shared" si="53"/>
        <v>0</v>
      </c>
      <c r="BA50" s="247">
        <f t="shared" si="54"/>
        <v>0</v>
      </c>
      <c r="BB50" s="244">
        <f t="shared" si="55"/>
        <v>0</v>
      </c>
      <c r="BC50" s="247">
        <f t="shared" si="56"/>
        <v>0</v>
      </c>
      <c r="BD50" s="244">
        <f t="shared" si="57"/>
        <v>0</v>
      </c>
      <c r="BE50" s="247">
        <f t="shared" si="58"/>
        <v>0</v>
      </c>
      <c r="BF50" s="244">
        <f t="shared" si="59"/>
        <v>0</v>
      </c>
      <c r="BG50" s="247">
        <f t="shared" si="60"/>
        <v>0</v>
      </c>
      <c r="BH50" s="244">
        <f t="shared" si="61"/>
        <v>0</v>
      </c>
      <c r="BI50" s="247">
        <f t="shared" si="62"/>
        <v>0</v>
      </c>
      <c r="BJ50" s="244">
        <f t="shared" si="63"/>
        <v>0</v>
      </c>
      <c r="BK50" s="247">
        <f t="shared" si="64"/>
        <v>0</v>
      </c>
      <c r="BL50" s="244">
        <f t="shared" si="65"/>
        <v>0</v>
      </c>
      <c r="BM50" s="247">
        <f t="shared" si="66"/>
        <v>0</v>
      </c>
      <c r="BN50" s="244">
        <f t="shared" si="67"/>
        <v>0</v>
      </c>
      <c r="BO50" s="247">
        <f t="shared" si="68"/>
        <v>0</v>
      </c>
      <c r="BP50" s="244">
        <f t="shared" si="69"/>
        <v>0</v>
      </c>
      <c r="BQ50" s="247">
        <f t="shared" si="70"/>
        <v>0</v>
      </c>
      <c r="BR50" s="244">
        <f t="shared" si="71"/>
        <v>0</v>
      </c>
      <c r="BS50" s="247">
        <f t="shared" si="72"/>
        <v>0</v>
      </c>
      <c r="BT50" s="244" t="e">
        <f>#REF!/$A25*3</f>
        <v>#REF!</v>
      </c>
      <c r="BU50" s="247" t="e">
        <f t="shared" si="73"/>
        <v>#REF!</v>
      </c>
      <c r="BV50" s="244" t="e">
        <f>#REF!/$A25*3</f>
        <v>#REF!</v>
      </c>
      <c r="BW50" s="247" t="e">
        <f t="shared" si="74"/>
        <v>#REF!</v>
      </c>
      <c r="BX50" s="244" t="e">
        <f>#REF!/$A25*3</f>
        <v>#REF!</v>
      </c>
      <c r="BY50" s="247" t="e">
        <f t="shared" si="75"/>
        <v>#REF!</v>
      </c>
      <c r="BZ50" s="244" t="e">
        <f>#REF!/$A25*3</f>
        <v>#REF!</v>
      </c>
      <c r="CA50" s="247" t="e">
        <f t="shared" si="76"/>
        <v>#REF!</v>
      </c>
      <c r="CB50" s="244" t="e">
        <f>#REF!/$A25*3</f>
        <v>#REF!</v>
      </c>
      <c r="CC50" s="247" t="e">
        <f t="shared" si="77"/>
        <v>#REF!</v>
      </c>
      <c r="CD50" s="244">
        <f t="shared" si="78"/>
        <v>0</v>
      </c>
      <c r="CE50" s="247">
        <f t="shared" si="79"/>
        <v>0</v>
      </c>
      <c r="CF50" s="244">
        <f t="shared" si="80"/>
        <v>0</v>
      </c>
      <c r="CG50" s="247">
        <f t="shared" si="81"/>
        <v>0</v>
      </c>
      <c r="CH50" s="244">
        <f t="shared" si="82"/>
        <v>0</v>
      </c>
      <c r="CI50" s="247">
        <f t="shared" si="83"/>
        <v>0</v>
      </c>
      <c r="CJ50" s="247"/>
      <c r="CK50" s="244">
        <f>IF(CK41&gt;$A25,CK25,CK25/$A25*$CK$41)</f>
        <v>0</v>
      </c>
      <c r="CL50" s="247">
        <f t="shared" si="84"/>
        <v>0</v>
      </c>
      <c r="CM50" s="326"/>
      <c r="CN50" s="244"/>
      <c r="CO50" s="247">
        <f t="shared" si="85"/>
        <v>0</v>
      </c>
      <c r="CP50" s="326"/>
      <c r="CQ50" s="244"/>
      <c r="CR50" s="247">
        <f t="shared" si="86"/>
        <v>0</v>
      </c>
      <c r="CS50" s="326"/>
      <c r="CT50" s="244"/>
      <c r="CU50" s="247">
        <f t="shared" si="87"/>
        <v>0</v>
      </c>
      <c r="CV50" s="198"/>
      <c r="CW50" s="244"/>
      <c r="CX50" s="247">
        <f t="shared" si="88"/>
        <v>0</v>
      </c>
      <c r="CY50" s="247"/>
      <c r="CZ50" s="244"/>
      <c r="DA50" s="247">
        <f t="shared" si="89"/>
        <v>0</v>
      </c>
      <c r="DB50" s="247"/>
      <c r="DC50" s="244"/>
      <c r="DD50" s="247">
        <f t="shared" si="90"/>
        <v>0</v>
      </c>
      <c r="DE50" s="247"/>
      <c r="DF50" s="244">
        <f>IF(DF48&gt;$A25,DF25,DF25/$A25*$DF$41)</f>
        <v>0</v>
      </c>
      <c r="DG50" s="247">
        <f t="shared" si="91"/>
        <v>0</v>
      </c>
      <c r="DH50" s="440"/>
      <c r="DI50" s="244">
        <f>IF(DI48&gt;$A25,DI25,DI25/$A25*$DF$41)</f>
        <v>0</v>
      </c>
      <c r="DJ50" s="247">
        <f t="shared" si="92"/>
        <v>0</v>
      </c>
      <c r="DK50" s="247"/>
      <c r="DL50" s="244">
        <f>IF(DL48&gt;$A25,DL25,DL25/$A25*$DF$41)</f>
        <v>0</v>
      </c>
      <c r="DM50" s="247">
        <f t="shared" si="93"/>
        <v>0</v>
      </c>
      <c r="DN50" s="440"/>
      <c r="DO50" s="244">
        <f>IF(DO48&gt;$A25,DO25,DO25/$A25*$DF$41)</f>
        <v>0</v>
      </c>
      <c r="DP50" s="247">
        <f t="shared" si="94"/>
        <v>0</v>
      </c>
      <c r="DQ50" s="247"/>
      <c r="DR50" s="244">
        <f>IF(DR48&gt;$A25,DR25,DR25/$A25*$DF$41)</f>
        <v>0</v>
      </c>
      <c r="DS50" s="247">
        <f t="shared" si="95"/>
        <v>0</v>
      </c>
      <c r="DT50" s="440"/>
      <c r="DU50" s="244">
        <f>IF(DU48&gt;$A25,DU25,DU25/$A25*$DF$41)</f>
        <v>0</v>
      </c>
      <c r="DV50" s="247">
        <f t="shared" si="96"/>
        <v>0</v>
      </c>
      <c r="DW50" s="440"/>
      <c r="DX50" s="244">
        <f>IF(DX48&gt;$A25,DX25,DX25/$A25*$DF$41)</f>
        <v>0</v>
      </c>
      <c r="DY50" s="247">
        <f t="shared" si="97"/>
        <v>0</v>
      </c>
      <c r="DZ50" s="440"/>
      <c r="EA50" s="244">
        <f>IF(EA48&gt;$A25,EA25,EA25/$A25*$DF$41)</f>
        <v>0</v>
      </c>
      <c r="EB50" s="247">
        <f t="shared" si="98"/>
        <v>0</v>
      </c>
      <c r="EC50" s="440"/>
      <c r="ED50" s="244">
        <f>IF(ED48&gt;$A25,ED25,ED25/$A25*$DF$41)</f>
        <v>0</v>
      </c>
      <c r="EE50" s="247">
        <f t="shared" si="99"/>
        <v>0</v>
      </c>
      <c r="EF50" s="440"/>
      <c r="EG50" s="244"/>
      <c r="EH50" s="247">
        <f t="shared" si="100"/>
        <v>0</v>
      </c>
      <c r="EI50" s="247"/>
      <c r="EJ50" s="244"/>
      <c r="EK50" s="247">
        <f t="shared" si="101"/>
        <v>0</v>
      </c>
      <c r="EL50" s="247"/>
      <c r="EM50" s="244"/>
      <c r="EN50" s="247">
        <f t="shared" si="102"/>
        <v>0</v>
      </c>
      <c r="EO50" s="247"/>
      <c r="EP50" s="244"/>
      <c r="EQ50" s="247">
        <f t="shared" si="103"/>
        <v>0</v>
      </c>
      <c r="ER50" s="440"/>
      <c r="ES50" s="244">
        <f>IF(ES48&gt;$A25,ES25,ES25/$A25*$DF$41)</f>
        <v>0</v>
      </c>
      <c r="ET50" s="247">
        <f t="shared" si="104"/>
        <v>0</v>
      </c>
      <c r="EU50" s="247"/>
      <c r="EV50" s="244">
        <f>IF(EV48&gt;$A25,EV25,EV25/$A25*$DF$41)</f>
        <v>0</v>
      </c>
      <c r="EW50" s="247">
        <f t="shared" si="105"/>
        <v>0</v>
      </c>
      <c r="EX50" s="440"/>
      <c r="EY50" s="244">
        <f>IF(EY48&gt;$A25,EY25,EY25/$A25*$DF$41)</f>
        <v>0</v>
      </c>
      <c r="EZ50" s="247">
        <f t="shared" si="106"/>
        <v>0</v>
      </c>
      <c r="FA50" s="247"/>
      <c r="FB50" s="244">
        <f>IF(FB48&gt;$A25,FB25,FB25/$A25*$DF$41)</f>
        <v>0</v>
      </c>
      <c r="FC50" s="247">
        <f t="shared" si="107"/>
        <v>0</v>
      </c>
      <c r="FD50" s="440"/>
      <c r="FE50" s="244">
        <f>IF(FE48&gt;$A25,FE25,FE25/$A25*$DF$41)</f>
        <v>0</v>
      </c>
      <c r="FF50" s="247">
        <f t="shared" si="108"/>
        <v>0</v>
      </c>
      <c r="FG50" s="440"/>
      <c r="FH50" s="244">
        <f>IF(FH48&gt;$A25,FH25,FH25/$A25*$DF$41)</f>
        <v>0</v>
      </c>
      <c r="FI50" s="247">
        <f t="shared" si="109"/>
        <v>0</v>
      </c>
      <c r="FJ50" s="440"/>
      <c r="FK50" s="244">
        <f>IF(FK48&gt;$A25,FK25,FK25/$A25*$DF$41)</f>
        <v>0</v>
      </c>
      <c r="FL50" s="247">
        <f t="shared" si="110"/>
        <v>0</v>
      </c>
      <c r="FM50" s="440"/>
      <c r="FN50" s="244">
        <f>IF(FN48&gt;$A25,FN25,FN25/$A25*$DF$41)</f>
        <v>0</v>
      </c>
      <c r="FO50" s="247">
        <f t="shared" si="111"/>
        <v>0</v>
      </c>
      <c r="FP50" s="440"/>
      <c r="FQ50" s="244">
        <f>IF(FQ48&gt;$A25,FQ25,FQ25/$A25*$DF$41)</f>
        <v>0</v>
      </c>
      <c r="FR50" s="247">
        <f t="shared" si="112"/>
        <v>0</v>
      </c>
      <c r="FS50" s="247"/>
      <c r="FT50" s="244">
        <f>IF(FT48&gt;$A25,FT25,FT25/$A25*$DF$41)</f>
        <v>0</v>
      </c>
      <c r="FU50" s="247">
        <f t="shared" si="113"/>
        <v>0</v>
      </c>
      <c r="FV50" s="247"/>
      <c r="FW50" s="244">
        <f>IF(FW48&gt;$A25,FW25,FW25/$A25*$DF$41)</f>
        <v>0</v>
      </c>
      <c r="FX50" s="247">
        <f t="shared" si="114"/>
        <v>0</v>
      </c>
      <c r="FY50" s="247"/>
      <c r="FZ50" s="244">
        <f>IF(FZ48&gt;$A25,FZ25,FZ25/$A25*$DF$41)</f>
        <v>0</v>
      </c>
      <c r="GA50" s="247">
        <f t="shared" si="115"/>
        <v>0</v>
      </c>
      <c r="GB50" s="247"/>
      <c r="GC50" s="244">
        <f>IF(GC48&gt;$A25,GC25,GC25/$A25*$DF$41)</f>
        <v>0</v>
      </c>
      <c r="GD50" s="247">
        <f t="shared" si="116"/>
        <v>0</v>
      </c>
      <c r="GE50" s="244">
        <v>0</v>
      </c>
      <c r="GF50" s="247">
        <f t="shared" si="117"/>
        <v>0</v>
      </c>
      <c r="GG50" s="244">
        <f>IF(GG48&gt;$A25,GG25,GG25/$A25*$DF$41)</f>
        <v>0</v>
      </c>
      <c r="GH50" s="247">
        <f t="shared" si="118"/>
        <v>0</v>
      </c>
      <c r="GI50" s="244">
        <f>IF(GI48&gt;$A25,GI25,GI25/$A25*$DF$41)</f>
        <v>0</v>
      </c>
      <c r="GJ50" s="247">
        <f t="shared" si="119"/>
        <v>0</v>
      </c>
      <c r="GK50" s="244">
        <f>IF(GK48&gt;$A25,GK25,GK25/$A25*$DF$41)</f>
        <v>0</v>
      </c>
      <c r="GL50" s="247">
        <f t="shared" si="120"/>
        <v>0</v>
      </c>
      <c r="GM50" s="244">
        <f>IF(GM48&gt;$A25,GM25,GM25/$A25*$DF$41)</f>
        <v>0</v>
      </c>
      <c r="GN50" s="247">
        <f t="shared" si="121"/>
        <v>0</v>
      </c>
      <c r="GO50" s="244">
        <f>IF(GO48&gt;$A25,GO25,GO25/$A25*$DF$41)</f>
        <v>0</v>
      </c>
      <c r="GP50" s="247">
        <f t="shared" si="122"/>
        <v>0</v>
      </c>
      <c r="GQ50" s="244">
        <f>IF(GQ48&gt;$A25,GQ25,GQ25/$A25*$DF$41)</f>
        <v>0</v>
      </c>
      <c r="GR50" s="247">
        <f t="shared" si="123"/>
        <v>0</v>
      </c>
      <c r="GS50" s="247"/>
      <c r="GT50" s="244">
        <f>IF(GT48&gt;$A25,GT25,GT25/$A25*$DF$41)</f>
        <v>0</v>
      </c>
      <c r="GU50" s="247">
        <f t="shared" si="124"/>
        <v>0</v>
      </c>
      <c r="GV50" s="247"/>
      <c r="GW50" s="1038">
        <f>IF(GW48&gt;$A25,GW25,GW25/$A25*$DF$41)</f>
        <v>0</v>
      </c>
      <c r="GX50" s="247">
        <f t="shared" si="125"/>
        <v>0</v>
      </c>
      <c r="GY50" s="247"/>
      <c r="GZ50" s="1038">
        <f>IF(GZ48&gt;$A25,GZ25,GZ25/$A25*$DF$41)</f>
        <v>0</v>
      </c>
      <c r="HA50" s="247">
        <f t="shared" si="126"/>
        <v>0</v>
      </c>
      <c r="HB50" s="247"/>
      <c r="HC50" s="1063">
        <f>IF(HC48&gt;$A25,HC25,HC25/$A25*$DF$41)</f>
        <v>45196959.609999999</v>
      </c>
      <c r="HD50" s="247">
        <f t="shared" si="127"/>
        <v>2.8001389131923144E-2</v>
      </c>
      <c r="HE50" s="247"/>
      <c r="HF50" s="244">
        <f>IF(HF48&gt;$A25,HF25,HF25/$A25*$DF$41)</f>
        <v>45196959.609999999</v>
      </c>
      <c r="HG50" s="247">
        <f t="shared" si="128"/>
        <v>2.7950914702932206E-2</v>
      </c>
      <c r="HH50" s="247"/>
      <c r="HI50" s="244">
        <f>IF(HI48&gt;$A25,HI25,HI25/$A25*$DF$41)</f>
        <v>45196959.609999999</v>
      </c>
      <c r="HJ50" s="247">
        <f t="shared" si="129"/>
        <v>2.8731750145704282E-2</v>
      </c>
      <c r="HK50" s="247"/>
      <c r="HL50" s="244">
        <f>IF(HL48&gt;$A25,HL25,HL25/$A25*$DF$41)</f>
        <v>58541544.005427919</v>
      </c>
      <c r="HM50" s="247">
        <f t="shared" si="130"/>
        <v>3.716658838238987E-2</v>
      </c>
      <c r="HN50" s="247"/>
      <c r="HO50" s="244">
        <f>IF(HO48&gt;$A25,HO25,HO25/$A25*$DF$41)</f>
        <v>58541544.005427919</v>
      </c>
      <c r="HP50" s="247">
        <f t="shared" si="131"/>
        <v>3.7978136601758479E-2</v>
      </c>
      <c r="HQ50" s="247"/>
      <c r="HR50" s="244">
        <f>IF(HR48&gt;$A25,HR25,HR25/$A25*$DF$41)</f>
        <v>58541544.005427919</v>
      </c>
      <c r="HS50" s="247">
        <f t="shared" si="132"/>
        <v>3.8016677373711269E-2</v>
      </c>
      <c r="HT50" s="247"/>
      <c r="HU50" s="244">
        <f>IF(HU48&gt;$A25,HU25,HU25/$A25*$DF$41)</f>
        <v>58541544.005427919</v>
      </c>
      <c r="HV50" s="247">
        <f t="shared" si="133"/>
        <v>3.8499044987859665E-2</v>
      </c>
      <c r="HW50" s="247"/>
      <c r="HX50" s="247"/>
      <c r="HY50" s="247"/>
      <c r="HZ50" s="247"/>
      <c r="IA50" s="244">
        <f>IF(IA48&gt;$A25,IA25,IA25/$A25*$DF$41)</f>
        <v>0</v>
      </c>
      <c r="IB50" s="247">
        <f t="shared" si="134"/>
        <v>0</v>
      </c>
      <c r="IC50" s="198"/>
      <c r="ID50" s="198"/>
      <c r="IE50" s="198"/>
    </row>
    <row r="51" spans="1:239" ht="14.4" hidden="1" customHeight="1">
      <c r="A51" s="586">
        <v>11</v>
      </c>
      <c r="B51" s="242" t="s">
        <v>456</v>
      </c>
      <c r="D51" s="244"/>
      <c r="E51" s="247"/>
      <c r="F51" s="244"/>
      <c r="G51" s="247"/>
      <c r="H51" s="244"/>
      <c r="I51" s="247"/>
      <c r="J51" s="244"/>
      <c r="K51" s="247"/>
      <c r="L51" s="244"/>
      <c r="M51" s="247"/>
      <c r="N51" s="244"/>
      <c r="O51" s="247"/>
      <c r="P51" s="244"/>
      <c r="Q51" s="247"/>
      <c r="R51" s="244"/>
      <c r="S51" s="247"/>
      <c r="T51" s="244"/>
      <c r="U51" s="247"/>
      <c r="V51" s="244"/>
      <c r="W51" s="247"/>
      <c r="X51" s="244"/>
      <c r="Y51" s="247"/>
      <c r="Z51" s="244"/>
      <c r="AA51" s="247"/>
      <c r="AB51" s="244"/>
      <c r="AC51" s="247"/>
      <c r="AD51" s="244"/>
      <c r="AE51" s="247"/>
      <c r="AF51" s="244"/>
      <c r="AG51" s="247"/>
      <c r="AH51" s="244"/>
      <c r="AI51" s="247"/>
      <c r="AJ51" s="244"/>
      <c r="AK51" s="247"/>
      <c r="AL51" s="244"/>
      <c r="AM51" s="247"/>
      <c r="AN51" s="244"/>
      <c r="AO51" s="247"/>
      <c r="AP51" s="244"/>
      <c r="AQ51" s="247"/>
      <c r="AR51" s="244"/>
      <c r="AS51" s="247"/>
      <c r="AT51" s="244"/>
      <c r="AU51" s="247"/>
      <c r="AV51" s="244"/>
      <c r="AW51" s="247"/>
      <c r="AX51" s="244"/>
      <c r="AY51" s="247"/>
      <c r="AZ51" s="244"/>
      <c r="BA51" s="247"/>
      <c r="BB51" s="244"/>
      <c r="BC51" s="247"/>
      <c r="BD51" s="244"/>
      <c r="BE51" s="247"/>
      <c r="BF51" s="244"/>
      <c r="BG51" s="247"/>
      <c r="BH51" s="244"/>
      <c r="BI51" s="247"/>
      <c r="BJ51" s="244"/>
      <c r="BK51" s="247"/>
      <c r="BL51" s="244"/>
      <c r="BM51" s="247"/>
      <c r="BN51" s="244"/>
      <c r="BO51" s="247"/>
      <c r="BP51" s="244"/>
      <c r="BQ51" s="247"/>
      <c r="BR51" s="244"/>
      <c r="BS51" s="247"/>
      <c r="BT51" s="244"/>
      <c r="BU51" s="247"/>
      <c r="BV51" s="244"/>
      <c r="BW51" s="247"/>
      <c r="BX51" s="244"/>
      <c r="BY51" s="247"/>
      <c r="BZ51" s="244"/>
      <c r="CA51" s="247"/>
      <c r="CB51" s="277">
        <f>CB26/$A26*3</f>
        <v>0</v>
      </c>
      <c r="CC51" s="247" t="e">
        <f t="shared" si="77"/>
        <v>#REF!</v>
      </c>
      <c r="CD51" s="277">
        <f t="shared" si="78"/>
        <v>0</v>
      </c>
      <c r="CE51" s="247">
        <f t="shared" si="79"/>
        <v>0</v>
      </c>
      <c r="CF51" s="277">
        <f t="shared" si="80"/>
        <v>0</v>
      </c>
      <c r="CG51" s="247">
        <f t="shared" si="81"/>
        <v>0</v>
      </c>
      <c r="CH51" s="277">
        <f t="shared" si="82"/>
        <v>0</v>
      </c>
      <c r="CI51" s="247">
        <f t="shared" si="83"/>
        <v>0</v>
      </c>
      <c r="CJ51" s="247"/>
      <c r="CK51" s="244">
        <f>IF(CK41&gt;$A26,CK26,CK26/$A26*$CK$41)</f>
        <v>0</v>
      </c>
      <c r="CL51" s="247">
        <f t="shared" si="84"/>
        <v>0</v>
      </c>
      <c r="CM51" s="326"/>
      <c r="CN51" s="277"/>
      <c r="CO51" s="247">
        <f t="shared" si="85"/>
        <v>0</v>
      </c>
      <c r="CP51" s="326"/>
      <c r="CQ51" s="277"/>
      <c r="CR51" s="247">
        <f t="shared" si="86"/>
        <v>0</v>
      </c>
      <c r="CS51" s="326"/>
      <c r="CT51" s="277"/>
      <c r="CU51" s="247">
        <f t="shared" si="87"/>
        <v>0</v>
      </c>
      <c r="CV51" s="198"/>
      <c r="CW51" s="277"/>
      <c r="CX51" s="247">
        <f t="shared" si="88"/>
        <v>0</v>
      </c>
      <c r="CY51" s="247"/>
      <c r="CZ51" s="277"/>
      <c r="DA51" s="247">
        <f t="shared" si="89"/>
        <v>0</v>
      </c>
      <c r="DB51" s="247"/>
      <c r="DC51" s="277"/>
      <c r="DD51" s="247">
        <f t="shared" si="90"/>
        <v>0</v>
      </c>
      <c r="DE51" s="247"/>
      <c r="DF51" s="244">
        <f>IF(DF49&gt;$A26,DF26,DF26/$A26*$DF$41)</f>
        <v>0</v>
      </c>
      <c r="DG51" s="247">
        <f t="shared" si="91"/>
        <v>0</v>
      </c>
      <c r="DH51" s="440"/>
      <c r="DI51" s="244">
        <f>IF(DI49&gt;$A26,DI26,DI26/$A26*$DF$41)</f>
        <v>0</v>
      </c>
      <c r="DJ51" s="247">
        <f t="shared" si="92"/>
        <v>0</v>
      </c>
      <c r="DK51" s="247"/>
      <c r="DL51" s="244">
        <f>IF(DL49&gt;$A26,DL26,DL26/$A26*$DF$41)</f>
        <v>0</v>
      </c>
      <c r="DM51" s="247">
        <f t="shared" si="93"/>
        <v>0</v>
      </c>
      <c r="DN51" s="440"/>
      <c r="DO51" s="244">
        <f>IF(DO49&gt;$A26,DO26,DO26/$A26*$DF$41)</f>
        <v>0</v>
      </c>
      <c r="DP51" s="247">
        <f t="shared" si="94"/>
        <v>0</v>
      </c>
      <c r="DQ51" s="247"/>
      <c r="DR51" s="244">
        <f>IF(DR49&gt;$A26,DR26,DR26/$A26*$DF$41)</f>
        <v>0</v>
      </c>
      <c r="DS51" s="247">
        <f t="shared" si="95"/>
        <v>0</v>
      </c>
      <c r="DT51" s="440"/>
      <c r="DU51" s="244">
        <f>IF(DU49&gt;$A26,DU26,DU26/$A26*$DF$41)</f>
        <v>0</v>
      </c>
      <c r="DV51" s="247">
        <f t="shared" si="96"/>
        <v>0</v>
      </c>
      <c r="DW51" s="440"/>
      <c r="DX51" s="244">
        <f>IF(DX49&gt;$A26,DX26,DX26/$A26*$DF$41)</f>
        <v>0</v>
      </c>
      <c r="DY51" s="247">
        <f t="shared" si="97"/>
        <v>0</v>
      </c>
      <c r="DZ51" s="440"/>
      <c r="EA51" s="244">
        <f>IF(EA49&gt;$A26,EA26,EA26/$A26*$DF$41)</f>
        <v>0</v>
      </c>
      <c r="EB51" s="247">
        <f t="shared" si="98"/>
        <v>0</v>
      </c>
      <c r="EC51" s="440"/>
      <c r="ED51" s="244">
        <f>IF(ED49&gt;$A26,ED26,ED26/$A26*$DF$41)</f>
        <v>0</v>
      </c>
      <c r="EE51" s="247">
        <f t="shared" si="99"/>
        <v>0</v>
      </c>
      <c r="EF51" s="440"/>
      <c r="EG51" s="277"/>
      <c r="EH51" s="247">
        <f t="shared" si="100"/>
        <v>0</v>
      </c>
      <c r="EI51" s="247"/>
      <c r="EJ51" s="277"/>
      <c r="EK51" s="247">
        <f t="shared" si="101"/>
        <v>0</v>
      </c>
      <c r="EL51" s="247"/>
      <c r="EM51" s="277"/>
      <c r="EN51" s="247">
        <f t="shared" si="102"/>
        <v>0</v>
      </c>
      <c r="EO51" s="247"/>
      <c r="EP51" s="244"/>
      <c r="EQ51" s="247">
        <f t="shared" si="103"/>
        <v>0</v>
      </c>
      <c r="ER51" s="440"/>
      <c r="ES51" s="244">
        <f>IF(ES49&gt;$A26,ES26,ES26/$A26*$DF$41)</f>
        <v>0</v>
      </c>
      <c r="ET51" s="247">
        <f t="shared" si="104"/>
        <v>0</v>
      </c>
      <c r="EU51" s="247"/>
      <c r="EV51" s="244">
        <f>IF(EV49&gt;$A26,EV26,EV26/$A26*$DF$41)</f>
        <v>0</v>
      </c>
      <c r="EW51" s="247">
        <f t="shared" si="105"/>
        <v>0</v>
      </c>
      <c r="EX51" s="440"/>
      <c r="EY51" s="244">
        <f>IF(EY49&gt;$A26,EY26,EY26/$A26*$DF$41)</f>
        <v>0</v>
      </c>
      <c r="EZ51" s="247">
        <f t="shared" si="106"/>
        <v>0</v>
      </c>
      <c r="FA51" s="247"/>
      <c r="FB51" s="244">
        <f>IF(FB49&gt;$A26,FB26,FB26/$A26*$DF$41)</f>
        <v>0</v>
      </c>
      <c r="FC51" s="247">
        <f t="shared" si="107"/>
        <v>0</v>
      </c>
      <c r="FD51" s="440"/>
      <c r="FE51" s="244">
        <f>IF(FE49&gt;$A26,FE26,FE26/$A26*$DF$41)</f>
        <v>0</v>
      </c>
      <c r="FF51" s="247">
        <f t="shared" si="108"/>
        <v>0</v>
      </c>
      <c r="FG51" s="440"/>
      <c r="FH51" s="244">
        <f>IF(FH49&gt;$A26,FH26,FH26/$A26*$DF$41)</f>
        <v>0</v>
      </c>
      <c r="FI51" s="247">
        <f t="shared" si="109"/>
        <v>0</v>
      </c>
      <c r="FJ51" s="440"/>
      <c r="FK51" s="244">
        <f>IF(FK49&gt;$A26,FK26,FK26/$A26*$DF$41)</f>
        <v>0</v>
      </c>
      <c r="FL51" s="247">
        <f t="shared" si="110"/>
        <v>0</v>
      </c>
      <c r="FM51" s="440"/>
      <c r="FN51" s="244">
        <f>IF(FN49&gt;$A26,FN26,FN26/$A26*$DF$41)</f>
        <v>0</v>
      </c>
      <c r="FO51" s="247">
        <f t="shared" si="111"/>
        <v>0</v>
      </c>
      <c r="FP51" s="440"/>
      <c r="FQ51" s="244">
        <f>IF(FQ49&gt;$A26,FQ26,FQ26/$A26*$DF$41)</f>
        <v>0</v>
      </c>
      <c r="FR51" s="247">
        <f t="shared" si="112"/>
        <v>0</v>
      </c>
      <c r="FS51" s="247"/>
      <c r="FT51" s="244">
        <f>IF(FT49&gt;$A26,FT26,FT26/$A26*$DF$41)</f>
        <v>0</v>
      </c>
      <c r="FU51" s="247">
        <f t="shared" si="113"/>
        <v>0</v>
      </c>
      <c r="FV51" s="247"/>
      <c r="FW51" s="244">
        <f>IF(FW49&gt;$A26,FW26,FW26/$A26*$DF$41)</f>
        <v>0</v>
      </c>
      <c r="FX51" s="247">
        <f t="shared" si="114"/>
        <v>0</v>
      </c>
      <c r="FY51" s="247"/>
      <c r="FZ51" s="244">
        <f>IF(FZ49&gt;$A26,FZ26,FZ26/$A26*$DF$41)</f>
        <v>0</v>
      </c>
      <c r="GA51" s="247">
        <f t="shared" si="115"/>
        <v>0</v>
      </c>
      <c r="GB51" s="247"/>
      <c r="GC51" s="244">
        <f>IF(GC49&gt;$A26,GC26,GC26/$A26*$DF$41)</f>
        <v>0</v>
      </c>
      <c r="GD51" s="247">
        <f t="shared" si="116"/>
        <v>0</v>
      </c>
      <c r="GE51" s="244">
        <v>0</v>
      </c>
      <c r="GF51" s="247">
        <f t="shared" si="117"/>
        <v>0</v>
      </c>
      <c r="GG51" s="244">
        <f>IF(GG49&gt;$A26,GG26,GG26/$A26*$DF$41)</f>
        <v>0</v>
      </c>
      <c r="GH51" s="247">
        <f t="shared" si="118"/>
        <v>0</v>
      </c>
      <c r="GI51" s="244">
        <f>IF(GI49&gt;$A26,GI26,GI26/$A26*$DF$41)</f>
        <v>0</v>
      </c>
      <c r="GJ51" s="247">
        <f t="shared" si="119"/>
        <v>0</v>
      </c>
      <c r="GK51" s="244">
        <f>IF(GK49&gt;$A26,GK26,GK26/$A26*$DF$41)</f>
        <v>0</v>
      </c>
      <c r="GL51" s="247">
        <f t="shared" si="120"/>
        <v>0</v>
      </c>
      <c r="GM51" s="244">
        <f>IF(GM49&gt;$A26,GM26,GM26/$A26*$DF$41)</f>
        <v>0</v>
      </c>
      <c r="GN51" s="247">
        <f t="shared" si="121"/>
        <v>0</v>
      </c>
      <c r="GO51" s="244">
        <f>IF(GO49&gt;$A26,GO26,GO26/$A26*$DF$41)</f>
        <v>0</v>
      </c>
      <c r="GP51" s="247">
        <f t="shared" si="122"/>
        <v>0</v>
      </c>
      <c r="GQ51" s="244">
        <f>IF(GQ49&gt;$A26,GQ26,GQ26/$A26*$DF$41)</f>
        <v>0</v>
      </c>
      <c r="GR51" s="247">
        <f t="shared" si="123"/>
        <v>0</v>
      </c>
      <c r="GS51" s="247"/>
      <c r="GT51" s="244">
        <f>IF(GT49&gt;$A26,GT26,GT26/$A26*$DF$41)</f>
        <v>0</v>
      </c>
      <c r="GU51" s="247">
        <f t="shared" si="124"/>
        <v>0</v>
      </c>
      <c r="GV51" s="247"/>
      <c r="GW51" s="1038">
        <f>IF(GW49&gt;$A26,GW26,GW26/$A26*$DF$41)</f>
        <v>0</v>
      </c>
      <c r="GX51" s="247">
        <f t="shared" si="125"/>
        <v>0</v>
      </c>
      <c r="GY51" s="247"/>
      <c r="GZ51" s="1038">
        <f>IF(GZ49&gt;$A26,GZ26,GZ26/$A26*$DF$41)</f>
        <v>0</v>
      </c>
      <c r="HA51" s="247">
        <f t="shared" si="126"/>
        <v>0</v>
      </c>
      <c r="HB51" s="247"/>
      <c r="HC51" s="1063">
        <f>IF(HC49&gt;$A26,HC26,HC26/$A26*$DF$41)</f>
        <v>0</v>
      </c>
      <c r="HD51" s="247">
        <f t="shared" si="127"/>
        <v>0</v>
      </c>
      <c r="HE51" s="247"/>
      <c r="HF51" s="244">
        <f>IF(HF49&gt;$A26,HF26,HF26/$A26*$DF$41)</f>
        <v>0</v>
      </c>
      <c r="HG51" s="247">
        <f t="shared" si="128"/>
        <v>0</v>
      </c>
      <c r="HH51" s="247"/>
      <c r="HI51" s="244">
        <f>IF(HI49&gt;$A26,HI26,HI26/$A26*$DF$41)</f>
        <v>0</v>
      </c>
      <c r="HJ51" s="247">
        <f t="shared" si="129"/>
        <v>0</v>
      </c>
      <c r="HK51" s="247"/>
      <c r="HL51" s="244">
        <f>IF(HL49&gt;$A26,HL26,HL26/$A26*$DF$41)</f>
        <v>0</v>
      </c>
      <c r="HM51" s="247">
        <f t="shared" si="130"/>
        <v>0</v>
      </c>
      <c r="HN51" s="247"/>
      <c r="HO51" s="244">
        <f>IF(HO49&gt;$A26,HO26,HO26/$A26*$DF$41)</f>
        <v>0</v>
      </c>
      <c r="HP51" s="247">
        <f t="shared" si="131"/>
        <v>0</v>
      </c>
      <c r="HQ51" s="247"/>
      <c r="HR51" s="244">
        <f>IF(HR49&gt;$A26,HR26,HR26/$A26*$DF$41)</f>
        <v>0</v>
      </c>
      <c r="HS51" s="247">
        <f t="shared" si="132"/>
        <v>0</v>
      </c>
      <c r="HT51" s="247"/>
      <c r="HU51" s="244">
        <f>IF(HU49&gt;$A26,HU26,HU26/$A26*$DF$41)</f>
        <v>0</v>
      </c>
      <c r="HV51" s="247">
        <f t="shared" si="133"/>
        <v>0</v>
      </c>
      <c r="HW51" s="247"/>
      <c r="HX51" s="247"/>
      <c r="HY51" s="247"/>
      <c r="HZ51" s="247"/>
      <c r="IA51" s="244">
        <f>IF(IA49&gt;$A26,IA26,IA26/$A26*$DF$41)</f>
        <v>0</v>
      </c>
      <c r="IB51" s="247">
        <f t="shared" si="134"/>
        <v>0</v>
      </c>
    </row>
    <row r="52" spans="1:239" ht="14.4" hidden="1" customHeight="1">
      <c r="A52" s="586">
        <v>12</v>
      </c>
      <c r="B52" s="242" t="s">
        <v>447</v>
      </c>
      <c r="D52" s="244">
        <f>D27/$A27*3</f>
        <v>1185114.5099999998</v>
      </c>
      <c r="E52" s="247">
        <f>+D52/D$61</f>
        <v>0.10088663745708372</v>
      </c>
      <c r="F52" s="244">
        <f>F27/$A27*3</f>
        <v>974676.0774999999</v>
      </c>
      <c r="G52" s="247">
        <f>+F52/F$61</f>
        <v>8.1151919388839977E-2</v>
      </c>
      <c r="H52" s="244">
        <f>H27/$A27*3</f>
        <v>1224894.0374999999</v>
      </c>
      <c r="I52" s="247">
        <f>+H52/H$61</f>
        <v>8.8311321077564092E-2</v>
      </c>
      <c r="J52" s="244">
        <f>J27/$A27*3</f>
        <v>1203466.1699999997</v>
      </c>
      <c r="K52" s="247">
        <f>+J52/J$61</f>
        <v>7.598214586693032E-2</v>
      </c>
      <c r="L52" s="244">
        <f>L27/$A27*3</f>
        <v>1465874.8374999997</v>
      </c>
      <c r="M52" s="247">
        <f>+L52/L$61</f>
        <v>8.7005167614002732E-2</v>
      </c>
      <c r="N52" s="244">
        <f>N27/$A27*3</f>
        <v>1872725.7925</v>
      </c>
      <c r="O52" s="247">
        <f>+N52/N$61</f>
        <v>9.8260694211718499E-2</v>
      </c>
      <c r="P52" s="244">
        <f>P27/$A27*3</f>
        <v>2072565.46</v>
      </c>
      <c r="Q52" s="247">
        <f>+P52/P$61</f>
        <v>9.7887239803412351E-2</v>
      </c>
      <c r="R52" s="244">
        <f>R27/$A27*3</f>
        <v>1953688.96</v>
      </c>
      <c r="S52" s="247">
        <f>+R52/R$61</f>
        <v>8.8798975175858455E-2</v>
      </c>
      <c r="T52" s="244">
        <f>T27/$A27*3</f>
        <v>2190315.6800000002</v>
      </c>
      <c r="U52" s="247">
        <f>+T52/T$61</f>
        <v>9.0220736849870212E-2</v>
      </c>
      <c r="V52" s="244">
        <f>V27/$A27*3</f>
        <v>2181429.4725000001</v>
      </c>
      <c r="W52" s="247">
        <f>+V52/V$61</f>
        <v>7.9958678261096622E-2</v>
      </c>
      <c r="X52" s="244">
        <f>X27/$A27*3</f>
        <v>1929141.0349999997</v>
      </c>
      <c r="Y52" s="247">
        <f>+X52/X$61</f>
        <v>7.2128334247985829E-2</v>
      </c>
      <c r="Z52" s="244">
        <f>Z27/$A27*3</f>
        <v>1744657.2649999999</v>
      </c>
      <c r="AA52" s="247">
        <f>+Z52/Z$61</f>
        <v>6.3892854233565499E-2</v>
      </c>
      <c r="AB52" s="244">
        <f>AB27/$A27*3</f>
        <v>2113932.3975</v>
      </c>
      <c r="AC52" s="247">
        <f>+AB52/AB$61</f>
        <v>7.0730660137369145E-2</v>
      </c>
      <c r="AD52" s="244">
        <f>AD27/$A27*3</f>
        <v>1903187.81</v>
      </c>
      <c r="AE52" s="247">
        <f>+AD52/AD$61</f>
        <v>6.1019746906577209E-2</v>
      </c>
      <c r="AF52" s="244">
        <f>AF27/$A27*3</f>
        <v>1845600.6525000001</v>
      </c>
      <c r="AG52" s="247">
        <f>+AF52/AF$61</f>
        <v>5.3419937243212798E-2</v>
      </c>
      <c r="AH52" s="244">
        <f>AH27/$A27*3</f>
        <v>2502049.9775</v>
      </c>
      <c r="AI52" s="247">
        <f>+AH52/AH$61</f>
        <v>6.7736019659543192E-2</v>
      </c>
      <c r="AJ52" s="244">
        <f>AJ27/$A27*3</f>
        <v>2983018.6025</v>
      </c>
      <c r="AK52" s="247">
        <f>+AJ52/AJ$61</f>
        <v>7.1373872134621305E-2</v>
      </c>
      <c r="AL52" s="244">
        <f>AL27/$A27*3</f>
        <v>2857165.375</v>
      </c>
      <c r="AM52" s="247">
        <f>+AL52/AL$61</f>
        <v>6.2210912014521141E-2</v>
      </c>
      <c r="AN52" s="244">
        <f>AN27/$A27*3</f>
        <v>3503123.6999999997</v>
      </c>
      <c r="AO52" s="247">
        <f>+AN52/AN$61</f>
        <v>6.3056764415557645E-2</v>
      </c>
      <c r="AP52" s="244">
        <f>AP27/$A27*3</f>
        <v>3938796.8475000001</v>
      </c>
      <c r="AQ52" s="247">
        <f>+AP52/AP$61</f>
        <v>6.7837524394723583E-2</v>
      </c>
      <c r="AR52" s="244">
        <f>AR27/$A27*3</f>
        <v>3529538.0949999997</v>
      </c>
      <c r="AS52" s="247">
        <f>+AR52/AR$61</f>
        <v>5.7912692576560523E-2</v>
      </c>
      <c r="AT52" s="244">
        <f>AT27/$A27*3</f>
        <v>3739876.7949999999</v>
      </c>
      <c r="AU52" s="247">
        <f>+AT52/AT$61</f>
        <v>5.408628261693537E-2</v>
      </c>
      <c r="AV52" s="244">
        <f>AV27/$A27*3</f>
        <v>3997976.1750000003</v>
      </c>
      <c r="AW52" s="247">
        <f>+AV52/AV$61</f>
        <v>6.0427960561536688E-2</v>
      </c>
      <c r="AX52" s="244">
        <f>AX27/$A27*3</f>
        <v>3748094.0775000006</v>
      </c>
      <c r="AY52" s="247">
        <f>+AX52/AX$61</f>
        <v>6.2034749422143105E-2</v>
      </c>
      <c r="AZ52" s="244">
        <f>AZ27/$A27*3</f>
        <v>3515699.54</v>
      </c>
      <c r="BA52" s="247">
        <f>+AZ52/AZ$61</f>
        <v>5.894846324156465E-2</v>
      </c>
      <c r="BB52" s="244">
        <f>BB27/$A27*3</f>
        <v>3345640.5675000008</v>
      </c>
      <c r="BC52" s="247">
        <f>+BB52/BB$61</f>
        <v>5.5767587249501531E-2</v>
      </c>
      <c r="BD52" s="244">
        <f>BD27/$A27*3</f>
        <v>3439079.0549999997</v>
      </c>
      <c r="BE52" s="247">
        <f>+BD52/BD$61</f>
        <v>6.020844613304821E-2</v>
      </c>
      <c r="BF52" s="244">
        <f>BF27/$A27*3</f>
        <v>3130872.9549999996</v>
      </c>
      <c r="BG52" s="247">
        <f>+BF52/BF$61</f>
        <v>5.3763630155649611E-2</v>
      </c>
      <c r="BH52" s="244">
        <f>BH27/$A27*3</f>
        <v>2800612.5575000006</v>
      </c>
      <c r="BI52" s="247">
        <f>+BH52/BH$61</f>
        <v>4.6930068416071349E-2</v>
      </c>
      <c r="BJ52" s="244">
        <f>BJ27/$A27*3</f>
        <v>2102919.6099999994</v>
      </c>
      <c r="BK52" s="247">
        <f>+BJ52/BJ$61</f>
        <v>3.2491689358295654E-2</v>
      </c>
      <c r="BL52" s="244">
        <f>BL27/$A27*3</f>
        <v>2048473.4050000003</v>
      </c>
      <c r="BM52" s="247">
        <f>+BL52/BL$61</f>
        <v>2.7713834154593827E-2</v>
      </c>
      <c r="BN52" s="244">
        <f>BN27/$A27*3</f>
        <v>1777469.0950000002</v>
      </c>
      <c r="BO52" s="247">
        <f>+BN52/BN$61</f>
        <v>2.4908042043247317E-2</v>
      </c>
      <c r="BP52" s="244">
        <f>BP27/$A27*3</f>
        <v>1780997.2574999998</v>
      </c>
      <c r="BQ52" s="247">
        <f>+BP52/BP$61</f>
        <v>2.3873958973787152E-2</v>
      </c>
      <c r="BR52" s="244">
        <f>BR27/$A27*3</f>
        <v>2996547.0125000002</v>
      </c>
      <c r="BS52" s="247">
        <f>+BR52/BR$61</f>
        <v>3.7432237641343298E-2</v>
      </c>
      <c r="BT52" s="244" t="e">
        <f>#REF!/$A27*3</f>
        <v>#REF!</v>
      </c>
      <c r="BU52" s="247" t="e">
        <f>+BT52/BT$61</f>
        <v>#REF!</v>
      </c>
      <c r="BV52" s="244" t="e">
        <f>#REF!/$A27*3</f>
        <v>#REF!</v>
      </c>
      <c r="BW52" s="247" t="e">
        <f>+BV52/BV$61</f>
        <v>#REF!</v>
      </c>
      <c r="BX52" s="244" t="e">
        <f>#REF!/$A27*3</f>
        <v>#REF!</v>
      </c>
      <c r="BY52" s="247" t="e">
        <f>+BX52/BX$61</f>
        <v>#REF!</v>
      </c>
      <c r="BZ52" s="244" t="e">
        <f>#REF!/$A27*3</f>
        <v>#REF!</v>
      </c>
      <c r="CA52" s="247" t="e">
        <f>+BZ52/BZ$61</f>
        <v>#REF!</v>
      </c>
      <c r="CB52" s="244" t="e">
        <f>#REF!/$A27*3</f>
        <v>#REF!</v>
      </c>
      <c r="CC52" s="247" t="e">
        <f t="shared" si="77"/>
        <v>#REF!</v>
      </c>
      <c r="CD52" s="244">
        <f t="shared" si="78"/>
        <v>5523312.2324999999</v>
      </c>
      <c r="CE52" s="247">
        <f t="shared" si="79"/>
        <v>4.9685901368056652E-2</v>
      </c>
      <c r="CF52" s="244">
        <f t="shared" si="80"/>
        <v>5891645.0975000001</v>
      </c>
      <c r="CG52" s="247">
        <f t="shared" si="81"/>
        <v>4.9567255225209682E-2</v>
      </c>
      <c r="CH52" s="244">
        <f t="shared" si="82"/>
        <v>6833216.7649999987</v>
      </c>
      <c r="CI52" s="247">
        <f t="shared" si="83"/>
        <v>5.3558925848253787E-2</v>
      </c>
      <c r="CJ52" s="247"/>
      <c r="CK52" s="244">
        <f>IF(CK41&gt;$A27,CK27,CK27/$A27*$CK$41)</f>
        <v>7723827.2100000009</v>
      </c>
      <c r="CL52" s="247">
        <f t="shared" si="84"/>
        <v>5.5892779491784596E-2</v>
      </c>
      <c r="CM52" s="326"/>
      <c r="CN52" s="244">
        <f>IF(CN41&gt;$A27,CN27,CN27/$A27*$CN$41)</f>
        <v>28521822.75</v>
      </c>
      <c r="CO52" s="247">
        <f t="shared" si="85"/>
        <v>8.0746978108868148E-2</v>
      </c>
      <c r="CP52" s="326"/>
      <c r="CQ52" s="244">
        <f>IF(CQ41&gt;$A27,CQ27,CQ27/$A27*$CQ$41)</f>
        <v>23490817.252500001</v>
      </c>
      <c r="CR52" s="247">
        <f t="shared" si="86"/>
        <v>6.0684176764973057E-2</v>
      </c>
      <c r="CS52" s="326"/>
      <c r="CT52" s="244">
        <f>IF(CT41&gt;$A27,CT27,CT27/$A27*$CT$41)</f>
        <v>38029471.689999998</v>
      </c>
      <c r="CU52" s="247">
        <f t="shared" si="87"/>
        <v>8.5830075189438373E-2</v>
      </c>
      <c r="CV52" s="198"/>
      <c r="CW52" s="244">
        <f>IF(CW41&gt;$A27,CW27,CW27/$A27*$CW$41)</f>
        <v>39479964.82</v>
      </c>
      <c r="CX52" s="247">
        <f t="shared" si="88"/>
        <v>8.5800716878311534E-2</v>
      </c>
      <c r="CY52" s="247"/>
      <c r="CZ52" s="244">
        <f>IF(CZ41&gt;$A27,CZ27,CZ27/$A27*$CZ$41)</f>
        <v>42031034.890000008</v>
      </c>
      <c r="DA52" s="247">
        <f t="shared" si="89"/>
        <v>8.864316724458067E-2</v>
      </c>
      <c r="DB52" s="247"/>
      <c r="DC52" s="244">
        <f>IF(DC41&gt;$A27,DC27,DC27/$A27*$DC$41)</f>
        <v>41718941.079999998</v>
      </c>
      <c r="DD52" s="247">
        <f t="shared" si="90"/>
        <v>8.322310640844939E-2</v>
      </c>
      <c r="DE52" s="247"/>
      <c r="DF52" s="244">
        <f>IF(DF50&gt;$A27,DF27,DF27/$A27*$DF$41)</f>
        <v>44802408</v>
      </c>
      <c r="DG52" s="247">
        <f t="shared" si="91"/>
        <v>8.3855286185114522E-2</v>
      </c>
      <c r="DH52" s="440"/>
      <c r="DI52" s="244">
        <f>IF(DI50&gt;$A27,DI27,DI27/$A27*$DI$41)</f>
        <v>45872249.039999999</v>
      </c>
      <c r="DJ52" s="247">
        <f t="shared" si="92"/>
        <v>8.2744404913723771E-2</v>
      </c>
      <c r="DK52" s="247"/>
      <c r="DL52" s="244">
        <f>IF(DL50&gt;$A27,DL27,DL27/$A27*$DL$41)</f>
        <v>44509525.030000001</v>
      </c>
      <c r="DM52" s="247">
        <f t="shared" si="93"/>
        <v>7.7128829657803322E-2</v>
      </c>
      <c r="DN52" s="440"/>
      <c r="DO52" s="244">
        <f>IF(DO41&gt;$A27,DO27,DO27/$A27*$DO$41)</f>
        <v>52192444.95999983</v>
      </c>
      <c r="DP52" s="247">
        <f t="shared" si="94"/>
        <v>8.5329625314370453E-2</v>
      </c>
      <c r="DQ52" s="247"/>
      <c r="DR52" s="244">
        <f>IF(DR41&gt;$A27,DR27,DR27/$A27*$DR$41)</f>
        <v>50336728.310000025</v>
      </c>
      <c r="DS52" s="247">
        <f t="shared" si="95"/>
        <v>8.0861172920722715E-2</v>
      </c>
      <c r="DT52" s="440"/>
      <c r="DU52" s="244">
        <f>IF(DU41&gt;$A27,DU27,DU27/$A27*$DU$41)</f>
        <v>48589331.340000004</v>
      </c>
      <c r="DV52" s="247">
        <f t="shared" si="96"/>
        <v>7.0665286045939926E-2</v>
      </c>
      <c r="DW52" s="440"/>
      <c r="DX52" s="244">
        <f>IF(DX41&gt;$A27,DX27,DX27/$A27*$DX$41)</f>
        <v>41126912.220000006</v>
      </c>
      <c r="DY52" s="247">
        <f t="shared" si="97"/>
        <v>6.1282756730372978E-2</v>
      </c>
      <c r="DZ52" s="440"/>
      <c r="EA52" s="244">
        <f>IF(EA41&gt;$A27,EA27,EA27/$A27*$EA$41)</f>
        <v>39664817.250000007</v>
      </c>
      <c r="EB52" s="247">
        <f t="shared" si="98"/>
        <v>5.6732815890711316E-2</v>
      </c>
      <c r="EC52" s="440"/>
      <c r="ED52" s="244">
        <f>IF(ED41&gt;$A27,ED27,ED27/$A27*$ED41)</f>
        <v>41940540.980000019</v>
      </c>
      <c r="EE52" s="247">
        <f t="shared" si="99"/>
        <v>5.6675293826088533E-2</v>
      </c>
      <c r="EF52" s="440"/>
      <c r="EG52" s="244">
        <f>IF(EG41&gt;$A27,EG27,EG27/$A27*EG41)</f>
        <v>54478140.559999987</v>
      </c>
      <c r="EH52" s="247">
        <f t="shared" si="100"/>
        <v>6.8144611808230601E-2</v>
      </c>
      <c r="EI52" s="247"/>
      <c r="EJ52" s="244">
        <f>IF(EJ41&gt;$A27,EJ27,EJ27/$A27*EJ41)</f>
        <v>51290807.210000008</v>
      </c>
      <c r="EK52" s="247">
        <f t="shared" si="101"/>
        <v>6.1088133333498489E-2</v>
      </c>
      <c r="EL52" s="247"/>
      <c r="EM52" s="244">
        <f>IF(EM$41&gt;$A27,EM27,EM27/$A27*EM$41)</f>
        <v>59535019.669999994</v>
      </c>
      <c r="EN52" s="247">
        <f t="shared" si="102"/>
        <v>6.6837258389719462E-2</v>
      </c>
      <c r="EO52" s="247"/>
      <c r="EP52" s="244">
        <f>IF(EP41&gt;$A27,EP27,EP27/$A27*$EP$41)</f>
        <v>58179045.539999999</v>
      </c>
      <c r="EQ52" s="247">
        <f t="shared" si="103"/>
        <v>6.1471541370476793E-2</v>
      </c>
      <c r="ER52" s="440"/>
      <c r="ES52" s="244">
        <f>IF(ES50&gt;$A27,ES27,ES27/$A27*$DI$41)</f>
        <v>67056036.25</v>
      </c>
      <c r="ET52" s="247">
        <f t="shared" si="104"/>
        <v>6.7376613077457612E-2</v>
      </c>
      <c r="EU52" s="247"/>
      <c r="EV52" s="244">
        <f>IF(EV41&gt;$A27,EV27,EV27/$A27*$EV$41)</f>
        <v>86852319.420000046</v>
      </c>
      <c r="EW52" s="247">
        <f t="shared" si="105"/>
        <v>8.0412266596542062E-2</v>
      </c>
      <c r="EX52" s="440"/>
      <c r="EY52" s="244">
        <f>IF(EY41&gt;$A27,EY27,EY27/$A27*$EY$41)</f>
        <v>67376125.035000041</v>
      </c>
      <c r="EZ52" s="247">
        <f t="shared" si="106"/>
        <v>6.5089494754570487E-2</v>
      </c>
      <c r="FA52" s="247"/>
      <c r="FB52" s="244">
        <f>IF(FB41&gt;$A27,FB27,FB27/$A27*$DR$41)</f>
        <v>90163429.599999994</v>
      </c>
      <c r="FC52" s="247">
        <f t="shared" si="107"/>
        <v>7.4939458701987732E-2</v>
      </c>
      <c r="FD52" s="440"/>
      <c r="FE52" s="244">
        <f>IF(FE41&gt;$A27,FE27,FE27/$A27*$FE$41)</f>
        <v>79914609.547499985</v>
      </c>
      <c r="FF52" s="247">
        <f t="shared" si="108"/>
        <v>6.6938522925730423E-2</v>
      </c>
      <c r="FG52" s="440"/>
      <c r="FH52" s="244">
        <f>IF(FH41&gt;$A27,FH27,FH27/$A27*$FH$41)</f>
        <v>9792128.3566666655</v>
      </c>
      <c r="FI52" s="247">
        <f t="shared" si="109"/>
        <v>6.9100848368719436E-2</v>
      </c>
      <c r="FJ52" s="440"/>
      <c r="FK52" s="244">
        <f>IF(FK41&gt;$A27,FK27,FK27/$A27*$FK$41)</f>
        <v>28615465.82</v>
      </c>
      <c r="FL52" s="247">
        <f t="shared" si="110"/>
        <v>6.3211996862332392E-2</v>
      </c>
      <c r="FM52" s="440"/>
      <c r="FN52" s="244">
        <f>IF(FN41&gt;$A27,FN27,FN27/$A27*$FN$41)</f>
        <v>113027317.32000002</v>
      </c>
      <c r="FO52" s="247">
        <f t="shared" si="111"/>
        <v>7.0787683401284288E-2</v>
      </c>
      <c r="FP52" s="440"/>
      <c r="FQ52" s="244">
        <f>IF(FQ41&gt;$A27,FQ27,FQ27/$A27*$FQ$41)</f>
        <v>78103471.777499959</v>
      </c>
      <c r="FR52" s="247">
        <f t="shared" si="112"/>
        <v>5.3438331978127952E-2</v>
      </c>
      <c r="FS52" s="247"/>
      <c r="FT52" s="244">
        <f>IF(FT41&gt;$A27,FT27,FT27/$A27*$FT$41)</f>
        <v>70687897.799999982</v>
      </c>
      <c r="FU52" s="247">
        <f t="shared" si="113"/>
        <v>4.7241622747697581E-2</v>
      </c>
      <c r="FV52" s="247"/>
      <c r="FW52" s="244">
        <f>IF(FW41&gt;$A27,FW27,FW27/$A27*$FW$41)</f>
        <v>67370201.482500046</v>
      </c>
      <c r="FX52" s="247">
        <f t="shared" si="114"/>
        <v>4.4093597270208486E-2</v>
      </c>
      <c r="FY52" s="247"/>
      <c r="FZ52" s="244">
        <f>IF(FZ41&gt;$A27,FZ27,FZ27/$A27*$FZ$41)</f>
        <v>86464778.840000153</v>
      </c>
      <c r="GA52" s="247">
        <f t="shared" si="115"/>
        <v>4.7645725415240758E-2</v>
      </c>
      <c r="GB52" s="247"/>
      <c r="GC52" s="244">
        <f>IF(GC41&gt;$A27,GC27,GC27/$A27*$GC$42)</f>
        <v>0</v>
      </c>
      <c r="GD52" s="247">
        <f t="shared" si="116"/>
        <v>0</v>
      </c>
      <c r="GE52" s="244">
        <v>0</v>
      </c>
      <c r="GF52" s="247">
        <f t="shared" si="117"/>
        <v>0</v>
      </c>
      <c r="GG52" s="244">
        <f>IF(GG41&gt;$A27,GG27,GG27/$A27*$GC$42)</f>
        <v>0</v>
      </c>
      <c r="GH52" s="247">
        <f t="shared" si="118"/>
        <v>0</v>
      </c>
      <c r="GI52" s="244">
        <f>IF(GI41&gt;$A27,GI27,GI27/$A27*$GC$42)</f>
        <v>0</v>
      </c>
      <c r="GJ52" s="247">
        <f t="shared" si="119"/>
        <v>0</v>
      </c>
      <c r="GK52" s="244">
        <f>IF(GK41&gt;$A27,GK27,GK27/$A27*$GC$42)</f>
        <v>0</v>
      </c>
      <c r="GL52" s="247">
        <f t="shared" si="120"/>
        <v>0</v>
      </c>
      <c r="GM52" s="244">
        <f>IF(GM41&gt;$A27,GM27,GM27/$A27*$GC$42)</f>
        <v>50757269.20000001</v>
      </c>
      <c r="GN52" s="247">
        <f t="shared" si="121"/>
        <v>2.5540376658995532E-2</v>
      </c>
      <c r="GO52" s="244">
        <f>IF(GO41&gt;$A27,GO27,GO27/$A27*$GC$42)</f>
        <v>48199600.180000015</v>
      </c>
      <c r="GP52" s="247">
        <f t="shared" si="122"/>
        <v>2.4236858176022016E-2</v>
      </c>
      <c r="GQ52" s="244">
        <f>IF(GQ41&gt;$A27,GQ27,GQ27/$A27*$GQ$41)</f>
        <v>36635172.26250001</v>
      </c>
      <c r="GR52" s="247">
        <f t="shared" si="123"/>
        <v>2.1993926273408224E-2</v>
      </c>
      <c r="GS52" s="247"/>
      <c r="GT52" s="244">
        <f>IF(GT41&gt;$A27,GT27,GT27/$A27*$GT$41)</f>
        <v>3812776.915833334</v>
      </c>
      <c r="GU52" s="247">
        <f t="shared" si="124"/>
        <v>1.5978177004387566E-2</v>
      </c>
      <c r="GV52" s="247"/>
      <c r="GW52" s="1038">
        <f>IF(GW41&gt;$A27,GW27,GW27/$A27*$GW$41)</f>
        <v>32008995.3675</v>
      </c>
      <c r="GX52" s="247">
        <f t="shared" si="125"/>
        <v>2.0897294801218113E-2</v>
      </c>
      <c r="GY52" s="247"/>
      <c r="GZ52" s="1038">
        <f>IF(GZ41&gt;$A27,GZ27,GZ27/$A27*$GZ$41)</f>
        <v>3819334.3091666666</v>
      </c>
      <c r="HA52" s="247">
        <f t="shared" si="126"/>
        <v>1.734924335684895E-2</v>
      </c>
      <c r="HB52" s="247"/>
      <c r="HC52" s="1063">
        <f>IF(HC41&gt;$A27,HC27,HC27/$A27*$HC$41)</f>
        <v>33897719.707499996</v>
      </c>
      <c r="HD52" s="247">
        <f t="shared" si="127"/>
        <v>2.1001041848942355E-2</v>
      </c>
      <c r="HE52" s="247"/>
      <c r="HF52" s="244">
        <f>IF(HF41&gt;$A27,HF27,HF27/$A27*$HF$41)</f>
        <v>37024155.067500003</v>
      </c>
      <c r="HG52" s="247">
        <f t="shared" si="128"/>
        <v>2.2896650774068026E-2</v>
      </c>
      <c r="HH52" s="247"/>
      <c r="HI52" s="244">
        <f>IF(HI41&gt;$A27,HI27,HI27/$A27*$HF$41)</f>
        <v>44237614.518547595</v>
      </c>
      <c r="HJ52" s="247">
        <f t="shared" si="129"/>
        <v>2.8121893560018821E-2</v>
      </c>
      <c r="HK52" s="247"/>
      <c r="HL52" s="244">
        <f>IF(HL41&gt;$A27,HL27,HL27/$A27*$HL$41)</f>
        <v>43906158.004070938</v>
      </c>
      <c r="HM52" s="247">
        <f t="shared" si="130"/>
        <v>2.7874941286792403E-2</v>
      </c>
      <c r="HN52" s="247"/>
      <c r="HO52" s="244">
        <f>IF(HO41&gt;$A27,HO27,HO27/$A27*$HO$41)</f>
        <v>31422456.345000003</v>
      </c>
      <c r="HP52" s="247">
        <f t="shared" si="131"/>
        <v>2.0384948154468813E-2</v>
      </c>
      <c r="HQ52" s="247"/>
      <c r="HR52" s="244">
        <f>IF(HR41&gt;$A27,HR27,HR27/$A27*$HO$41)</f>
        <v>31422456.345000003</v>
      </c>
      <c r="HS52" s="247">
        <f t="shared" si="132"/>
        <v>2.040563509986398E-2</v>
      </c>
      <c r="HT52" s="247"/>
      <c r="HU52" s="244">
        <f>IF(HU41&gt;$A27,HU27,HU27/$A27*$HO$41)</f>
        <v>31422456.345000003</v>
      </c>
      <c r="HV52" s="247">
        <f t="shared" si="133"/>
        <v>2.0664548245311845E-2</v>
      </c>
      <c r="HW52" s="247"/>
      <c r="HX52" s="247"/>
      <c r="HY52" s="247"/>
      <c r="HZ52" s="247"/>
      <c r="IA52" s="244">
        <f>IF(IA41&gt;$A27,IA27,IA27/$A27*$ED41)</f>
        <v>41940540.980000019</v>
      </c>
      <c r="IB52" s="247">
        <f t="shared" si="134"/>
        <v>5.6675293826088533E-2</v>
      </c>
    </row>
    <row r="53" spans="1:239" ht="14.4" hidden="1" customHeight="1">
      <c r="A53" s="586"/>
      <c r="B53" s="242"/>
      <c r="D53" s="250"/>
      <c r="E53" s="326"/>
      <c r="F53" s="250"/>
      <c r="G53" s="326"/>
      <c r="H53" s="250"/>
      <c r="I53" s="326"/>
      <c r="J53" s="250"/>
      <c r="K53" s="326"/>
      <c r="L53" s="250"/>
      <c r="M53" s="326"/>
      <c r="N53" s="250"/>
      <c r="O53" s="326"/>
      <c r="P53" s="250"/>
      <c r="Q53" s="326"/>
      <c r="R53" s="250"/>
      <c r="S53" s="326"/>
      <c r="T53" s="250"/>
      <c r="U53" s="326"/>
      <c r="V53" s="250"/>
      <c r="W53" s="326"/>
      <c r="X53" s="250"/>
      <c r="Y53" s="326"/>
      <c r="Z53" s="250"/>
      <c r="AA53" s="326"/>
      <c r="AB53" s="250"/>
      <c r="AC53" s="326"/>
      <c r="AD53" s="250"/>
      <c r="AE53" s="326"/>
      <c r="AF53" s="250"/>
      <c r="AG53" s="326"/>
      <c r="AH53" s="250"/>
      <c r="AI53" s="326"/>
      <c r="AJ53" s="250"/>
      <c r="AK53" s="326"/>
      <c r="AL53" s="250"/>
      <c r="AM53" s="326"/>
      <c r="AN53" s="250"/>
      <c r="AO53" s="326"/>
      <c r="AP53" s="250"/>
      <c r="AQ53" s="326"/>
      <c r="AR53" s="250"/>
      <c r="AS53" s="326"/>
      <c r="AT53" s="250"/>
      <c r="AU53" s="326"/>
      <c r="AV53" s="250"/>
      <c r="AW53" s="326"/>
      <c r="AX53" s="250"/>
      <c r="AY53" s="326"/>
      <c r="AZ53" s="250"/>
      <c r="BA53" s="326"/>
      <c r="BB53" s="250"/>
      <c r="BC53" s="326"/>
      <c r="BD53" s="250"/>
      <c r="BE53" s="326"/>
      <c r="BF53" s="250"/>
      <c r="BG53" s="326"/>
      <c r="BH53" s="250"/>
      <c r="BI53" s="326"/>
      <c r="BJ53" s="250"/>
      <c r="BK53" s="326"/>
      <c r="BL53" s="250"/>
      <c r="BM53" s="326"/>
      <c r="BN53" s="250"/>
      <c r="BO53" s="326"/>
      <c r="BP53" s="250"/>
      <c r="BQ53" s="326"/>
      <c r="BR53" s="250"/>
      <c r="BS53" s="326"/>
      <c r="BT53" s="250"/>
      <c r="BU53" s="326"/>
      <c r="BV53" s="250"/>
      <c r="BW53" s="326"/>
      <c r="BX53" s="250"/>
      <c r="BY53" s="326"/>
      <c r="BZ53" s="250"/>
      <c r="CA53" s="326"/>
      <c r="CB53" s="250"/>
      <c r="CC53" s="326"/>
      <c r="CD53" s="250"/>
      <c r="CE53" s="326"/>
      <c r="CF53" s="250"/>
      <c r="CG53" s="326"/>
      <c r="CH53" s="250"/>
      <c r="CI53" s="326"/>
      <c r="CJ53" s="326"/>
      <c r="CK53" s="250"/>
      <c r="CL53" s="326"/>
      <c r="CM53" s="326"/>
      <c r="CN53" s="250"/>
      <c r="CO53" s="326"/>
      <c r="CP53" s="326"/>
      <c r="CQ53" s="250"/>
      <c r="CR53" s="326"/>
      <c r="CS53" s="326"/>
      <c r="CT53" s="250"/>
      <c r="CU53" s="326"/>
      <c r="CV53" s="198"/>
      <c r="CW53" s="250"/>
      <c r="CX53" s="326"/>
      <c r="CY53" s="326"/>
      <c r="CZ53" s="250"/>
      <c r="DA53" s="326"/>
      <c r="DB53" s="326"/>
      <c r="DC53" s="250"/>
      <c r="DD53" s="326"/>
      <c r="DE53" s="326"/>
      <c r="DF53" s="244"/>
      <c r="DG53" s="326"/>
      <c r="DH53" s="326"/>
      <c r="DI53" s="244"/>
      <c r="DJ53" s="326"/>
      <c r="DK53" s="326"/>
      <c r="DL53" s="244"/>
      <c r="DM53" s="326"/>
      <c r="DN53" s="326"/>
      <c r="DO53" s="244"/>
      <c r="DP53" s="326"/>
      <c r="DQ53" s="326"/>
      <c r="DR53" s="244"/>
      <c r="DS53" s="326"/>
      <c r="DT53" s="326"/>
      <c r="DU53" s="244"/>
      <c r="DV53" s="326"/>
      <c r="DW53" s="326"/>
      <c r="DX53" s="244"/>
      <c r="DY53" s="326"/>
      <c r="DZ53" s="326"/>
      <c r="EA53" s="244"/>
      <c r="EB53" s="326"/>
      <c r="EC53" s="326"/>
      <c r="ED53" s="244"/>
      <c r="EE53" s="326"/>
      <c r="EF53" s="326"/>
      <c r="EG53" s="250"/>
      <c r="EH53" s="326"/>
      <c r="EI53" s="326"/>
      <c r="EJ53" s="250"/>
      <c r="EK53" s="326"/>
      <c r="EL53" s="326"/>
      <c r="EM53" s="250"/>
      <c r="EN53" s="326"/>
      <c r="EO53" s="326"/>
      <c r="EP53" s="244"/>
      <c r="EQ53" s="326"/>
      <c r="ER53" s="326"/>
      <c r="ES53" s="244"/>
      <c r="ET53" s="326"/>
      <c r="EU53" s="326"/>
      <c r="EV53" s="244"/>
      <c r="EW53" s="326"/>
      <c r="EX53" s="326"/>
      <c r="EY53" s="244"/>
      <c r="EZ53" s="326"/>
      <c r="FA53" s="326"/>
      <c r="FB53" s="244"/>
      <c r="FC53" s="326"/>
      <c r="FD53" s="326"/>
      <c r="FE53" s="244"/>
      <c r="FF53" s="326"/>
      <c r="FG53" s="326"/>
      <c r="FH53" s="244"/>
      <c r="FI53" s="326"/>
      <c r="FJ53" s="326"/>
      <c r="FK53" s="244"/>
      <c r="FL53" s="326"/>
      <c r="FM53" s="326"/>
      <c r="FN53" s="244"/>
      <c r="FO53" s="326"/>
      <c r="FP53" s="326"/>
      <c r="FQ53" s="244"/>
      <c r="FR53" s="326"/>
      <c r="FS53" s="326"/>
      <c r="FT53" s="244"/>
      <c r="FU53" s="326"/>
      <c r="FV53" s="326"/>
      <c r="FW53" s="244"/>
      <c r="FX53" s="326"/>
      <c r="FY53" s="326"/>
      <c r="FZ53" s="244"/>
      <c r="GA53" s="326"/>
      <c r="GB53" s="326"/>
      <c r="GC53" s="244"/>
      <c r="GD53" s="326"/>
      <c r="GE53" s="244"/>
      <c r="GF53" s="326"/>
      <c r="GG53" s="244"/>
      <c r="GH53" s="326"/>
      <c r="GI53" s="244"/>
      <c r="GJ53" s="326"/>
      <c r="GK53" s="244"/>
      <c r="GL53" s="326"/>
      <c r="GM53" s="244"/>
      <c r="GN53" s="326"/>
      <c r="GO53" s="244"/>
      <c r="GP53" s="326"/>
      <c r="GQ53" s="244"/>
      <c r="GR53" s="326"/>
      <c r="GS53" s="326"/>
      <c r="GT53" s="244"/>
      <c r="GU53" s="326"/>
      <c r="GV53" s="326"/>
      <c r="GW53" s="1038"/>
      <c r="GX53" s="326"/>
      <c r="GY53" s="326"/>
      <c r="GZ53" s="1038"/>
      <c r="HA53" s="326"/>
      <c r="HB53" s="326"/>
      <c r="HC53" s="1063"/>
      <c r="HD53" s="326"/>
      <c r="HE53" s="326"/>
      <c r="HF53" s="244"/>
      <c r="HG53" s="326"/>
      <c r="HH53" s="326"/>
      <c r="HI53" s="244"/>
      <c r="HJ53" s="326"/>
      <c r="HK53" s="326"/>
      <c r="HL53" s="244"/>
      <c r="HM53" s="326"/>
      <c r="HN53" s="326"/>
      <c r="HO53" s="244"/>
      <c r="HP53" s="326"/>
      <c r="HQ53" s="326"/>
      <c r="HR53" s="244"/>
      <c r="HS53" s="326"/>
      <c r="HT53" s="326"/>
      <c r="HU53" s="244"/>
      <c r="HV53" s="326"/>
      <c r="HW53" s="326"/>
      <c r="HX53" s="326"/>
      <c r="HY53" s="326"/>
      <c r="HZ53" s="326"/>
      <c r="IA53" s="244"/>
      <c r="IB53" s="326"/>
    </row>
    <row r="54" spans="1:239" ht="14.4" hidden="1" customHeight="1">
      <c r="A54" s="586"/>
      <c r="B54" s="242" t="s">
        <v>457</v>
      </c>
      <c r="D54" s="250"/>
      <c r="E54" s="326"/>
      <c r="F54" s="250"/>
      <c r="G54" s="326"/>
      <c r="H54" s="250"/>
      <c r="I54" s="326"/>
      <c r="J54" s="250"/>
      <c r="K54" s="326"/>
      <c r="L54" s="250"/>
      <c r="M54" s="326"/>
      <c r="N54" s="250"/>
      <c r="O54" s="326"/>
      <c r="P54" s="250"/>
      <c r="Q54" s="326"/>
      <c r="R54" s="250"/>
      <c r="S54" s="326"/>
      <c r="T54" s="250"/>
      <c r="U54" s="326"/>
      <c r="V54" s="250"/>
      <c r="W54" s="326"/>
      <c r="X54" s="250"/>
      <c r="Y54" s="326"/>
      <c r="Z54" s="250"/>
      <c r="AA54" s="326"/>
      <c r="AB54" s="250"/>
      <c r="AC54" s="326"/>
      <c r="AD54" s="250"/>
      <c r="AE54" s="326"/>
      <c r="AF54" s="250"/>
      <c r="AG54" s="326"/>
      <c r="AH54" s="250"/>
      <c r="AI54" s="326"/>
      <c r="AJ54" s="250"/>
      <c r="AK54" s="326"/>
      <c r="AL54" s="250"/>
      <c r="AM54" s="326"/>
      <c r="AN54" s="250"/>
      <c r="AO54" s="326"/>
      <c r="AP54" s="250"/>
      <c r="AQ54" s="326"/>
      <c r="AR54" s="250"/>
      <c r="AS54" s="326"/>
      <c r="AT54" s="250"/>
      <c r="AU54" s="326"/>
      <c r="AV54" s="250"/>
      <c r="AW54" s="326"/>
      <c r="AX54" s="250"/>
      <c r="AY54" s="326"/>
      <c r="AZ54" s="250"/>
      <c r="BA54" s="326"/>
      <c r="BB54" s="250"/>
      <c r="BC54" s="326"/>
      <c r="BD54" s="250"/>
      <c r="BE54" s="326"/>
      <c r="BF54" s="250"/>
      <c r="BG54" s="326"/>
      <c r="BH54" s="250"/>
      <c r="BI54" s="326"/>
      <c r="BJ54" s="250"/>
      <c r="BK54" s="326"/>
      <c r="BL54" s="250"/>
      <c r="BM54" s="326"/>
      <c r="BN54" s="250"/>
      <c r="BO54" s="326"/>
      <c r="BP54" s="250"/>
      <c r="BQ54" s="326"/>
      <c r="BR54" s="250"/>
      <c r="BS54" s="326"/>
      <c r="BT54" s="250"/>
      <c r="BU54" s="326"/>
      <c r="BV54" s="250"/>
      <c r="BW54" s="326"/>
      <c r="BX54" s="250"/>
      <c r="BY54" s="326"/>
      <c r="BZ54" s="250"/>
      <c r="CA54" s="326"/>
      <c r="CB54" s="250"/>
      <c r="CC54" s="326"/>
      <c r="CD54" s="250"/>
      <c r="CE54" s="326"/>
      <c r="CF54" s="250"/>
      <c r="CG54" s="326"/>
      <c r="CH54" s="250"/>
      <c r="CI54" s="326"/>
      <c r="CJ54" s="326"/>
      <c r="CK54" s="250"/>
      <c r="CL54" s="326"/>
      <c r="CM54" s="326"/>
      <c r="CN54" s="250"/>
      <c r="CO54" s="326"/>
      <c r="CP54" s="326"/>
      <c r="CQ54" s="244">
        <f>IF(CQ41&gt;$A29,CQ29,CQ29/$A29*$CQ$41)</f>
        <v>55097150.8800001</v>
      </c>
      <c r="CR54" s="326"/>
      <c r="CS54" s="326"/>
      <c r="CT54" s="244">
        <f>IF(CT41&gt;$A29,CT29,CT29/$A29*$CT$41)</f>
        <v>66981202.35999997</v>
      </c>
      <c r="CU54" s="326"/>
      <c r="CV54" s="198"/>
      <c r="CW54" s="244">
        <f>IF(CW41&gt;$A29,CW29,CW29/$A29*$CW$41)</f>
        <v>80606457.989999905</v>
      </c>
      <c r="CX54" s="326"/>
      <c r="CY54" s="326"/>
      <c r="CZ54" s="244">
        <f>IF(CZ41&gt;$A29,CZ29,CZ29/$A29*$CZ$41)</f>
        <v>86336628.319999978</v>
      </c>
      <c r="DA54" s="326"/>
      <c r="DB54" s="326"/>
      <c r="DC54" s="244">
        <f>IF(DC41&gt;$A29,DC29,DC29/$A29*$DC$41)</f>
        <v>99290322.939999998</v>
      </c>
      <c r="DD54" s="326"/>
      <c r="DE54" s="326"/>
      <c r="DF54" s="244">
        <f>IF(DF52&gt;$A29,DF29,DF29/$A29*$DF$41)</f>
        <v>116524425</v>
      </c>
      <c r="DG54" s="326"/>
      <c r="DH54" s="326"/>
      <c r="DI54" s="244">
        <f>IF(DI52&gt;$A29,DI29,DI29/$A29*$DI$41)</f>
        <v>127718342.40000001</v>
      </c>
      <c r="DJ54" s="326"/>
      <c r="DK54" s="326"/>
      <c r="DL54" s="244">
        <f>IF(DL52&gt;$A29,DL29,DL29/$A29*$DL$41)</f>
        <v>132227860.99999997</v>
      </c>
      <c r="DM54" s="326"/>
      <c r="DN54" s="326"/>
      <c r="DO54" s="244">
        <f>IF(DO41&gt;$A29,DO29,DO29/$A29*$DO$41)</f>
        <v>139174464.53000003</v>
      </c>
      <c r="DP54" s="326"/>
      <c r="DQ54" s="326"/>
      <c r="DR54" s="244">
        <f>IF(DR41&gt;$A29,DR29,DR29/$A29*$DR$41)</f>
        <v>144052869.82000038</v>
      </c>
      <c r="DS54" s="326"/>
      <c r="DT54" s="326"/>
      <c r="DU54" s="244">
        <f>IF(DU41&gt;$A29,DU29,DU29/$A29*$DU$41)</f>
        <v>159066771.17000008</v>
      </c>
      <c r="DV54" s="326"/>
      <c r="DW54" s="326"/>
      <c r="DX54" s="244">
        <f>IF(DX41&gt;$A29,DX29,DX29/$A29*$DX$41)</f>
        <v>156444591.08000004</v>
      </c>
      <c r="DY54" s="326"/>
      <c r="DZ54" s="326"/>
      <c r="EA54" s="244">
        <f>IF(EA41&gt;$A29,EA29,EA29/$A29*$EA$41)</f>
        <v>163998111.17999998</v>
      </c>
      <c r="EB54" s="326"/>
      <c r="EC54" s="326"/>
      <c r="ED54" s="244">
        <f>IF(ED41&gt;$A29,ED29,ED29/$A29*$ED41)</f>
        <v>169916776.43000007</v>
      </c>
      <c r="EE54" s="326"/>
      <c r="EF54" s="326"/>
      <c r="EG54" s="244">
        <f>IF(EG41&gt;$A29,EG29,EG29/$A29*EG41)</f>
        <v>175475951.36000001</v>
      </c>
      <c r="EH54" s="326"/>
      <c r="EI54" s="326"/>
      <c r="EJ54" s="244">
        <f>IF(EJ41&gt;$A29,EJ29,EJ29/$A29*EJ41)</f>
        <v>189524307.68000001</v>
      </c>
      <c r="EK54" s="326"/>
      <c r="EL54" s="326"/>
      <c r="EM54" s="244">
        <f>IF(EM$41&gt;$A29,EM29,EM29/$A29*EM$41)</f>
        <v>199842076.30000004</v>
      </c>
      <c r="EN54" s="326"/>
      <c r="EO54" s="326"/>
      <c r="EP54" s="244">
        <f>IF(EP41&gt;$A29,EP29,EP29/$A29*$EP$41)</f>
        <v>207605287.49999997</v>
      </c>
      <c r="EQ54" s="326"/>
      <c r="ER54" s="326"/>
      <c r="ES54" s="244">
        <f>IF(ES52&gt;$A29,ES29,ES29/$A29*$DI$41)</f>
        <v>214739526.34</v>
      </c>
      <c r="ET54" s="326"/>
      <c r="EU54" s="326"/>
      <c r="EV54" s="244">
        <f>IF(EV41&gt;$A29,EV29,EV29/$A29*$EV$41)</f>
        <v>231461731.03000009</v>
      </c>
      <c r="EW54" s="326"/>
      <c r="EX54" s="326"/>
      <c r="EY54" s="244">
        <f>IF(EY41&gt;$A29,EY29,EY29/$A29*$EY$41)</f>
        <v>236008222.52000001</v>
      </c>
      <c r="EZ54" s="326"/>
      <c r="FA54" s="326"/>
      <c r="FB54" s="244">
        <f>IF(FB41&gt;$A29,FB29,FB29/$A29*$DR$41)</f>
        <v>244372472.83000016</v>
      </c>
      <c r="FC54" s="326"/>
      <c r="FD54" s="326"/>
      <c r="FE54" s="244">
        <f>IF(FE41&gt;$A29,FE29,FE29/$A29*$FE$41)</f>
        <v>257023862.46999973</v>
      </c>
      <c r="FF54" s="326"/>
      <c r="FG54" s="326"/>
      <c r="FH54" s="244">
        <f>IF(FH41&gt;$A29,FH29,FH29/$A29*$FH$41)</f>
        <v>28667688.027777806</v>
      </c>
      <c r="FI54" s="326"/>
      <c r="FJ54" s="326"/>
      <c r="FK54" s="244">
        <f>IF(FK41&gt;$A29,FK29,FK29/$A29*$FK$41)</f>
        <v>95957086.186666712</v>
      </c>
      <c r="FL54" s="326"/>
      <c r="FM54" s="326"/>
      <c r="FN54" s="244">
        <f>IF(FN41&gt;$A29,FN29,FN29/$A29*$FN$41)</f>
        <v>311413154.23000002</v>
      </c>
      <c r="FO54" s="326"/>
      <c r="FP54" s="326"/>
      <c r="FQ54" s="244">
        <f>IF(FQ41&gt;$A29,FQ29,FQ29/$A29*$FQ$41)</f>
        <v>319681862.74999976</v>
      </c>
      <c r="FR54" s="326"/>
      <c r="FS54" s="326"/>
      <c r="FT54" s="244">
        <f>IF(FT41&gt;$A29,FT29,FT29/$A29*$FT$41)</f>
        <v>335578610.44000053</v>
      </c>
      <c r="FU54" s="326"/>
      <c r="FV54" s="326"/>
      <c r="FW54" s="244">
        <f>IF(FW41&gt;$A29,FW29,FW29/$A29*$FW$41)</f>
        <v>349265983.64000034</v>
      </c>
      <c r="FX54" s="326"/>
      <c r="FY54" s="326"/>
      <c r="FZ54" s="244">
        <f>IF(FZ41&gt;$A29,FZ29,FZ29/$A29*$FZ$41)</f>
        <v>366762058.49998879</v>
      </c>
      <c r="GA54" s="326"/>
      <c r="GB54" s="326"/>
      <c r="GC54" s="244">
        <f>IF(GC41&gt;$A29,GC29,GC29/$A29*$GC$41)</f>
        <v>377681105.93999988</v>
      </c>
      <c r="GD54" s="326"/>
      <c r="GE54" s="244">
        <v>126389849.34333341</v>
      </c>
      <c r="GF54" s="326"/>
      <c r="GG54" s="244">
        <f>IF(GG41&gt;$A29,GG29,GG29/$A29*$GM$41)</f>
        <v>766777616.22000051</v>
      </c>
      <c r="GH54" s="326"/>
      <c r="GI54" s="244">
        <f>IF(GI41&gt;$A29,GI29,GI29/$A29*$GM$41)</f>
        <v>781126961.9600004</v>
      </c>
      <c r="GJ54" s="326"/>
      <c r="GK54" s="244">
        <f>IF(GK41&gt;$A29,GK29,GK29/$A29*$GM$41)</f>
        <v>780223259.77999938</v>
      </c>
      <c r="GL54" s="326"/>
      <c r="GM54" s="244">
        <f>IF(GM41&gt;$A29,GM29,GM29/$A29*$GM$41)</f>
        <v>377769191.86999995</v>
      </c>
      <c r="GN54" s="326"/>
      <c r="GO54" s="244">
        <f>IF(GO41&gt;$A29,GO29,GO29/$A29*$GO$41)</f>
        <v>401654033.60000002</v>
      </c>
      <c r="GP54" s="326"/>
      <c r="GQ54" s="244">
        <f>IF(GQ41&gt;$A29,GQ29,GQ29/$A29*$GQ$41)</f>
        <v>406261431.23000002</v>
      </c>
      <c r="GR54" s="326"/>
      <c r="GS54" s="326"/>
      <c r="GT54" s="244">
        <f>IF(GT41&gt;$A29,GT29,GT29/$A29*$GT$41)</f>
        <v>47256415.876666613</v>
      </c>
      <c r="GU54" s="326"/>
      <c r="GV54" s="326"/>
      <c r="GW54" s="1038">
        <f>IF(GW41&gt;$A29,GW29,GW29/$A29*$GW$41)</f>
        <v>424305450.06999981</v>
      </c>
      <c r="GX54" s="326"/>
      <c r="GY54" s="326"/>
      <c r="GZ54" s="1038">
        <f>IF(GZ41&gt;$A29,GZ29,GZ29/$A29*$GZ$41)</f>
        <v>45395452.600000009</v>
      </c>
      <c r="HA54" s="326"/>
      <c r="HB54" s="326"/>
      <c r="HC54" s="1063">
        <f>IF(HC41&gt;$A29,HC29,HC29/$A29*$HC$41)</f>
        <v>384933725.12999982</v>
      </c>
      <c r="HD54" s="326"/>
      <c r="HE54" s="326"/>
      <c r="HF54" s="244">
        <f>IF(HF41&gt;$A29,HF29,HF29/$A29*$HF$41)</f>
        <v>380681990.39999998</v>
      </c>
      <c r="HG54" s="326"/>
      <c r="HH54" s="326"/>
      <c r="HI54" s="244">
        <f>IF(HI41&gt;$A29,HI29,HI29/$A29*$HF$41)</f>
        <v>400560524.88791168</v>
      </c>
      <c r="HJ54" s="326"/>
      <c r="HK54" s="326"/>
      <c r="HL54" s="244">
        <f>IF(HL41&gt;$A29,HL29,HL29/$A29*$HL$41)</f>
        <v>397559269.12714678</v>
      </c>
      <c r="HM54" s="326"/>
      <c r="HN54" s="326"/>
      <c r="HO54" s="244">
        <f>IF(HO41&gt;$A29,HO29,HO29/$A29*$HO$41)</f>
        <v>404867846.37</v>
      </c>
      <c r="HP54" s="326"/>
      <c r="HQ54" s="326"/>
      <c r="HR54" s="244">
        <f>IF(HR41&gt;$A29,HR29,HR29/$A29*$HO$41)</f>
        <v>404867846.37</v>
      </c>
      <c r="HS54" s="326"/>
      <c r="HT54" s="326"/>
      <c r="HU54" s="244">
        <f>IF(HU41&gt;$A29,HU29,HU29/$A29*$HO$41)</f>
        <v>404867846.37</v>
      </c>
      <c r="HV54" s="326"/>
      <c r="HW54" s="326"/>
      <c r="HX54" s="326"/>
      <c r="HY54" s="326"/>
      <c r="HZ54" s="326"/>
      <c r="IA54" s="244">
        <f>IF(IA41&gt;$A29,IA29,IA29/$A29*$ED41)</f>
        <v>169916776.43000007</v>
      </c>
      <c r="IB54" s="326"/>
    </row>
    <row r="55" spans="1:239" ht="14.4" hidden="1" customHeight="1">
      <c r="A55" s="584"/>
      <c r="B55" s="242"/>
      <c r="D55" s="250"/>
      <c r="E55" s="234"/>
      <c r="F55" s="250"/>
      <c r="G55" s="234"/>
      <c r="H55" s="250"/>
      <c r="I55" s="234"/>
      <c r="J55" s="250"/>
      <c r="K55" s="234"/>
      <c r="L55" s="250"/>
      <c r="M55" s="234"/>
      <c r="N55" s="250"/>
      <c r="O55" s="234"/>
      <c r="P55" s="250"/>
      <c r="Q55" s="234"/>
      <c r="R55" s="250"/>
      <c r="S55" s="234"/>
      <c r="T55" s="250"/>
      <c r="U55" s="234"/>
      <c r="V55" s="250"/>
      <c r="W55" s="234"/>
      <c r="X55" s="250"/>
      <c r="Y55" s="234"/>
      <c r="Z55" s="250"/>
      <c r="AA55" s="234"/>
      <c r="AB55" s="250"/>
      <c r="AC55" s="234"/>
      <c r="AD55" s="250"/>
      <c r="AE55" s="234"/>
      <c r="AF55" s="250"/>
      <c r="AG55" s="234"/>
      <c r="AH55" s="250"/>
      <c r="AI55" s="234"/>
      <c r="AJ55" s="250"/>
      <c r="AK55" s="234"/>
      <c r="AL55" s="250"/>
      <c r="AM55" s="234"/>
      <c r="AN55" s="250"/>
      <c r="AO55" s="234"/>
      <c r="AP55" s="250"/>
      <c r="AQ55" s="234"/>
      <c r="AR55" s="250"/>
      <c r="AS55" s="234"/>
      <c r="AT55" s="250"/>
      <c r="AU55" s="234"/>
      <c r="AV55" s="250"/>
      <c r="AW55" s="234"/>
      <c r="AX55" s="250"/>
      <c r="AY55" s="234"/>
      <c r="AZ55" s="250"/>
      <c r="BA55" s="234"/>
      <c r="BB55" s="250"/>
      <c r="BC55" s="234"/>
      <c r="BD55" s="250"/>
      <c r="BE55" s="234"/>
      <c r="BF55" s="250"/>
      <c r="BG55" s="234"/>
      <c r="BH55" s="250"/>
      <c r="BI55" s="234"/>
      <c r="BJ55" s="250"/>
      <c r="BK55" s="234"/>
      <c r="BL55" s="250"/>
      <c r="BM55" s="234"/>
      <c r="BN55" s="250"/>
      <c r="BO55" s="234"/>
      <c r="BP55" s="250"/>
      <c r="BQ55" s="234"/>
      <c r="BR55" s="250"/>
      <c r="BS55" s="234"/>
      <c r="BT55" s="250"/>
      <c r="BU55" s="234"/>
      <c r="BV55" s="250"/>
      <c r="BW55" s="234"/>
      <c r="BX55" s="250"/>
      <c r="BY55" s="234"/>
      <c r="BZ55" s="250"/>
      <c r="CA55" s="234"/>
      <c r="CB55" s="250"/>
      <c r="CC55" s="234"/>
      <c r="CD55" s="250"/>
      <c r="CE55" s="234"/>
      <c r="CF55" s="250"/>
      <c r="CG55" s="234"/>
      <c r="CH55" s="250"/>
      <c r="CI55" s="234"/>
      <c r="CJ55" s="234"/>
      <c r="CK55" s="250"/>
      <c r="CL55" s="234"/>
      <c r="CM55" s="234"/>
      <c r="CN55" s="250"/>
      <c r="CO55" s="234"/>
      <c r="CP55" s="234"/>
      <c r="CQ55" s="250"/>
      <c r="CR55" s="234"/>
      <c r="CS55" s="234"/>
      <c r="CT55" s="250"/>
      <c r="CU55" s="234"/>
      <c r="CV55" s="198"/>
      <c r="CW55" s="250"/>
      <c r="CX55" s="234"/>
      <c r="CY55" s="436"/>
      <c r="CZ55" s="250"/>
      <c r="DA55" s="234"/>
      <c r="DB55" s="436"/>
      <c r="DC55" s="250"/>
      <c r="DD55" s="234"/>
      <c r="DE55" s="436"/>
      <c r="DF55" s="250"/>
      <c r="DG55" s="234"/>
      <c r="DH55" s="436"/>
      <c r="DI55" s="250"/>
      <c r="DJ55" s="234"/>
      <c r="DK55" s="436"/>
      <c r="DL55" s="250"/>
      <c r="DM55" s="234"/>
      <c r="DN55" s="436"/>
      <c r="DO55" s="250"/>
      <c r="DP55" s="234"/>
      <c r="DQ55" s="436"/>
      <c r="DR55" s="250"/>
      <c r="DS55" s="234"/>
      <c r="DT55" s="436"/>
      <c r="DU55" s="250"/>
      <c r="DV55" s="234"/>
      <c r="DW55" s="436"/>
      <c r="DX55" s="250"/>
      <c r="DY55" s="580"/>
      <c r="DZ55" s="580"/>
      <c r="EA55" s="250"/>
      <c r="EB55" s="580"/>
      <c r="EC55" s="580"/>
      <c r="ED55" s="250"/>
      <c r="EE55" s="580"/>
      <c r="EF55" s="580"/>
      <c r="EG55" s="250"/>
      <c r="EH55" s="234"/>
      <c r="EI55" s="436"/>
      <c r="EJ55" s="250"/>
      <c r="EK55" s="234"/>
      <c r="EL55" s="436"/>
      <c r="EM55" s="250"/>
      <c r="EN55" s="234"/>
      <c r="EO55" s="436"/>
      <c r="EP55" s="250"/>
      <c r="EQ55" s="234"/>
      <c r="ER55" s="436"/>
      <c r="ES55" s="250"/>
      <c r="ET55" s="234"/>
      <c r="EU55" s="436"/>
      <c r="EV55" s="250"/>
      <c r="EW55" s="234"/>
      <c r="EX55" s="436"/>
      <c r="EY55" s="250"/>
      <c r="EZ55" s="234"/>
      <c r="FA55" s="436"/>
      <c r="FB55" s="250"/>
      <c r="FC55" s="234"/>
      <c r="FD55" s="436"/>
      <c r="FE55" s="250"/>
      <c r="FF55" s="234"/>
      <c r="FG55" s="436"/>
      <c r="FH55" s="250"/>
      <c r="FI55" s="580"/>
      <c r="FJ55" s="580"/>
      <c r="FK55" s="250"/>
      <c r="FL55" s="580"/>
      <c r="FM55" s="580"/>
      <c r="FN55" s="250"/>
      <c r="FO55" s="580"/>
      <c r="FP55" s="580"/>
      <c r="FQ55" s="250"/>
      <c r="FR55" s="580"/>
      <c r="FS55" s="580"/>
      <c r="FT55" s="250"/>
      <c r="FU55" s="580"/>
      <c r="FV55" s="580"/>
      <c r="FW55" s="250"/>
      <c r="FX55" s="580"/>
      <c r="FY55" s="580"/>
      <c r="FZ55" s="250"/>
      <c r="GA55" s="580"/>
      <c r="GB55" s="580"/>
      <c r="GC55" s="250"/>
      <c r="GD55" s="580"/>
      <c r="GE55" s="250"/>
      <c r="GF55" s="580"/>
      <c r="GG55" s="250"/>
      <c r="GH55" s="580"/>
      <c r="GI55" s="250">
        <f>IF(GI41&gt;$A30,GI30,GI29/$A30*$GM$41)</f>
        <v>77367300.559999987</v>
      </c>
      <c r="GJ55" s="580"/>
      <c r="GK55" s="250">
        <f>IF(GK41&gt;$A30,GK30,GK29/$A30*$GM$41)</f>
        <v>89619207.349999979</v>
      </c>
      <c r="GL55" s="580"/>
      <c r="GM55" s="250">
        <f>IF(GM41&gt;$A30,GM30,GM29/$A30*$GM$41)</f>
        <v>75577869.180000007</v>
      </c>
      <c r="GN55" s="580"/>
      <c r="GO55" s="250">
        <f>IF(GO41&gt;$A30,GO30,GO29/$A30*$GO$41)</f>
        <v>75244922.770000011</v>
      </c>
      <c r="GP55" s="580"/>
      <c r="GQ55" s="250">
        <f>IF(GQ41&gt;$A30,GQ30,GQ29/$A30*$GQ$41)</f>
        <v>74273513.039999992</v>
      </c>
      <c r="GR55" s="580"/>
      <c r="GS55" s="580"/>
      <c r="GT55" s="250">
        <f>IF(GT41&gt;$A30,GT30,GT29/$A30*$GT$41)</f>
        <v>69665823.600000024</v>
      </c>
      <c r="GU55" s="580"/>
      <c r="GV55" s="580"/>
      <c r="GW55" s="1046">
        <f>IF(GW41&gt;$A30,GW30,GW29/$A30*$GW$41)</f>
        <v>67855225.960000008</v>
      </c>
      <c r="GX55" s="580"/>
      <c r="GY55" s="580"/>
      <c r="GZ55" s="1046">
        <f>IF(GZ41&gt;$A30,GZ30,GZ29/$A30*$GZ$41)</f>
        <v>57194886.93</v>
      </c>
      <c r="HA55" s="580"/>
      <c r="HB55" s="580"/>
      <c r="HC55" s="1066">
        <f>IF(HC41&gt;$A30,HC30,HC29/$A30*$HC$41)</f>
        <v>63508827</v>
      </c>
      <c r="HD55" s="580"/>
      <c r="HE55" s="580"/>
      <c r="HF55" s="250">
        <f>IF(HF41&gt;$A30,HF30,HF29/$A30*$HF$41)</f>
        <v>61555627.139999971</v>
      </c>
      <c r="HG55" s="580"/>
      <c r="HH55" s="580"/>
      <c r="HI55" s="250">
        <f>IF(HI41&gt;$A30,HI30,HI29/$A30*$HF$41)</f>
        <v>47076356.142830834</v>
      </c>
      <c r="HJ55" s="580"/>
      <c r="HK55" s="580"/>
      <c r="HL55" s="250">
        <f>IF(HL41&gt;$A30,HL30,HL29/$A30*$HL$41)</f>
        <v>46723629.959667817</v>
      </c>
      <c r="HM55" s="580"/>
      <c r="HN55" s="580"/>
      <c r="HO55" s="250">
        <f>IF(HO41&gt;$A30,HO30,HO29/$A30*$HO$41)</f>
        <v>38066625.630000003</v>
      </c>
      <c r="HP55" s="580"/>
      <c r="HQ55" s="580"/>
      <c r="HR55" s="250">
        <f>IF(HR41&gt;$A30,HR30,HR29/$A30*$HO$41)</f>
        <v>38066625.630000003</v>
      </c>
      <c r="HS55" s="580"/>
      <c r="HT55" s="580"/>
      <c r="HU55" s="250">
        <f>IF(HU41&gt;$A30,HU30,HU29/$A30*$HO$41)</f>
        <v>38066625.630000003</v>
      </c>
      <c r="HV55" s="580"/>
      <c r="HW55" s="580"/>
      <c r="HX55" s="580"/>
      <c r="HY55" s="580"/>
      <c r="HZ55" s="580"/>
      <c r="IA55" s="250"/>
      <c r="IB55" s="580"/>
    </row>
    <row r="56" spans="1:239" ht="14.4" hidden="1" customHeight="1">
      <c r="A56" s="584"/>
      <c r="B56" s="212" t="s">
        <v>871</v>
      </c>
      <c r="D56" s="252">
        <f>SUM(D57:D59)</f>
        <v>980705.12</v>
      </c>
      <c r="E56" s="247"/>
      <c r="F56" s="252">
        <f>SUM(F57:F59)</f>
        <v>1508580.8</v>
      </c>
      <c r="G56" s="247"/>
      <c r="H56" s="252">
        <f>SUM(H57:H59)</f>
        <v>1462443.77</v>
      </c>
      <c r="I56" s="247"/>
      <c r="J56" s="252">
        <f>SUM(J57:J59)</f>
        <v>1516474.3749999998</v>
      </c>
      <c r="K56" s="247"/>
      <c r="L56" s="252">
        <f>SUM(L57:L59)</f>
        <v>1805750.0350000001</v>
      </c>
      <c r="M56" s="247"/>
      <c r="N56" s="252">
        <f>SUM(N57:N59)</f>
        <v>2808785.3275000001</v>
      </c>
      <c r="O56" s="247"/>
      <c r="P56" s="252">
        <f>SUM(P57:P59)</f>
        <v>3472906.7908333326</v>
      </c>
      <c r="Q56" s="247"/>
      <c r="R56" s="252">
        <f>SUM(R57:R59)</f>
        <v>3966947.1791666662</v>
      </c>
      <c r="S56" s="247"/>
      <c r="T56" s="252">
        <f>SUM(T57:T59)</f>
        <v>4184106.4350000001</v>
      </c>
      <c r="U56" s="247"/>
      <c r="V56" s="252">
        <f>SUM(V57:V59)</f>
        <v>4299089.9891666668</v>
      </c>
      <c r="W56" s="247"/>
      <c r="X56" s="252">
        <f>SUM(X57:X59)</f>
        <v>4499299.9049999993</v>
      </c>
      <c r="Y56" s="247"/>
      <c r="Z56" s="252">
        <f>SUM(Z57:Z59)</f>
        <v>4849221.1850000005</v>
      </c>
      <c r="AA56" s="247"/>
      <c r="AB56" s="252">
        <f>SUM(AB57:AB59)</f>
        <v>5084352.07</v>
      </c>
      <c r="AC56" s="247"/>
      <c r="AD56" s="252">
        <f>SUM(AD57:AD59)</f>
        <v>5148920.9183333339</v>
      </c>
      <c r="AE56" s="247"/>
      <c r="AF56" s="252">
        <f>SUM(AF57:AF59)</f>
        <v>5144704.3483333327</v>
      </c>
      <c r="AG56" s="247"/>
      <c r="AH56" s="252">
        <f>SUM(AH57:AH59)</f>
        <v>5419791.5791666657</v>
      </c>
      <c r="AI56" s="247"/>
      <c r="AJ56" s="252">
        <f>SUM(AJ57:AJ59)</f>
        <v>6867697.4400000004</v>
      </c>
      <c r="AK56" s="247"/>
      <c r="AL56" s="252">
        <f>SUM(AL57:AL59)</f>
        <v>8119605.1066666674</v>
      </c>
      <c r="AM56" s="247"/>
      <c r="AN56" s="252">
        <f>SUM(AN57:AN59)</f>
        <v>8828552.9974999987</v>
      </c>
      <c r="AO56" s="247"/>
      <c r="AP56" s="252">
        <f>SUM(AP57:AP59)</f>
        <v>9175817.2949999999</v>
      </c>
      <c r="AQ56" s="247"/>
      <c r="AR56" s="252">
        <f>SUM(AR57:AR59)</f>
        <v>10533368.424166666</v>
      </c>
      <c r="AS56" s="247"/>
      <c r="AT56" s="252">
        <f>SUM(AT57:AT59)</f>
        <v>12709124.908333333</v>
      </c>
      <c r="AU56" s="247"/>
      <c r="AV56" s="252">
        <f>SUM(AV57:AV59)</f>
        <v>13607920.541666668</v>
      </c>
      <c r="AW56" s="247"/>
      <c r="AX56" s="252">
        <f>SUM(AX57:AX59)</f>
        <v>13245556.306666667</v>
      </c>
      <c r="AY56" s="247"/>
      <c r="AZ56" s="252">
        <f>SUM(AZ57:AZ59)</f>
        <v>13524218.851666667</v>
      </c>
      <c r="BA56" s="247"/>
      <c r="BB56" s="252">
        <f>SUM(BB57:BB59)</f>
        <v>14112921.21166667</v>
      </c>
      <c r="BC56" s="247"/>
      <c r="BD56" s="252">
        <f>SUM(BD57:BD59)</f>
        <v>14473266.483333334</v>
      </c>
      <c r="BE56" s="247"/>
      <c r="BF56" s="252">
        <f>SUM(BF57:BF59)</f>
        <v>17353207.704166666</v>
      </c>
      <c r="BG56" s="247"/>
      <c r="BH56" s="252">
        <f>SUM(BH57:BH59)</f>
        <v>20805597.014166664</v>
      </c>
      <c r="BI56" s="247"/>
      <c r="BJ56" s="252">
        <f>SUM(BJ57:BJ59)</f>
        <v>27496251.425000004</v>
      </c>
      <c r="BK56" s="247"/>
      <c r="BL56" s="252">
        <f>SUM(BL57:BL59)</f>
        <v>31672326.612500004</v>
      </c>
      <c r="BM56" s="247"/>
      <c r="BN56" s="252">
        <f>SUM(BN57:BN59)</f>
        <v>31556659.193333331</v>
      </c>
      <c r="BO56" s="247"/>
      <c r="BP56" s="252">
        <f>SUM(BP57:BP59)</f>
        <v>31799673.895833336</v>
      </c>
      <c r="BQ56" s="247"/>
      <c r="BR56" s="252">
        <f>SUM(BR57:BR59)</f>
        <v>33734826.799166679</v>
      </c>
      <c r="BS56" s="247"/>
      <c r="BT56" s="252">
        <f>SUM(BT57:BT59)</f>
        <v>36728031.330833346</v>
      </c>
      <c r="BU56" s="247"/>
      <c r="BV56" s="252">
        <f>SUM(BV57:BV59)</f>
        <v>37397088.721666664</v>
      </c>
      <c r="BW56" s="247"/>
      <c r="BX56" s="252">
        <f>SUM(BX57:BX59)</f>
        <v>40426704.416666664</v>
      </c>
      <c r="BY56" s="247"/>
      <c r="BZ56" s="252">
        <f>SUM(BZ57:BZ59)</f>
        <v>39441270.043333344</v>
      </c>
      <c r="CA56" s="247"/>
      <c r="CB56" s="252">
        <f>SUM(CB57:CB59)</f>
        <v>39713323.209166668</v>
      </c>
      <c r="CC56" s="247"/>
      <c r="CD56" s="252">
        <f>SUM(CD57:CD59)</f>
        <v>44575852.483333349</v>
      </c>
      <c r="CE56" s="247"/>
      <c r="CF56" s="252">
        <f>SUM(CF57:CF59)</f>
        <v>47345712.345833316</v>
      </c>
      <c r="CG56" s="247"/>
      <c r="CH56" s="252">
        <f>SUM(CH57:CH59)</f>
        <v>48638471.740000002</v>
      </c>
      <c r="CI56" s="247"/>
      <c r="CJ56" s="326"/>
      <c r="CK56" s="252">
        <f>SUM(CK57:CK59)</f>
        <v>50797707.715833351</v>
      </c>
      <c r="CL56" s="247"/>
      <c r="CM56" s="326"/>
      <c r="CN56" s="252">
        <f>SUM(CN57:CN59)</f>
        <v>153613906.29000005</v>
      </c>
      <c r="CO56" s="247"/>
      <c r="CP56" s="326"/>
      <c r="CQ56" s="252">
        <f>SUM(CQ57:CQ59)</f>
        <v>150985520.87500039</v>
      </c>
      <c r="CR56" s="247"/>
      <c r="CS56" s="326"/>
      <c r="CT56" s="252">
        <f>SUM(CT57:CT59)</f>
        <v>187878488.15000039</v>
      </c>
      <c r="CU56" s="247"/>
      <c r="CV56" s="198"/>
      <c r="CW56" s="252">
        <f>SUM(CW57:CW59)</f>
        <v>187114729.74000001</v>
      </c>
      <c r="CX56" s="247"/>
      <c r="CY56" s="440"/>
      <c r="CZ56" s="252">
        <f>IF(CZ41&gt;$A32,CZ32,CZ32/$A32*$CZ$41)</f>
        <v>195332145.55999997</v>
      </c>
      <c r="DA56" s="247"/>
      <c r="DB56" s="440"/>
      <c r="DC56" s="252">
        <f>IF(DC41&gt;$A32,DC32,DC32/$A32*$DC$41)</f>
        <v>213163282.52000058</v>
      </c>
      <c r="DD56" s="247"/>
      <c r="DE56" s="440"/>
      <c r="DF56" s="252">
        <f>IF(DF41&gt;$A32,DF32,DF32/$A32*$DF$41)</f>
        <v>222722542</v>
      </c>
      <c r="DG56" s="247"/>
      <c r="DH56" s="440"/>
      <c r="DI56" s="252">
        <f>IF(DI41&gt;$A32,DI32,DI32/$A32*$DI$41)</f>
        <v>231626063.42000064</v>
      </c>
      <c r="DJ56" s="247"/>
      <c r="DK56" s="440"/>
      <c r="DL56" s="252">
        <f>IF(DL41&gt;$A32,DL32,DL32/$A32*$DL$41)</f>
        <v>245504937.12000063</v>
      </c>
      <c r="DM56" s="247"/>
      <c r="DN56" s="440"/>
      <c r="DO56" s="252">
        <f>SUM(DO57:DO59)</f>
        <v>262830349.9300006</v>
      </c>
      <c r="DP56" s="247"/>
      <c r="DQ56" s="440"/>
      <c r="DR56" s="252">
        <f>SUM(DR57:DR59)</f>
        <v>276910814.78827107</v>
      </c>
      <c r="DS56" s="247"/>
      <c r="DT56" s="440"/>
      <c r="DU56" s="252">
        <f>SUM(DU57:DU59)</f>
        <v>315076590.75999981</v>
      </c>
      <c r="DV56" s="247"/>
      <c r="DW56" s="440"/>
      <c r="DX56" s="252">
        <f>SUM(DX57:DX59)</f>
        <v>328858611.27999938</v>
      </c>
      <c r="DY56" s="247"/>
      <c r="DZ56" s="440"/>
      <c r="EA56" s="252">
        <f>SUM(EA57:EA59)</f>
        <v>351327804.42000061</v>
      </c>
      <c r="EB56" s="247"/>
      <c r="EC56" s="440"/>
      <c r="ED56" s="252">
        <f>SUM(ED57:ED59)</f>
        <v>381972962.49999833</v>
      </c>
      <c r="EE56" s="247"/>
      <c r="EF56" s="440"/>
      <c r="EG56" s="252">
        <f>SUM(EG57:EG59)</f>
        <v>428080033.18000048</v>
      </c>
      <c r="EH56" s="247"/>
      <c r="EI56" s="440"/>
      <c r="EJ56" s="252">
        <f>SUM(EJ57:EJ59)</f>
        <v>465838158.34000015</v>
      </c>
      <c r="EK56" s="247"/>
      <c r="EL56" s="440"/>
      <c r="EM56" s="252">
        <f>SUM(EM57:EM59)</f>
        <v>492054726.49999964</v>
      </c>
      <c r="EN56" s="247"/>
      <c r="EO56" s="440"/>
      <c r="EP56" s="252">
        <f>IF(EP41&gt;$A32,EP32,EP32/$A32*$EP$41)</f>
        <v>534478270.29000044</v>
      </c>
      <c r="EQ56" s="247"/>
      <c r="ER56" s="440"/>
      <c r="ES56" s="252">
        <f>IF(ES41&gt;$A32,ES32,ES32/$A32*$DI$41)</f>
        <v>571163823.86999846</v>
      </c>
      <c r="ET56" s="247"/>
      <c r="EU56" s="440"/>
      <c r="EV56" s="252">
        <f>IF(EV41&gt;$A32,EV32,EV32/$A32*$EV$41)</f>
        <v>618554396.05999839</v>
      </c>
      <c r="EW56" s="247"/>
      <c r="EX56" s="440"/>
      <c r="EY56" s="252">
        <f>SUM(EY57:EY59)</f>
        <v>584099044.94499981</v>
      </c>
      <c r="EZ56" s="247"/>
      <c r="FA56" s="440"/>
      <c r="FB56" s="252">
        <f>SUM(FB57:FB59)</f>
        <v>716597676.5699985</v>
      </c>
      <c r="FC56" s="247"/>
      <c r="FD56" s="440"/>
      <c r="FE56" s="252">
        <f>SUM(FE57:FE59)</f>
        <v>707410485.66499853</v>
      </c>
      <c r="FF56" s="247"/>
      <c r="FG56" s="440"/>
      <c r="FH56" s="252">
        <f>SUM(FH57:FH59)</f>
        <v>86944707.684999704</v>
      </c>
      <c r="FI56" s="247"/>
      <c r="FJ56" s="440"/>
      <c r="FK56" s="252">
        <f>SUM(FK57:FK59)</f>
        <v>283283403.42583323</v>
      </c>
      <c r="FL56" s="247"/>
      <c r="FM56" s="440"/>
      <c r="FN56" s="252">
        <f>SUM(FN57:FN59)</f>
        <v>1057668949.1699995</v>
      </c>
      <c r="FO56" s="247"/>
      <c r="FP56" s="440"/>
      <c r="FQ56" s="252">
        <f>SUM(FQ57:FQ59)</f>
        <v>958027278.08999944</v>
      </c>
      <c r="FR56" s="247"/>
      <c r="FS56" s="440"/>
      <c r="FT56" s="252">
        <f>SUM(FT57:FT59)</f>
        <v>997343569.37749922</v>
      </c>
      <c r="FU56" s="247"/>
      <c r="FV56" s="440"/>
      <c r="FW56" s="252">
        <f>SUM(FW57:FW59)</f>
        <v>1030448886.2099975</v>
      </c>
      <c r="FX56" s="247"/>
      <c r="FY56" s="440"/>
      <c r="FZ56" s="252">
        <f>SUM(FZ57:FZ59)</f>
        <v>1288033698.6799984</v>
      </c>
      <c r="GA56" s="247"/>
      <c r="GB56" s="440"/>
      <c r="GC56" s="252">
        <f>SUM(GC57:GC59)</f>
        <v>1114572721.3474994</v>
      </c>
      <c r="GD56" s="247"/>
      <c r="GE56" s="252">
        <v>399989113.81416637</v>
      </c>
      <c r="GF56" s="247"/>
      <c r="GG56" s="252">
        <f>SUM(GG57:GG59)</f>
        <v>2223669796.8550005</v>
      </c>
      <c r="GH56" s="247"/>
      <c r="GI56" s="252">
        <f>SUM(GI57:GI59)</f>
        <v>2325303270.789999</v>
      </c>
      <c r="GJ56" s="247"/>
      <c r="GK56" s="252">
        <f>SUM(GK57:GK59)</f>
        <v>2359992043.1049995</v>
      </c>
      <c r="GL56" s="247"/>
      <c r="GM56" s="252">
        <f>SUM(GM57:GM59)</f>
        <v>1365309369.3900001</v>
      </c>
      <c r="GN56" s="247"/>
      <c r="GO56" s="252">
        <f>SUM(GO57:GO59)</f>
        <v>1344581698.6199999</v>
      </c>
      <c r="GP56" s="247"/>
      <c r="GQ56" s="252">
        <f>SUM(GQ57:GQ59)</f>
        <v>1061927227.8200002</v>
      </c>
      <c r="GR56" s="247"/>
      <c r="GS56" s="440"/>
      <c r="GT56" s="252">
        <f>SUM(GT57:GT59)</f>
        <v>112481472.18944444</v>
      </c>
      <c r="GU56" s="247"/>
      <c r="GV56" s="440"/>
      <c r="GW56" s="1039">
        <f>SUM(GW57:GW59)</f>
        <v>927051494.49500012</v>
      </c>
      <c r="GX56" s="247"/>
      <c r="GY56" s="440"/>
      <c r="GZ56" s="1039">
        <f>SUM(GZ57:GZ59)</f>
        <v>104546419.70777777</v>
      </c>
      <c r="HA56" s="247"/>
      <c r="HB56" s="440"/>
      <c r="HC56" s="1064">
        <f>SUM(HC57:HC59)</f>
        <v>914853157.7125001</v>
      </c>
      <c r="HD56" s="247"/>
      <c r="HE56" s="440"/>
      <c r="HF56" s="252">
        <f>SUM(HF57:HF59)</f>
        <v>914103775.0474999</v>
      </c>
      <c r="HG56" s="247"/>
      <c r="HH56" s="440"/>
      <c r="HI56" s="252">
        <f>SUM(HI57:HI59)</f>
        <v>931997951.75128937</v>
      </c>
      <c r="HJ56" s="247"/>
      <c r="HK56" s="440"/>
      <c r="HL56" s="252">
        <f>SUM(HL57:HL59)</f>
        <v>925014826.73541987</v>
      </c>
      <c r="HM56" s="247"/>
      <c r="HN56" s="440"/>
      <c r="HO56" s="252">
        <f>SUM(HO57:HO59)</f>
        <v>907167388.79405141</v>
      </c>
      <c r="HP56" s="247"/>
      <c r="HQ56" s="440"/>
      <c r="HR56" s="252">
        <f>SUM(HR57:HR59)</f>
        <v>905848160.9113965</v>
      </c>
      <c r="HS56" s="247"/>
      <c r="HT56" s="440"/>
      <c r="HU56" s="252">
        <f>SUM(HU57:HU59)</f>
        <v>889560405.07639635</v>
      </c>
      <c r="HV56" s="247"/>
      <c r="HW56" s="440"/>
      <c r="HX56" s="440"/>
      <c r="HY56" s="440"/>
      <c r="HZ56" s="440"/>
      <c r="IA56" s="252">
        <f>SUM(IA57:IA59)</f>
        <v>381972962.49999833</v>
      </c>
      <c r="IB56" s="247"/>
    </row>
    <row r="57" spans="1:239" ht="14.4" hidden="1" customHeight="1">
      <c r="A57" s="586">
        <v>6</v>
      </c>
      <c r="B57" s="242" t="s">
        <v>444</v>
      </c>
      <c r="D57" s="255">
        <f>D33/$A33*3</f>
        <v>943205.12</v>
      </c>
      <c r="E57" s="256">
        <f>+D57/D$61</f>
        <v>8.0293332151595342E-2</v>
      </c>
      <c r="F57" s="255">
        <f>F33/$A33*3</f>
        <v>1349205.8</v>
      </c>
      <c r="G57" s="256">
        <f>+F57/F$61</f>
        <v>0.11233541362930945</v>
      </c>
      <c r="H57" s="255">
        <f>H33/$A33*3</f>
        <v>1431193.77</v>
      </c>
      <c r="I57" s="256">
        <f>+H57/H$61</f>
        <v>0.10318493573912872</v>
      </c>
      <c r="J57" s="255">
        <f>J33/$A33*3</f>
        <v>1446474.3749999998</v>
      </c>
      <c r="K57" s="256">
        <f>+J57/J$61</f>
        <v>9.1324733252806656E-2</v>
      </c>
      <c r="L57" s="255">
        <f>L33/$A33*3</f>
        <v>1616583.37</v>
      </c>
      <c r="M57" s="256">
        <f>+L57/L$61</f>
        <v>9.5950284069774433E-2</v>
      </c>
      <c r="N57" s="255">
        <f>N33/$A33*3</f>
        <v>2274201.9950000001</v>
      </c>
      <c r="O57" s="256">
        <f>+N57/N$61</f>
        <v>0.11932588727154789</v>
      </c>
      <c r="P57" s="255">
        <f>P33/$A33*3</f>
        <v>2657047.8199999994</v>
      </c>
      <c r="Q57" s="256">
        <f>+P57/P$61</f>
        <v>0.12549233408795396</v>
      </c>
      <c r="R57" s="255">
        <f>R33/$A33*3</f>
        <v>3238835.5349999992</v>
      </c>
      <c r="S57" s="256">
        <f>+R57/R$61</f>
        <v>0.14721139452574539</v>
      </c>
      <c r="T57" s="255">
        <f>T33/$A33*3</f>
        <v>3280440.66</v>
      </c>
      <c r="U57" s="256">
        <f>+T57/T$61</f>
        <v>0.13512379801685689</v>
      </c>
      <c r="V57" s="255">
        <f>V33/$A33*3</f>
        <v>3425286.75</v>
      </c>
      <c r="W57" s="256">
        <f>+V57/V$61</f>
        <v>0.12555134357901973</v>
      </c>
      <c r="X57" s="255">
        <f>X33/$A33*3</f>
        <v>3681569.0499999993</v>
      </c>
      <c r="Y57" s="256">
        <f>+X57/X$61</f>
        <v>0.13764957469552744</v>
      </c>
      <c r="Z57" s="255">
        <f>Z33/$A33*3</f>
        <v>3416998.84</v>
      </c>
      <c r="AA57" s="256">
        <f>+Z57/Z$61</f>
        <v>0.12513736260994643</v>
      </c>
      <c r="AB57" s="255">
        <f>AB33/$A33*3</f>
        <v>3487467.9350000005</v>
      </c>
      <c r="AC57" s="256">
        <f>+AB57/AB$61</f>
        <v>0.11668817297193519</v>
      </c>
      <c r="AD57" s="255">
        <f>AD33/$A33*3</f>
        <v>2770518.3849999998</v>
      </c>
      <c r="AE57" s="256">
        <f>+AD57/AD$61</f>
        <v>8.8827981013980442E-2</v>
      </c>
      <c r="AF57" s="255">
        <f>AF33/$A33*3</f>
        <v>2621275.04</v>
      </c>
      <c r="AG57" s="256">
        <f>+AF57/AF$61</f>
        <v>7.5871423183732384E-2</v>
      </c>
      <c r="AH57" s="255">
        <f>AH33/$A33*3</f>
        <v>2612680.0649999999</v>
      </c>
      <c r="AI57" s="256">
        <f>+AH57/AH$61</f>
        <v>7.0731020498545016E-2</v>
      </c>
      <c r="AJ57" s="255">
        <f>AJ33/$A33*3</f>
        <v>3819487.17</v>
      </c>
      <c r="AK57" s="256">
        <f>+AJ57/AJ$61</f>
        <v>9.1387827304508604E-2</v>
      </c>
      <c r="AL57" s="255">
        <f>AL33/$A33*3</f>
        <v>3510800.71</v>
      </c>
      <c r="AM57" s="256">
        <f>+AL57/AL$61</f>
        <v>7.6442937458714083E-2</v>
      </c>
      <c r="AN57" s="255">
        <f>AN33/$A33*3</f>
        <v>3741231.2349999994</v>
      </c>
      <c r="AO57" s="256">
        <f>+AN57/AN$61</f>
        <v>6.734273660091443E-2</v>
      </c>
      <c r="AP57" s="255">
        <f>AP33/$A33*3</f>
        <v>4098301.2450000001</v>
      </c>
      <c r="AQ57" s="256">
        <f>+AP57/AP$61</f>
        <v>7.0584653499221509E-2</v>
      </c>
      <c r="AR57" s="255">
        <f>AR33/$A33*3</f>
        <v>4351226.1499999994</v>
      </c>
      <c r="AS57" s="256">
        <f>+AR57/AR$61</f>
        <v>7.139495751951673E-2</v>
      </c>
      <c r="AT57" s="255">
        <f>AT33/$A33*3</f>
        <v>4313226.0999999987</v>
      </c>
      <c r="AU57" s="256">
        <f>+AT57/AT$61</f>
        <v>6.2378088536828892E-2</v>
      </c>
      <c r="AV57" s="255">
        <f>AV33/$A33*3</f>
        <v>4959929.3650000012</v>
      </c>
      <c r="AW57" s="256">
        <f>+AV57/AV$61</f>
        <v>7.4967534306586439E-2</v>
      </c>
      <c r="AX57" s="255">
        <f>AX33/$A33*3</f>
        <v>4787942.4799999995</v>
      </c>
      <c r="AY57" s="256">
        <f>+AX57/AX$61</f>
        <v>7.9245292634849654E-2</v>
      </c>
      <c r="AZ57" s="255">
        <f>AZ33/$A33*3</f>
        <v>4699349.9850000003</v>
      </c>
      <c r="BA57" s="256">
        <f>+AZ57/AZ$61</f>
        <v>7.8794975707742049E-2</v>
      </c>
      <c r="BB57" s="255">
        <f>BB33/$A33*3</f>
        <v>4600356.1649999991</v>
      </c>
      <c r="BC57" s="256">
        <f>+BB57/BB$61</f>
        <v>7.6682105753555274E-2</v>
      </c>
      <c r="BD57" s="255">
        <f>BD33/$A33*3</f>
        <v>4932800.3450000007</v>
      </c>
      <c r="BE57" s="256">
        <f>+BD57/BD$61</f>
        <v>8.6359237199045494E-2</v>
      </c>
      <c r="BF57" s="255">
        <f>BF33/$A33*3</f>
        <v>6280881.3499999996</v>
      </c>
      <c r="BG57" s="256">
        <f>+BF57/BF$61</f>
        <v>0.10785585579690737</v>
      </c>
      <c r="BH57" s="255">
        <f>BH33/$A33*3</f>
        <v>7386290.5249999976</v>
      </c>
      <c r="BI57" s="256">
        <f>+BH57/BH$61</f>
        <v>0.12377260780000961</v>
      </c>
      <c r="BJ57" s="255">
        <f>BJ33/$A33*3</f>
        <v>10385214.41</v>
      </c>
      <c r="BK57" s="256">
        <f>+BJ57/BJ$61</f>
        <v>0.16045937225770404</v>
      </c>
      <c r="BL57" s="255">
        <f>BL33/$A33*3</f>
        <v>11301313.995000001</v>
      </c>
      <c r="BM57" s="256">
        <f>+BL57/BL$61</f>
        <v>0.1528956836939849</v>
      </c>
      <c r="BN57" s="255">
        <f>BN33/$A33*3</f>
        <v>11164457.210000001</v>
      </c>
      <c r="BO57" s="256">
        <f>+BN57/BN$61</f>
        <v>0.15644984790957259</v>
      </c>
      <c r="BP57" s="255">
        <f>BP33/$A33*3</f>
        <v>11487384.389999997</v>
      </c>
      <c r="BQ57" s="256">
        <f>+BP57/BP$61</f>
        <v>0.15398639300991901</v>
      </c>
      <c r="BR57" s="255">
        <f>BR33/$A33*3</f>
        <v>12530109.82</v>
      </c>
      <c r="BS57" s="256">
        <f>+BR57/BR$61</f>
        <v>0.15652350738961393</v>
      </c>
      <c r="BT57" s="255">
        <f>BT33/$A33*3</f>
        <v>12862947.270000005</v>
      </c>
      <c r="BU57" s="256" t="e">
        <f>+BT57/BT$61</f>
        <v>#REF!</v>
      </c>
      <c r="BV57" s="255">
        <f>BV33/$A33*3</f>
        <v>13308862.460000001</v>
      </c>
      <c r="BW57" s="256" t="e">
        <f>+BV57/BV$61</f>
        <v>#REF!</v>
      </c>
      <c r="BX57" s="255">
        <f>BX33/$A33*3</f>
        <v>12181959.395000003</v>
      </c>
      <c r="BY57" s="256" t="e">
        <f>+BX57/BX$61</f>
        <v>#REF!</v>
      </c>
      <c r="BZ57" s="255">
        <f>BZ33/$A33*3</f>
        <v>11955324.929999998</v>
      </c>
      <c r="CA57" s="256" t="e">
        <f>+BZ57/BZ$61</f>
        <v>#REF!</v>
      </c>
      <c r="CB57" s="255">
        <f>CB33/$A33*3</f>
        <v>12008654.995000001</v>
      </c>
      <c r="CC57" s="256" t="e">
        <f>+CB57/CB$61</f>
        <v>#REF!</v>
      </c>
      <c r="CD57" s="255">
        <f>CD33/$A33*3</f>
        <v>13968480.38499999</v>
      </c>
      <c r="CE57" s="256">
        <f>+CD57/CD$61</f>
        <v>0.12565585819808051</v>
      </c>
      <c r="CF57" s="255">
        <f>CF33/$A33*3</f>
        <v>14521422.914999992</v>
      </c>
      <c r="CG57" s="256">
        <f>+CF57/CF$61</f>
        <v>0.12217081374545795</v>
      </c>
      <c r="CH57" s="255">
        <f>CH33/$A33*3</f>
        <v>14407824.055000003</v>
      </c>
      <c r="CI57" s="256">
        <f>+CH57/CH$61</f>
        <v>0.11292888938471024</v>
      </c>
      <c r="CJ57" s="329"/>
      <c r="CK57" s="255">
        <f>IF(CK41&gt;$A33,CK33,CK33/$A33*$CK$41)</f>
        <v>15519049.515000001</v>
      </c>
      <c r="CL57" s="256">
        <f>+CK57/CK$61</f>
        <v>0.11230220315402183</v>
      </c>
      <c r="CM57" s="329"/>
      <c r="CN57" s="255">
        <f>IF(CN41&gt;$A33,CN33,CN33/$A33*$CN$41)</f>
        <v>33342761.010000002</v>
      </c>
      <c r="CO57" s="256">
        <f>+CN57/CN$61</f>
        <v>9.4395341313299921E-2</v>
      </c>
      <c r="CP57" s="329"/>
      <c r="CQ57" s="255">
        <f>IF(CQ41&gt;$A33,CQ33,CQ33/$A33*$CQ$41)</f>
        <v>37165584.549999997</v>
      </c>
      <c r="CR57" s="256">
        <f>+CQ57/CQ$61</f>
        <v>9.6010406030710788E-2</v>
      </c>
      <c r="CS57" s="329"/>
      <c r="CT57" s="255">
        <f>IF(CT41&gt;$A33,CT33,CT33/$A33*$CT$41)</f>
        <v>50343805.5</v>
      </c>
      <c r="CU57" s="256">
        <f>+CT57/CT$61</f>
        <v>0.1136227357195627</v>
      </c>
      <c r="CV57" s="198"/>
      <c r="CW57" s="255">
        <f>IF(CW41&gt;$A33,CW33,CW33/$A33*$CW$41)</f>
        <v>50810806.840000004</v>
      </c>
      <c r="CX57" s="256">
        <f>+CW57/CW$61</f>
        <v>0.11042572281697934</v>
      </c>
      <c r="CY57" s="442"/>
      <c r="CZ57" s="255">
        <f>IF(CZ41&gt;$A33,CZ33,CZ33/$A33*$CZ$41)</f>
        <v>50792521</v>
      </c>
      <c r="DA57" s="256">
        <f>+CZ57/CZ$61</f>
        <v>0.10712108197098154</v>
      </c>
      <c r="DB57" s="442"/>
      <c r="DC57" s="255">
        <f>IF(DC41&gt;$A33,DC33,DC33/$A33*$DC$41)</f>
        <v>56087454</v>
      </c>
      <c r="DD57" s="256">
        <f>+DC57/DC$61</f>
        <v>0.11188616085605141</v>
      </c>
      <c r="DE57" s="442"/>
      <c r="DF57" s="255">
        <f>IF(DF41&gt;$A33,DF33,DF33/$A33*$DF$41)</f>
        <v>59484223</v>
      </c>
      <c r="DG57" s="256">
        <f>+DF57/DF$61</f>
        <v>0.11133478680798076</v>
      </c>
      <c r="DH57" s="442"/>
      <c r="DI57" s="255">
        <f>IF(DI41&gt;$A33,DI33,DI33/$A33*$DI$41)</f>
        <v>64043912</v>
      </c>
      <c r="DJ57" s="256">
        <f>+DI57/DI$61</f>
        <v>0.11552246723647655</v>
      </c>
      <c r="DK57" s="442"/>
      <c r="DL57" s="255">
        <f>IF(DL41&gt;$A33,DL33,DL33/$A33*$DL$41)</f>
        <v>70708198</v>
      </c>
      <c r="DM57" s="568">
        <f>+DL57/DL$61</f>
        <v>0.12252749395273045</v>
      </c>
      <c r="DN57" s="442"/>
      <c r="DO57" s="255">
        <f>IF(DO41&gt;$A33,DO33,DO33/$A33*$DO$41)</f>
        <v>76645463</v>
      </c>
      <c r="DP57" s="568">
        <f>+DO57/DO$61</f>
        <v>0.12530795682878593</v>
      </c>
      <c r="DQ57" s="442"/>
      <c r="DR57" s="255">
        <f>IF(DR41&gt;$A33,DR33,DR33/$A33*$DR$41)</f>
        <v>82001612.818271279</v>
      </c>
      <c r="DS57" s="568">
        <f>+DR57/DR$61</f>
        <v>0.13172780227274139</v>
      </c>
      <c r="DT57" s="442"/>
      <c r="DU57" s="255">
        <f>IF(DU41&gt;$A33,DU33,DU33/$A33*$DU$41)</f>
        <v>94757418.650000006</v>
      </c>
      <c r="DV57" s="568">
        <f>+DU57/DU$61</f>
        <v>0.13780926613338187</v>
      </c>
      <c r="DW57" s="442"/>
      <c r="DX57" s="421">
        <f>IF(DX41&gt;$A33,DX33,DX33/$A33*$DX$41)</f>
        <v>92757615.389999971</v>
      </c>
      <c r="DY57" s="609">
        <f>+DX57/DX$61</f>
        <v>0.13821709610551619</v>
      </c>
      <c r="DZ57" s="626"/>
      <c r="EA57" s="421">
        <f>IF(EA41&gt;$A33,EA33,EA33/$A33*$EA$41)</f>
        <v>97647259.910000011</v>
      </c>
      <c r="EB57" s="609">
        <f>+EA57/EA$61</f>
        <v>0.13966543659561334</v>
      </c>
      <c r="EC57" s="626"/>
      <c r="ED57" s="421">
        <f>IF(ED41&gt;$A33,ED33,ED33/$A33*$ED41)</f>
        <v>97136862.689999998</v>
      </c>
      <c r="EE57" s="609">
        <f>+ED57/ED$61</f>
        <v>0.13126345310913926</v>
      </c>
      <c r="EF57" s="626"/>
      <c r="EG57" s="255">
        <f>IF(EG41&gt;$A33,EG33,EG33/$A33*EG41)</f>
        <v>92485405.339999899</v>
      </c>
      <c r="EH57" s="256">
        <f>+EG57/EG$61</f>
        <v>0.11568643826747291</v>
      </c>
      <c r="EI57" s="442"/>
      <c r="EJ57" s="255">
        <f>IF(EJ41&gt;$A33,EJ33,EJ33/$A33*EJ41)</f>
        <v>88315492.859999999</v>
      </c>
      <c r="EK57" s="256">
        <f>+EJ57/EJ$61</f>
        <v>0.10518509839699818</v>
      </c>
      <c r="EL57" s="442"/>
      <c r="EM57" s="255">
        <f>IF(EM41&gt;$A33,EM33,EM33/$A33*EM$41)</f>
        <v>91413778.98999998</v>
      </c>
      <c r="EN57" s="256">
        <f>+EM57/EM$61</f>
        <v>0.10262609134257362</v>
      </c>
      <c r="EO57" s="442"/>
      <c r="EP57" s="255">
        <f>IF(EP41&gt;$A33,EP33,EP33/$A33*$EP$41)</f>
        <v>81761866.169999897</v>
      </c>
      <c r="EQ57" s="256">
        <f>+EP57/EP$61</f>
        <v>8.6388972045630702E-2</v>
      </c>
      <c r="ER57" s="442"/>
      <c r="ES57" s="255">
        <f>IF(ES41&gt;$A33,ES33,ES33/$A33*$DI$41)</f>
        <v>81199297.579999954</v>
      </c>
      <c r="ET57" s="256">
        <f>+ES57/ES$61</f>
        <v>8.1587489526105075E-2</v>
      </c>
      <c r="EU57" s="442"/>
      <c r="EV57" s="255">
        <f>IF(EV41&gt;$A33,EV33,EV33/$A33*$EV$41)</f>
        <v>79491304.519999981</v>
      </c>
      <c r="EW57" s="568">
        <f>+EV57/EV$61</f>
        <v>7.3597066996661034E-2</v>
      </c>
      <c r="EX57" s="442"/>
      <c r="EY57" s="255">
        <f>IF(EY41&gt;$A33,EY33,EY33/$A33*$EY$41)</f>
        <v>82323416.479999989</v>
      </c>
      <c r="EZ57" s="568">
        <f>+EY57/EY$61</f>
        <v>7.9529500729965466E-2</v>
      </c>
      <c r="FA57" s="442"/>
      <c r="FB57" s="255">
        <f>IF(FB41&gt;$A33,FB33,FB33/$A33*$DR$41)</f>
        <v>87093964.959999919</v>
      </c>
      <c r="FC57" s="568">
        <f>+FB57/FB$61</f>
        <v>7.238826893861057E-2</v>
      </c>
      <c r="FD57" s="442"/>
      <c r="FE57" s="255">
        <f>IF(FE41&gt;$A33,FE33,FE33/$A33*$FE$41)</f>
        <v>92183959.799999878</v>
      </c>
      <c r="FF57" s="568">
        <f>+FE57/FE$61</f>
        <v>7.7215644816348156E-2</v>
      </c>
      <c r="FG57" s="442"/>
      <c r="FH57" s="421">
        <f>IF(FH41&gt;$A33,FH33,FH33/$A33*$FH$41)</f>
        <v>15093151.875000002</v>
      </c>
      <c r="FI57" s="609">
        <f>+FH57/FH$61</f>
        <v>0.10650897957341102</v>
      </c>
      <c r="FJ57" s="626"/>
      <c r="FK57" s="421">
        <f>IF(FK41&gt;$A33,FK33,FK33/$A33*$FK$41)</f>
        <v>47331267.789999843</v>
      </c>
      <c r="FL57" s="609">
        <f>+FK57/FK$61</f>
        <v>0.10455548652786825</v>
      </c>
      <c r="FM57" s="626"/>
      <c r="FN57" s="421">
        <f>IF(FN41&gt;$A33,FN33,FN33/$A33*$FN$41)</f>
        <v>87809729.23999998</v>
      </c>
      <c r="FO57" s="609">
        <f>+FN57/FN$61</f>
        <v>5.4994203705600368E-2</v>
      </c>
      <c r="FP57" s="626"/>
      <c r="FQ57" s="421">
        <f>IF(FQ41&gt;$A33,FQ33,FQ33/$A33*$FQ$41)</f>
        <v>93052339.930000052</v>
      </c>
      <c r="FR57" s="609">
        <f>+FQ57/FQ$61</f>
        <v>6.3666335431115231E-2</v>
      </c>
      <c r="FS57" s="626"/>
      <c r="FT57" s="421">
        <f>IF(FT41&gt;$A33,FT33,FT33/$A33*$FT$41)</f>
        <v>97628948.550000012</v>
      </c>
      <c r="FU57" s="609">
        <f>+FT57/FT$61</f>
        <v>6.5246670224977016E-2</v>
      </c>
      <c r="FV57" s="626"/>
      <c r="FW57" s="421">
        <f>IF(FW41&gt;$A33,FW33,FW33/$A33*$FW$41)</f>
        <v>89053030.440000013</v>
      </c>
      <c r="FX57" s="609">
        <f>+FW57/FW$61</f>
        <v>5.8284944582405053E-2</v>
      </c>
      <c r="FY57" s="626"/>
      <c r="FZ57" s="421">
        <f>IF(FZ41&gt;$A33,FZ33,FZ33/$A33*$FZ$41)</f>
        <v>84760715.510000095</v>
      </c>
      <c r="GA57" s="609">
        <f>+FZ57/FZ$61</f>
        <v>4.6706714934897024E-2</v>
      </c>
      <c r="GB57" s="626"/>
      <c r="GC57" s="421">
        <f>IF(GC41&gt;$A33,GC33,GC33/$A33*$GC$41)</f>
        <v>96733398.170000225</v>
      </c>
      <c r="GD57" s="609">
        <f>+GC57/GC$61</f>
        <v>6.2006718632806102E-2</v>
      </c>
      <c r="GE57" s="421">
        <v>48460047.915000096</v>
      </c>
      <c r="GF57" s="609">
        <f>+GE57/GE$61</f>
        <v>8.8298684598201158E-2</v>
      </c>
      <c r="GG57" s="421">
        <f>IF(GG41&gt;$A33,GG33,GG33/$A33*$GM$41)</f>
        <v>69713891.520000011</v>
      </c>
      <c r="GH57" s="609">
        <f>+GG57/GG$61</f>
        <v>2.2394683723539331E-2</v>
      </c>
      <c r="GI57" s="421">
        <f>IF(GI41&gt;$A33,GI33,GI33/$A33*$GM$41)</f>
        <v>61046580.150000006</v>
      </c>
      <c r="GJ57" s="609">
        <f>+GI57/GI$61</f>
        <v>1.8382647775317416E-2</v>
      </c>
      <c r="GK57" s="421">
        <f>IF(GK41&gt;$A33,GK33,GK33/$A33*$GM$41)</f>
        <v>57582590.159999996</v>
      </c>
      <c r="GL57" s="609">
        <f>+GK57/GK$61</f>
        <v>1.7162924640361257E-2</v>
      </c>
      <c r="GM57" s="421">
        <f>IF(GM41&gt;$A33,GM33,GM33/$A33*$GM$41)</f>
        <v>14078171.289999999</v>
      </c>
      <c r="GN57" s="609">
        <f>+GM57/GM$61</f>
        <v>7.083946853004789E-3</v>
      </c>
      <c r="GO57" s="421">
        <f>IF(GO41&gt;$A33,GO33,GO33/$A33*$GO$41)</f>
        <v>12626576.489999993</v>
      </c>
      <c r="GP57" s="609">
        <f>+GO57/GO$61</f>
        <v>6.3491925761618136E-3</v>
      </c>
      <c r="GQ57" s="421">
        <f>IF(GQ41&gt;$A33,GQ33,GQ33/$A33*$GQ$41)</f>
        <v>13639913.509999996</v>
      </c>
      <c r="GR57" s="609">
        <f>+GQ57/GQ$61</f>
        <v>8.1887223012100229E-3</v>
      </c>
      <c r="GS57" s="626"/>
      <c r="GT57" s="421">
        <f>IF(GT41&gt;$A33,GT33,GT33/$A33*$GT$41)</f>
        <v>2104277.2999999998</v>
      </c>
      <c r="GU57" s="609">
        <f>+GT57/GT$61</f>
        <v>8.8183798601199036E-3</v>
      </c>
      <c r="GV57" s="626"/>
      <c r="GW57" s="1047">
        <f>IF(GW41&gt;$A33,GW33,GW33/$A33*$GW$41)</f>
        <v>15858066.339999966</v>
      </c>
      <c r="GX57" s="609">
        <f>+GW57/GW$61</f>
        <v>1.0353048681456818E-2</v>
      </c>
      <c r="GY57" s="626"/>
      <c r="GZ57" s="1047">
        <f>IF(GZ41&gt;$A33,GZ33,GZ33/$A33*$GZ$41)</f>
        <v>2315705.8866666625</v>
      </c>
      <c r="HA57" s="609">
        <f>+GZ57/GZ$61</f>
        <v>1.0519043822438649E-2</v>
      </c>
      <c r="HB57" s="626"/>
      <c r="HC57" s="1067">
        <f>IF(HC41&gt;$A33,HC33,HC33/$A33*$HC$41)</f>
        <v>12147774.099999985</v>
      </c>
      <c r="HD57" s="609">
        <f>+HC57/HC$61</f>
        <v>7.5260493757977592E-3</v>
      </c>
      <c r="HE57" s="626"/>
      <c r="HF57" s="421">
        <f>IF(HF41&gt;$A33,HF33,HF33/$A33*$HF$41)</f>
        <v>12101172.119999997</v>
      </c>
      <c r="HG57" s="609">
        <f>+HF57/HF$61</f>
        <v>7.4836633404160345E-3</v>
      </c>
      <c r="HH57" s="626"/>
      <c r="HI57" s="421">
        <f>IF(HI41&gt;$A33,HI33,HI33/$A33*$HF$41)</f>
        <v>15062579.550749077</v>
      </c>
      <c r="HJ57" s="609">
        <f>+HI57/HI$61</f>
        <v>9.5752961247013661E-3</v>
      </c>
      <c r="HK57" s="626"/>
      <c r="HL57" s="421">
        <f>IF(HL41&gt;$A33,HL33,HL33/$A33*$HL$41)</f>
        <v>14949721.066600358</v>
      </c>
      <c r="HM57" s="609">
        <f>+HL57/HL$61</f>
        <v>9.4912107077729357E-3</v>
      </c>
      <c r="HN57" s="626"/>
      <c r="HO57" s="421">
        <f>IF(HO41&gt;$A33,HO33,HO33/$A33*$HO$40)</f>
        <v>13556321.595674168</v>
      </c>
      <c r="HP57" s="609">
        <f>+HO57/HO$61</f>
        <v>8.7945038369699677E-3</v>
      </c>
      <c r="HQ57" s="626"/>
      <c r="HR57" s="421">
        <f>IF(HR41&gt;$A33,HR33,HR33/$A33*$HO$40)</f>
        <v>13454748.959940322</v>
      </c>
      <c r="HS57" s="609">
        <f>+HR57/HR$61</f>
        <v>8.7374677085199897E-3</v>
      </c>
      <c r="HT57" s="626"/>
      <c r="HU57" s="421">
        <f>IF(HU41&gt;$A33,HU33,HU33/$A33*$HO$40)</f>
        <v>12200689.436106753</v>
      </c>
      <c r="HV57" s="609">
        <f>+HU57/HU$61</f>
        <v>8.0236163815567713E-3</v>
      </c>
      <c r="HW57" s="626"/>
      <c r="HX57" s="626"/>
      <c r="HY57" s="626"/>
      <c r="HZ57" s="626"/>
      <c r="IA57" s="421">
        <f>IF(IA41&gt;$A33,IA33,IA33/$A33*$ED41)</f>
        <v>97136862.689999998</v>
      </c>
      <c r="IB57" s="609">
        <f>+IA57/IA$61</f>
        <v>0.13126345310913926</v>
      </c>
    </row>
    <row r="58" spans="1:239" ht="14.4" hidden="1" customHeight="1">
      <c r="A58" s="586">
        <v>9</v>
      </c>
      <c r="B58" s="242" t="s">
        <v>446</v>
      </c>
      <c r="D58" s="259">
        <f>D34/$A34*3</f>
        <v>0</v>
      </c>
      <c r="E58" s="256">
        <f>+D58/D$61</f>
        <v>0</v>
      </c>
      <c r="F58" s="259">
        <f>F34/$A34*3</f>
        <v>0</v>
      </c>
      <c r="G58" s="256">
        <f>+F58/F$61</f>
        <v>0</v>
      </c>
      <c r="H58" s="259">
        <f>H34/$A34*3</f>
        <v>0</v>
      </c>
      <c r="I58" s="256">
        <f>+H58/H$61</f>
        <v>0</v>
      </c>
      <c r="J58" s="259">
        <f>J34/$A34*3</f>
        <v>0</v>
      </c>
      <c r="K58" s="256">
        <f>+J58/J$61</f>
        <v>0</v>
      </c>
      <c r="L58" s="259">
        <f>L34/$A34*3</f>
        <v>0</v>
      </c>
      <c r="M58" s="256">
        <f>+L58/L$61</f>
        <v>0</v>
      </c>
      <c r="N58" s="259">
        <f>N34/$A34*3</f>
        <v>100000</v>
      </c>
      <c r="O58" s="256">
        <f>+N58/N$61</f>
        <v>5.246934420684469E-3</v>
      </c>
      <c r="P58" s="259">
        <f>P34/$A34*3</f>
        <v>210410.25333333333</v>
      </c>
      <c r="Q58" s="256">
        <f>+P58/P$61</f>
        <v>9.9376735368043537E-3</v>
      </c>
      <c r="R58" s="259">
        <f>R34/$A34*3</f>
        <v>111388.88666666669</v>
      </c>
      <c r="S58" s="256">
        <f>+R58/R$61</f>
        <v>5.0628422356339912E-3</v>
      </c>
      <c r="T58" s="259">
        <f>T34/$A34*3</f>
        <v>284314.81</v>
      </c>
      <c r="U58" s="256">
        <f>+T58/T$61</f>
        <v>1.1711139124717787E-2</v>
      </c>
      <c r="V58" s="259">
        <f>V34/$A34*3</f>
        <v>325574.06666666665</v>
      </c>
      <c r="W58" s="256">
        <f>+V58/V$61</f>
        <v>1.1933675773126247E-2</v>
      </c>
      <c r="X58" s="259">
        <f>X34/$A34*3</f>
        <v>290351.84000000003</v>
      </c>
      <c r="Y58" s="256">
        <f>+X58/X$61</f>
        <v>1.0855916796688587E-2</v>
      </c>
      <c r="Z58" s="259">
        <f>Z34/$A34*3</f>
        <v>802091.8600000001</v>
      </c>
      <c r="AA58" s="256">
        <f>+Z58/Z$61</f>
        <v>2.9374215395199375E-2</v>
      </c>
      <c r="AB58" s="259">
        <f>AB34/$A34*3</f>
        <v>768567.21</v>
      </c>
      <c r="AC58" s="256">
        <f>+AB58/AB$61</f>
        <v>2.5715706986432153E-2</v>
      </c>
      <c r="AD58" s="259">
        <f>AD34/$A34*3</f>
        <v>1745783.4933333336</v>
      </c>
      <c r="AE58" s="256">
        <f>+AD58/AD$61</f>
        <v>5.5973071263460975E-2</v>
      </c>
      <c r="AF58" s="259">
        <f>AF34/$A34*3</f>
        <v>1882592.7533333334</v>
      </c>
      <c r="AG58" s="256">
        <f>+AF58/AF$61</f>
        <v>5.4490654086715468E-2</v>
      </c>
      <c r="AH58" s="259">
        <f>AH34/$A34*3</f>
        <v>1855796.4766666666</v>
      </c>
      <c r="AI58" s="256">
        <f>+AH58/AH$61</f>
        <v>5.0240509885100537E-2</v>
      </c>
      <c r="AJ58" s="259">
        <f>AJ34/$A34*3</f>
        <v>2027165.2300000002</v>
      </c>
      <c r="AK58" s="256">
        <f>+AJ58/AJ$61</f>
        <v>4.8503429311674971E-2</v>
      </c>
      <c r="AL58" s="259">
        <f>AL34/$A34*3</f>
        <v>3305054.2566666668</v>
      </c>
      <c r="AM58" s="256">
        <f>+AL58/AL$61</f>
        <v>7.1963086688571043E-2</v>
      </c>
      <c r="AN58" s="259">
        <f>AN34/$A34*3</f>
        <v>3856074.84</v>
      </c>
      <c r="AO58" s="256">
        <f>+AN58/AN$61</f>
        <v>6.9409939122229453E-2</v>
      </c>
      <c r="AP58" s="259">
        <f>AP34/$A34*3</f>
        <v>3771216.3899999997</v>
      </c>
      <c r="AQ58" s="256">
        <f>+AP58/AP$61</f>
        <v>6.4951302075095502E-2</v>
      </c>
      <c r="AR58" s="259">
        <f>AR34/$A34*3</f>
        <v>4806830.8166666673</v>
      </c>
      <c r="AS58" s="256">
        <f>+AR58/AR$61</f>
        <v>7.8870522958090938E-2</v>
      </c>
      <c r="AT58" s="259">
        <f>AT34/$A34*3</f>
        <v>6863074.833333334</v>
      </c>
      <c r="AU58" s="256">
        <f>+AT58/AT$61</f>
        <v>9.9254126647464413E-2</v>
      </c>
      <c r="AV58" s="259">
        <f>AV34/$A34*3</f>
        <v>6987673.6066666665</v>
      </c>
      <c r="AW58" s="256">
        <f>+AV58/AV$61</f>
        <v>0.10561615343306645</v>
      </c>
      <c r="AX58" s="259">
        <f>AX34/$A34*3</f>
        <v>6858220.496666668</v>
      </c>
      <c r="AY58" s="256">
        <f>+AX58/AX$61</f>
        <v>0.11351048858311975</v>
      </c>
      <c r="AZ58" s="259">
        <f>AZ34/$A34*3</f>
        <v>7215774.7766666673</v>
      </c>
      <c r="BA58" s="256">
        <f>+AZ58/AZ$61</f>
        <v>0.12098839202332529</v>
      </c>
      <c r="BB58" s="259">
        <f>BB34/$A34*3</f>
        <v>7740866.0666666692</v>
      </c>
      <c r="BC58" s="256">
        <f>+BB58/BB$61</f>
        <v>0.12903042483195235</v>
      </c>
      <c r="BD58" s="259">
        <f>BD34/$A34*3</f>
        <v>7899812.9933333341</v>
      </c>
      <c r="BE58" s="256">
        <f>+BD58/BD$61</f>
        <v>0.13830314961173942</v>
      </c>
      <c r="BF58" s="259">
        <f>BF34/$A34*3</f>
        <v>9039788.6966666654</v>
      </c>
      <c r="BG58" s="256">
        <f>+BF58/BF$61</f>
        <v>0.15523205928769745</v>
      </c>
      <c r="BH58" s="259">
        <f>BH34/$A34*3</f>
        <v>10728913.276666667</v>
      </c>
      <c r="BI58" s="256">
        <f>+BH58/BH$61</f>
        <v>0.17978518047977537</v>
      </c>
      <c r="BJ58" s="259">
        <f>BJ34/$A34*3</f>
        <v>14011871.400000002</v>
      </c>
      <c r="BK58" s="256">
        <f>+BJ58/BJ$61</f>
        <v>0.2164939499789949</v>
      </c>
      <c r="BL58" s="259">
        <f>BL34/$A34*3</f>
        <v>16722091.080000004</v>
      </c>
      <c r="BM58" s="256">
        <f>+BL58/BL$61</f>
        <v>0.22623347600118482</v>
      </c>
      <c r="BN58" s="259">
        <f>BN34/$A34*3</f>
        <v>16260047.483333331</v>
      </c>
      <c r="BO58" s="256">
        <f>+BN58/BN$61</f>
        <v>0.22785540827648781</v>
      </c>
      <c r="BP58" s="259">
        <f>BP34/$A34*3</f>
        <v>16253254.613333337</v>
      </c>
      <c r="BQ58" s="256">
        <f>+BP58/BP$61</f>
        <v>0.21787205577953392</v>
      </c>
      <c r="BR58" s="259">
        <f>BR34/$A34*3</f>
        <v>16745371.456666678</v>
      </c>
      <c r="BS58" s="256">
        <f>+BR58/BR$61</f>
        <v>0.20917967285137468</v>
      </c>
      <c r="BT58" s="259">
        <f>BT34/$A34*3</f>
        <v>18272878.563333336</v>
      </c>
      <c r="BU58" s="256" t="e">
        <f>+BT58/BT$61</f>
        <v>#REF!</v>
      </c>
      <c r="BV58" s="259">
        <f>BV34/$A34*3</f>
        <v>18611438.156666666</v>
      </c>
      <c r="BW58" s="256" t="e">
        <f>+BV58/BV$61</f>
        <v>#REF!</v>
      </c>
      <c r="BX58" s="259">
        <f>BX34/$A34*3</f>
        <v>23001915.136666659</v>
      </c>
      <c r="BY58" s="256" t="e">
        <f>+BX58/BX$61</f>
        <v>#REF!</v>
      </c>
      <c r="BZ58" s="259">
        <f>BZ34/$A34*3</f>
        <v>22519079.743333347</v>
      </c>
      <c r="CA58" s="256" t="e">
        <f>+BZ58/BZ$61</f>
        <v>#REF!</v>
      </c>
      <c r="CB58" s="259">
        <f>CB34/$A34*3</f>
        <v>21647144.056666669</v>
      </c>
      <c r="CC58" s="256" t="e">
        <f>+CB58/CB$61</f>
        <v>#REF!</v>
      </c>
      <c r="CD58" s="259">
        <f>CD34/$A34*3</f>
        <v>23559416.85333335</v>
      </c>
      <c r="CE58" s="256">
        <f>+CD58/CD$61</f>
        <v>0.21193277019101645</v>
      </c>
      <c r="CF58" s="259">
        <f>CF34/$A34*3</f>
        <v>24847741.543333322</v>
      </c>
      <c r="CG58" s="256">
        <f>+CF58/CF$61</f>
        <v>0.20904761343670672</v>
      </c>
      <c r="CH58" s="259">
        <f>CH34/$A34*3</f>
        <v>26295542.130000003</v>
      </c>
      <c r="CI58" s="256">
        <f>+CH58/CH$61</f>
        <v>0.20610512435284992</v>
      </c>
      <c r="CJ58" s="329"/>
      <c r="CK58" s="259">
        <f>IF(CK41&gt;$A34,CK34,CK34/$A34*$CK$41)</f>
        <v>26146980.453333333</v>
      </c>
      <c r="CL58" s="256">
        <f>+CK58/CK$61</f>
        <v>0.18921026754224371</v>
      </c>
      <c r="CM58" s="329"/>
      <c r="CN58" s="259">
        <f>IF(CN41&gt;$A34,CN34,CN34/$A34*$CN$41)</f>
        <v>84690153.840000033</v>
      </c>
      <c r="CO58" s="256">
        <f>+CN58/CN$61</f>
        <v>0.23976286712444275</v>
      </c>
      <c r="CP58" s="329"/>
      <c r="CQ58" s="259">
        <f>IF(CQ41&gt;$A34,CQ34,CQ34/$A34*$CQ$41)</f>
        <v>82008434.010000378</v>
      </c>
      <c r="CR58" s="256">
        <f>+CQ58/CQ$61</f>
        <v>0.21185360441863113</v>
      </c>
      <c r="CS58" s="329"/>
      <c r="CT58" s="259">
        <f>IF(CT41&gt;$A34,CT34,CT34/$A34*$CT$41)</f>
        <v>86500812.850000411</v>
      </c>
      <c r="CU58" s="256">
        <f>+CT58/CT$61</f>
        <v>0.19522677915126918</v>
      </c>
      <c r="CV58" s="198"/>
      <c r="CW58" s="259">
        <f>IF(CW41&gt;$A34,CW34,CW34/$A34*$CW$41)</f>
        <v>88741489.340000018</v>
      </c>
      <c r="CX58" s="256">
        <f>+CW58/CW$61</f>
        <v>0.19285942722937419</v>
      </c>
      <c r="CY58" s="442"/>
      <c r="CZ58" s="259">
        <f>IF(CZ41&gt;$A34,CZ34,CZ34/$A34*$CZ$41)</f>
        <v>91562845.909999967</v>
      </c>
      <c r="DA58" s="256">
        <f>+CZ58/CZ$61</f>
        <v>0.19310542042639425</v>
      </c>
      <c r="DB58" s="442"/>
      <c r="DC58" s="259">
        <f>IF(DC41&gt;$A34,DC34,DC34/$A34*$DC$41)</f>
        <v>96591716.830000594</v>
      </c>
      <c r="DD58" s="256">
        <f>+DC58/DC$61</f>
        <v>0.19268616412154516</v>
      </c>
      <c r="DE58" s="442"/>
      <c r="DF58" s="259">
        <f>IF(DF41&gt;$A34,DF34,DF34/$A34*$DF$41)</f>
        <v>100526327</v>
      </c>
      <c r="DG58" s="256">
        <f>+DF58/DF$61</f>
        <v>0.18815202789375529</v>
      </c>
      <c r="DH58" s="442"/>
      <c r="DI58" s="259">
        <f>IF(DI41&gt;$A34,DI34,DI34/$A34*$DI$41)</f>
        <v>100504331.37000063</v>
      </c>
      <c r="DJ58" s="256">
        <f>+DI58/DI$61</f>
        <v>0.18128980515454585</v>
      </c>
      <c r="DK58" s="442"/>
      <c r="DL58" s="259">
        <f>IF(DL41&gt;$A34,DL34,DL34/$A34*$DL$41)</f>
        <v>100145783.81000006</v>
      </c>
      <c r="DM58" s="568">
        <f>+DL58/DL$61</f>
        <v>0.1735387446894239</v>
      </c>
      <c r="DN58" s="442"/>
      <c r="DO58" s="259">
        <f>IF(DO41&gt;$A34,DO34,DO34/$A34*$DO$41)</f>
        <v>101119760.11000061</v>
      </c>
      <c r="DP58" s="568">
        <f>+DO58/DO$61</f>
        <v>0.16532107757508288</v>
      </c>
      <c r="DQ58" s="442"/>
      <c r="DR58" s="259">
        <f>IF(DR41&gt;$A34,DR34,DR34/$A34*$DR$41)</f>
        <v>105477466.36999996</v>
      </c>
      <c r="DS58" s="568">
        <f>+DR58/DR$61</f>
        <v>0.1694395312078692</v>
      </c>
      <c r="DT58" s="442"/>
      <c r="DU58" s="259">
        <f>IF(DU41&gt;$A34,DU34,DU34/$A34*$DU$41)</f>
        <v>119663156.93999979</v>
      </c>
      <c r="DV58" s="568">
        <f>+DU58/DU$61</f>
        <v>0.17403061497502151</v>
      </c>
      <c r="DW58" s="442"/>
      <c r="DX58" s="498">
        <f>IF(DX41&gt;$A34,DX34,DX34/$A34*$DX$41)</f>
        <v>126220329.01066689</v>
      </c>
      <c r="DY58" s="609">
        <f>+DX58/DX$61</f>
        <v>0.18807951532589764</v>
      </c>
      <c r="DZ58" s="626"/>
      <c r="EA58" s="498">
        <f>IF(EA41&gt;$A34,EA34,EA34/$A34*$EA$41)</f>
        <v>132702364.9000006</v>
      </c>
      <c r="EB58" s="609">
        <f>+EA58/EA$61</f>
        <v>0.18980495456924673</v>
      </c>
      <c r="EC58" s="626"/>
      <c r="ED58" s="498">
        <f>IF(ED41&gt;$A34,ED34,ED34/$A34*$ED41)</f>
        <v>150841916.91000003</v>
      </c>
      <c r="EE58" s="609">
        <f>+ED58/ED$61</f>
        <v>0.20383642562553994</v>
      </c>
      <c r="EF58" s="626"/>
      <c r="EG58" s="259">
        <f>IF(EG41&gt;$A34,EG34,EG34/$A34*EG41)</f>
        <v>172386747.03000066</v>
      </c>
      <c r="EH58" s="256">
        <f>+EG58/EG$61</f>
        <v>0.21563195506471314</v>
      </c>
      <c r="EI58" s="442"/>
      <c r="EJ58" s="259">
        <f>IF(EJ41&gt;$A34,EJ34,EJ34/$A34*EJ41)</f>
        <v>189904867.69000006</v>
      </c>
      <c r="EK58" s="256">
        <f>+EJ58/EJ$61</f>
        <v>0.22617959258526379</v>
      </c>
      <c r="EL58" s="442"/>
      <c r="EM58" s="259">
        <f>IF(EM41&gt;$A34,EM34,EM34/$A34*EM$41)</f>
        <v>204145720.83999977</v>
      </c>
      <c r="EN58" s="256">
        <f>+EM58/EM$61</f>
        <v>0.22918511438426814</v>
      </c>
      <c r="EO58" s="442"/>
      <c r="EP58" s="259">
        <f>IF(EP41&gt;$A34,EP34,EP34/$A34*$EP$41)</f>
        <v>225883958.43000048</v>
      </c>
      <c r="EQ58" s="256">
        <f>+EP58/EP$61</f>
        <v>0.23866728934234827</v>
      </c>
      <c r="ER58" s="442"/>
      <c r="ES58" s="259">
        <f>IF(ES41&gt;$A34,ES34,ES34/$A34*$DI$41)</f>
        <v>230372155.83999994</v>
      </c>
      <c r="ET58" s="256">
        <f>+ES58/ES$61</f>
        <v>0.23147350299655453</v>
      </c>
      <c r="EU58" s="442"/>
      <c r="EV58" s="259">
        <f>IF(EV41&gt;$A34,EV34,EV34/$A34*$EV$41)</f>
        <v>258896965.93000013</v>
      </c>
      <c r="EW58" s="568">
        <f>+EV58/EV$61</f>
        <v>0.23969989499906239</v>
      </c>
      <c r="EX58" s="442"/>
      <c r="EY58" s="259">
        <f>IF(EY41&gt;$A34,EY34,EY34/$A34*$EY$41)</f>
        <v>268086323.77999979</v>
      </c>
      <c r="EZ58" s="568">
        <f>+EY58/EY$61</f>
        <v>0.25898793313485741</v>
      </c>
      <c r="FA58" s="442"/>
      <c r="FB58" s="259">
        <f>IF(FB41&gt;$A34,FB34,FB34/$A34*$DR$41)</f>
        <v>288513910.44999999</v>
      </c>
      <c r="FC58" s="568">
        <f>+FB58/FB$61</f>
        <v>0.23979873406586524</v>
      </c>
      <c r="FD58" s="442"/>
      <c r="FE58" s="259">
        <f>IF(FE41&gt;$A34,FE34,FE34/$A34*$FE$41)</f>
        <v>311436159.17000073</v>
      </c>
      <c r="FF58" s="568">
        <f>+FE58/FE$61</f>
        <v>0.26086690028950649</v>
      </c>
      <c r="FG58" s="442"/>
      <c r="FH58" s="498">
        <f>IF(FH41&gt;$A34,FH34,FH34/$A34*$FH$41)</f>
        <v>33813961.590000018</v>
      </c>
      <c r="FI58" s="609">
        <f>+FH58/FH$61</f>
        <v>0.2386175249618242</v>
      </c>
      <c r="FJ58" s="626"/>
      <c r="FK58" s="498">
        <f>IF(FK41&gt;$A34,FK34,FK34/$A34*$FK$41)</f>
        <v>101370924.45333347</v>
      </c>
      <c r="FL58" s="609">
        <f>+FK58/FK$61</f>
        <v>0.22392990555468265</v>
      </c>
      <c r="FM58" s="626"/>
      <c r="FN58" s="498">
        <f>IF(FN41&gt;$A34,FN34,FN34/$A34*$FN$41)</f>
        <v>317473422.89999944</v>
      </c>
      <c r="FO58" s="609">
        <f>+FN58/FN$61</f>
        <v>0.1988298818500808</v>
      </c>
      <c r="FP58" s="626"/>
      <c r="FQ58" s="498">
        <f>IF(FQ41&gt;$A34,FQ34,FQ34/$A34*$FQ$41)</f>
        <v>330670537.2499994</v>
      </c>
      <c r="FR58" s="609">
        <f>+FQ58/FQ$61</f>
        <v>0.22624451311576529</v>
      </c>
      <c r="FS58" s="626"/>
      <c r="FT58" s="498">
        <f>IF(FT41&gt;$A34,FT34,FT34/$A34*$FT$41)</f>
        <v>327458728.9399994</v>
      </c>
      <c r="FU58" s="609">
        <f>+FT58/FT$61</f>
        <v>0.21884484076458158</v>
      </c>
      <c r="FV58" s="626"/>
      <c r="FW58" s="498">
        <f>IF(FW41&gt;$A34,FW34,FW34/$A34*$FW$41)</f>
        <v>316454023.7100001</v>
      </c>
      <c r="FX58" s="609">
        <f>+FW58/FW$61</f>
        <v>0.20711822094862387</v>
      </c>
      <c r="FY58" s="626"/>
      <c r="FZ58" s="498">
        <f>IF(FZ41&gt;$A34,FZ34,FZ34/$A34*$FZ$41)</f>
        <v>317115021.90999979</v>
      </c>
      <c r="GA58" s="609">
        <f>+FZ58/FZ$61</f>
        <v>0.17474369866753342</v>
      </c>
      <c r="GB58" s="626"/>
      <c r="GC58" s="498">
        <f>IF(GC41&gt;$A34,GC34,GC34/$A34*$GC$41)</f>
        <v>310649813.8799988</v>
      </c>
      <c r="GD58" s="609">
        <f>+GC58/GC$61</f>
        <v>0.19912849095551033</v>
      </c>
      <c r="GE58" s="498">
        <v>104547458.37666658</v>
      </c>
      <c r="GF58" s="609">
        <f>+GE58/GE$61</f>
        <v>0.1904951284599824</v>
      </c>
      <c r="GG58" s="498">
        <f>IF(GG41&gt;$A34,GG34,GG34/$A34*$GM$41)</f>
        <v>591186538</v>
      </c>
      <c r="GH58" s="609">
        <f>+GG58/GG$61</f>
        <v>0.18991100986416667</v>
      </c>
      <c r="GI58" s="498">
        <f>IF(GI41&gt;$A34,GI34,GI34/$A34*$GM$41)</f>
        <v>595074024.21999669</v>
      </c>
      <c r="GJ58" s="609">
        <f>+GI58/GI$61</f>
        <v>0.17919162974564928</v>
      </c>
      <c r="GK58" s="498">
        <f>IF(GK41&gt;$A34,GK34,GK34/$A34*$GM$41)</f>
        <v>595074024.21999669</v>
      </c>
      <c r="GL58" s="609">
        <f>+GK58/GK$61</f>
        <v>0.17736629430433234</v>
      </c>
      <c r="GM58" s="498">
        <f>IF(GM41&gt;$A34,GM34,GM34/$A34*$GM$41)</f>
        <v>259270174.52999994</v>
      </c>
      <c r="GN58" s="609">
        <f>+GM58/GM$61</f>
        <v>0.13046127221398479</v>
      </c>
      <c r="GO58" s="498">
        <f>IF(GO41&gt;$A34,GO34,GO34/$A34*$GO$41)</f>
        <v>265683568.51999998</v>
      </c>
      <c r="GP58" s="609">
        <f>+GO58/GO$61</f>
        <v>0.13359726939375341</v>
      </c>
      <c r="GQ58" s="498">
        <f>IF(GQ41&gt;$A34,GQ34,GQ34/$A34*$GQ$41)</f>
        <v>255828534.57000005</v>
      </c>
      <c r="GR58" s="609">
        <f>+GQ58/GQ$61</f>
        <v>0.1535866649582032</v>
      </c>
      <c r="GS58" s="626"/>
      <c r="GT58" s="498">
        <f>IF(GT41&gt;$A34,GT34,GT34/$A34*$GT$41)</f>
        <v>25588254.191111103</v>
      </c>
      <c r="GU58" s="609">
        <f>+GT58/GT$61</f>
        <v>0.10723251418172067</v>
      </c>
      <c r="GV58" s="626"/>
      <c r="GW58" s="1048">
        <f>IF(GW41&gt;$A34,GW34,GW34/$A34*$GW$41)</f>
        <v>212766802.65999991</v>
      </c>
      <c r="GX58" s="609">
        <f>+GW58/GW$61</f>
        <v>0.13890628393832913</v>
      </c>
      <c r="GY58" s="626"/>
      <c r="GZ58" s="1048">
        <f>IF(GZ41&gt;$A34,GZ34,GZ34/$A34*$GZ$41)</f>
        <v>22219774.964444444</v>
      </c>
      <c r="HA58" s="609">
        <f>+GZ58/GZ$61</f>
        <v>0.100932846403979</v>
      </c>
      <c r="HB58" s="626"/>
      <c r="HC58" s="1067">
        <f>IF(HC42&gt;$A34,HC34,HC34/$A34*$HC$41)</f>
        <v>186292013.09999999</v>
      </c>
      <c r="HD58" s="609">
        <f>+HC58/HC$61</f>
        <v>0.11541562078499341</v>
      </c>
      <c r="HE58" s="626"/>
      <c r="HF58" s="421">
        <f>IF(HF41&gt;$A34,HF34,HF34/$A34*$HF$41)</f>
        <v>181913238.94999993</v>
      </c>
      <c r="HG58" s="609">
        <f>+HF58/HF$61</f>
        <v>0.11249963424753412</v>
      </c>
      <c r="HH58" s="626"/>
      <c r="HI58" s="421">
        <f>IF(HI41&gt;$A34,HI34,HI34/$A34*$HF$41)</f>
        <v>180570572.86764139</v>
      </c>
      <c r="HJ58" s="609">
        <f>+HI58/HI$61</f>
        <v>0.1147888846521409</v>
      </c>
      <c r="HK58" s="626"/>
      <c r="HL58" s="421">
        <f>IF(HL41&gt;$A34,HL34,HL34/$A34*$HL$41)</f>
        <v>179217622.59328455</v>
      </c>
      <c r="HM58" s="609">
        <f>+HL58/HL$61</f>
        <v>0.113780866612905</v>
      </c>
      <c r="HN58" s="626"/>
      <c r="HO58" s="421">
        <f>IF(HO41&gt;$A34,HO34,HO34/$A34*$HO$41)</f>
        <v>162513515.58087724</v>
      </c>
      <c r="HP58" s="609">
        <f>+HO58/HO$61</f>
        <v>0.10542872756807205</v>
      </c>
      <c r="HQ58" s="626"/>
      <c r="HR58" s="421">
        <f>IF(HR41&gt;$A34,HR34,HR34/$A34*$HO$41)</f>
        <v>161295860.33395609</v>
      </c>
      <c r="HS58" s="609">
        <f>+HR58/HR$61</f>
        <v>0.10474497706214675</v>
      </c>
      <c r="HT58" s="626"/>
      <c r="HU58" s="421">
        <f>IF(HU41&gt;$A34,HU34,HU34/$A34*$HO$41)</f>
        <v>146262164.02278954</v>
      </c>
      <c r="HV58" s="609">
        <f>+HU58/HU$61</f>
        <v>9.6187309856620579E-2</v>
      </c>
      <c r="HW58" s="626"/>
      <c r="HX58" s="626"/>
      <c r="HY58" s="626"/>
      <c r="HZ58" s="626"/>
      <c r="IA58" s="498">
        <f>IF(IA41&gt;$A34,IA34,IA34/$A34*$ED41)</f>
        <v>150841916.91000003</v>
      </c>
      <c r="IB58" s="609">
        <f>+IA58/IA$61</f>
        <v>0.20383642562553994</v>
      </c>
    </row>
    <row r="59" spans="1:239" ht="14.4" hidden="1" customHeight="1">
      <c r="A59" s="586">
        <v>12</v>
      </c>
      <c r="B59" s="242" t="s">
        <v>447</v>
      </c>
      <c r="D59" s="262">
        <f>D35/$A35*3</f>
        <v>37500</v>
      </c>
      <c r="E59" s="256">
        <f>+D59/D$61</f>
        <v>3.1923066275179098E-3</v>
      </c>
      <c r="F59" s="262">
        <f>F35/$A35*3</f>
        <v>159375</v>
      </c>
      <c r="G59" s="256">
        <f>+F59/F$61</f>
        <v>1.3269626136480582E-2</v>
      </c>
      <c r="H59" s="262">
        <f>H35/$A35*3</f>
        <v>31250</v>
      </c>
      <c r="I59" s="256">
        <f>+H59/H$61</f>
        <v>2.2530347109097413E-3</v>
      </c>
      <c r="J59" s="262">
        <f>J35/$A35*3</f>
        <v>70000</v>
      </c>
      <c r="K59" s="256">
        <f>+J59/J$61</f>
        <v>4.4195261514373297E-3</v>
      </c>
      <c r="L59" s="262">
        <f>L35/$A35*3</f>
        <v>189166.66500000001</v>
      </c>
      <c r="M59" s="256">
        <f>+L59/L$61</f>
        <v>1.1227750810823854E-2</v>
      </c>
      <c r="N59" s="262">
        <f>N35/$A35*3</f>
        <v>434583.33250000002</v>
      </c>
      <c r="O59" s="256">
        <f>+N59/N$61</f>
        <v>2.2802302459500136E-2</v>
      </c>
      <c r="P59" s="262">
        <f>P35/$A35*3</f>
        <v>605448.71750000003</v>
      </c>
      <c r="Q59" s="256">
        <f>+P59/P$61</f>
        <v>2.8595335077421857E-2</v>
      </c>
      <c r="R59" s="262">
        <f>R35/$A35*3</f>
        <v>616722.75750000007</v>
      </c>
      <c r="S59" s="256">
        <f>+R59/R$61</f>
        <v>2.8031252648133654E-2</v>
      </c>
      <c r="T59" s="262">
        <f>T35/$A35*3</f>
        <v>619350.96499999997</v>
      </c>
      <c r="U59" s="256">
        <f>+T59/T$61</f>
        <v>2.5511528288460306E-2</v>
      </c>
      <c r="V59" s="262">
        <f>V35/$A35*3</f>
        <v>548229.1725000001</v>
      </c>
      <c r="W59" s="256">
        <f>+V59/V$61</f>
        <v>2.0094933423191266E-2</v>
      </c>
      <c r="X59" s="262">
        <f>X35/$A35*3</f>
        <v>527379.01500000001</v>
      </c>
      <c r="Y59" s="256">
        <f>+X59/X$61</f>
        <v>1.9718086536526108E-2</v>
      </c>
      <c r="Z59" s="262">
        <f>Z35/$A35*3</f>
        <v>630130.48499999999</v>
      </c>
      <c r="AA59" s="256">
        <f>+Z59/Z$61</f>
        <v>2.3076644355263059E-2</v>
      </c>
      <c r="AB59" s="262">
        <f>AB35/$A35*3</f>
        <v>828316.92500000005</v>
      </c>
      <c r="AC59" s="256">
        <f>+AB59/AB$61</f>
        <v>2.7714889547789192E-2</v>
      </c>
      <c r="AD59" s="262">
        <f>AD35/$A35*3</f>
        <v>632619.04</v>
      </c>
      <c r="AE59" s="256">
        <f>+AD59/AD$61</f>
        <v>2.0282945017960075E-2</v>
      </c>
      <c r="AF59" s="262">
        <f>AF35/$A35*3</f>
        <v>640836.55500000005</v>
      </c>
      <c r="AG59" s="256">
        <f>+AF59/AF$61</f>
        <v>1.8548676012270043E-2</v>
      </c>
      <c r="AH59" s="262">
        <f>AH35/$A35*3</f>
        <v>951315.03750000009</v>
      </c>
      <c r="AI59" s="256">
        <f>+AH59/AH$61</f>
        <v>2.5754199421269986E-2</v>
      </c>
      <c r="AJ59" s="262">
        <f>AJ35/$A35*3</f>
        <v>1021045.04</v>
      </c>
      <c r="AK59" s="256">
        <f>+AJ59/AJ$61</f>
        <v>2.4430266062562815E-2</v>
      </c>
      <c r="AL59" s="262">
        <f>AL35/$A35*3</f>
        <v>1303750.1400000001</v>
      </c>
      <c r="AM59" s="256">
        <f>+AL59/AL$61</f>
        <v>2.8387396108795288E-2</v>
      </c>
      <c r="AN59" s="262">
        <f>AN35/$A35*3</f>
        <v>1231246.9224999999</v>
      </c>
      <c r="AO59" s="256">
        <f>+AN59/AN$61</f>
        <v>2.2162633631653619E-2</v>
      </c>
      <c r="AP59" s="262">
        <f>AP35/$A35*3</f>
        <v>1306299.6599999999</v>
      </c>
      <c r="AQ59" s="256">
        <f>+AP59/AP$61</f>
        <v>2.2498275103554729E-2</v>
      </c>
      <c r="AR59" s="262">
        <f>AR35/$A35*3</f>
        <v>1375311.4575</v>
      </c>
      <c r="AS59" s="256">
        <f>+AR59/AR$61</f>
        <v>2.2566122674252901E-2</v>
      </c>
      <c r="AT59" s="262">
        <f>AT35/$A35*3</f>
        <v>1532823.9750000003</v>
      </c>
      <c r="AU59" s="256">
        <f>+AT59/AT$61</f>
        <v>2.2167775907672459E-2</v>
      </c>
      <c r="AV59" s="262">
        <f>AV35/$A35*3</f>
        <v>1660317.5699999998</v>
      </c>
      <c r="AW59" s="256">
        <f>+AV59/AV$61</f>
        <v>2.5095098181665981E-2</v>
      </c>
      <c r="AX59" s="262">
        <f>AX35/$A35*3</f>
        <v>1599393.33</v>
      </c>
      <c r="AY59" s="256">
        <f>+AX59/AX$61</f>
        <v>2.6471577927994799E-2</v>
      </c>
      <c r="AZ59" s="262">
        <f>AZ35/$A35*3</f>
        <v>1609094.0900000003</v>
      </c>
      <c r="BA59" s="256">
        <f>+AZ59/AZ$61</f>
        <v>2.6980014286597409E-2</v>
      </c>
      <c r="BB59" s="262">
        <f>BB35/$A35*3</f>
        <v>1771698.98</v>
      </c>
      <c r="BC59" s="256">
        <f>+BB59/BB$61</f>
        <v>2.9531976150334878E-2</v>
      </c>
      <c r="BD59" s="262">
        <f>BD35/$A35*3</f>
        <v>1640653.145</v>
      </c>
      <c r="BE59" s="256">
        <f>+BD59/BD$61</f>
        <v>2.872314794861517E-2</v>
      </c>
      <c r="BF59" s="262">
        <f>BF35/$A35*3</f>
        <v>2032537.6575</v>
      </c>
      <c r="BG59" s="256">
        <f>+BF59/BF$61</f>
        <v>3.490291828058556E-2</v>
      </c>
      <c r="BH59" s="262">
        <f>BH35/$A35*3</f>
        <v>2690393.2124999999</v>
      </c>
      <c r="BI59" s="256">
        <f>+BH59/BH$61</f>
        <v>4.5083114831659089E-2</v>
      </c>
      <c r="BJ59" s="262">
        <f>BJ35/$A35*3</f>
        <v>3099165.6150000002</v>
      </c>
      <c r="BK59" s="256">
        <f>+BJ59/BJ$61</f>
        <v>4.7884439306974433E-2</v>
      </c>
      <c r="BL59" s="262">
        <f>BL35/$A35*3</f>
        <v>3648921.5375000001</v>
      </c>
      <c r="BM59" s="256">
        <f>+BL59/BL$61</f>
        <v>4.9366326204952862E-2</v>
      </c>
      <c r="BN59" s="262">
        <f>BN35/$A35*3</f>
        <v>4132154.5</v>
      </c>
      <c r="BO59" s="256">
        <f>+BN59/BN$61</f>
        <v>5.7904735618029737E-2</v>
      </c>
      <c r="BP59" s="262">
        <f>BP35/$A35*3</f>
        <v>4059034.892500001</v>
      </c>
      <c r="BQ59" s="256">
        <f>+BP59/BP$61</f>
        <v>5.4410657898902232E-2</v>
      </c>
      <c r="BR59" s="262">
        <f>BR35/$A35*3</f>
        <v>4459345.5225</v>
      </c>
      <c r="BS59" s="256">
        <f>+BR59/BR$61</f>
        <v>5.5705210239240389E-2</v>
      </c>
      <c r="BT59" s="262">
        <f>BT35/$A35*3</f>
        <v>5592205.4974999996</v>
      </c>
      <c r="BU59" s="256" t="e">
        <f>+BT59/BT$61</f>
        <v>#REF!</v>
      </c>
      <c r="BV59" s="262">
        <f>BV35/$A35*3</f>
        <v>5476788.1049999995</v>
      </c>
      <c r="BW59" s="256" t="e">
        <f>+BV59/BV$61</f>
        <v>#REF!</v>
      </c>
      <c r="BX59" s="262">
        <f>BX35/$A35*3</f>
        <v>5242829.8849999998</v>
      </c>
      <c r="BY59" s="256" t="e">
        <f>+BX59/BX$61</f>
        <v>#REF!</v>
      </c>
      <c r="BZ59" s="262">
        <f>BZ35/$A35*3</f>
        <v>4966865.37</v>
      </c>
      <c r="CA59" s="256" t="e">
        <f>+BZ59/BZ$61</f>
        <v>#REF!</v>
      </c>
      <c r="CB59" s="262">
        <f>CB35/$A35*3</f>
        <v>6057524.1574999997</v>
      </c>
      <c r="CC59" s="256" t="e">
        <f>+CB59/CB$61</f>
        <v>#REF!</v>
      </c>
      <c r="CD59" s="262">
        <f>CD35/$A35*3</f>
        <v>7047955.245000001</v>
      </c>
      <c r="CE59" s="256">
        <f>+CD59/CD$61</f>
        <v>6.3401088768621883E-2</v>
      </c>
      <c r="CF59" s="262">
        <f>CF35/$A35*3</f>
        <v>7976547.8874999993</v>
      </c>
      <c r="CG59" s="256">
        <f>+CF59/CF$61</f>
        <v>6.7107841428464376E-2</v>
      </c>
      <c r="CH59" s="262">
        <f>CH35/$A35*3</f>
        <v>7935105.5549999988</v>
      </c>
      <c r="CI59" s="256">
        <f>+CH59/CH$61</f>
        <v>6.2195558056222691E-2</v>
      </c>
      <c r="CJ59" s="329"/>
      <c r="CK59" s="262">
        <f>IF(CK41&gt;$A35,CK35,CK35/$A35*$CK$41)</f>
        <v>9131677.7475000136</v>
      </c>
      <c r="CL59" s="256">
        <f>+CK59/CK$61</f>
        <v>6.6080563023244332E-2</v>
      </c>
      <c r="CM59" s="329"/>
      <c r="CN59" s="262">
        <f>IF(CN41&gt;$A35,CN35,CN35/$A35*$CN$41)</f>
        <v>35580991.44000002</v>
      </c>
      <c r="CO59" s="256">
        <f>+CN59/CN$61</f>
        <v>0.100731904902449</v>
      </c>
      <c r="CP59" s="329"/>
      <c r="CQ59" s="262">
        <f>IF(CQ41&gt;$A35,CQ35,CQ35/$A35*$CQ$41)</f>
        <v>31811502.315000013</v>
      </c>
      <c r="CR59" s="256">
        <f>+CQ59/CQ$61</f>
        <v>8.2179125949198822E-2</v>
      </c>
      <c r="CS59" s="329"/>
      <c r="CT59" s="262">
        <f>IF(CT41&gt;$A35,CT35,CT35/$A35*$CT$41)</f>
        <v>51033869.799999997</v>
      </c>
      <c r="CU59" s="256">
        <f>+CT59/CT$61</f>
        <v>0.11518016652578979</v>
      </c>
      <c r="CV59" s="198"/>
      <c r="CW59" s="262">
        <f>IF(CW41&gt;$A35,CW35,CW35/$A35*$CW$41)</f>
        <v>47562433.560000002</v>
      </c>
      <c r="CX59" s="256">
        <f>+CW59/CW$61</f>
        <v>0.10336612290641507</v>
      </c>
      <c r="CY59" s="442"/>
      <c r="CZ59" s="262">
        <f>IF(CZ41&gt;$A35,CZ35,CZ35/$A35*$CZ$41)</f>
        <v>52976778.650000006</v>
      </c>
      <c r="DA59" s="256">
        <f>+CZ59/CZ$61</f>
        <v>0.11172766652643989</v>
      </c>
      <c r="DB59" s="442"/>
      <c r="DC59" s="262">
        <f>IF(DC41&gt;$A35,DC35,DC35/$A35*$DC$41)</f>
        <v>60484111.690000013</v>
      </c>
      <c r="DD59" s="256">
        <f>+DC59/DC$61</f>
        <v>0.12065684154218732</v>
      </c>
      <c r="DE59" s="442"/>
      <c r="DF59" s="262">
        <f>IF(DF41&gt;$A35,DF35,DF35/$A35*$DF$41)</f>
        <v>62711992</v>
      </c>
      <c r="DG59" s="256">
        <f>+DF59/DF$61</f>
        <v>0.11737610256124208</v>
      </c>
      <c r="DH59" s="442"/>
      <c r="DI59" s="262">
        <f>IF(DI41&gt;$A35,DI35,DI35/$A35*$DI$41)</f>
        <v>67077820.050000004</v>
      </c>
      <c r="DJ59" s="256">
        <f>+DI59/DI$61</f>
        <v>0.12099503336117874</v>
      </c>
      <c r="DK59" s="442"/>
      <c r="DL59" s="262">
        <f>IF(DL41&gt;$A35,DL35,DL35/$A35*$DL$41)</f>
        <v>74650955</v>
      </c>
      <c r="DM59" s="568">
        <f>+DL59/DL$61</f>
        <v>0.12935974464132224</v>
      </c>
      <c r="DN59" s="442"/>
      <c r="DO59" s="262">
        <f>IF(DO41&gt;$A35,DO35,DO35/$A35*$DO$41)</f>
        <v>85065126.819999993</v>
      </c>
      <c r="DP59" s="568">
        <f>+DO59/DO$61</f>
        <v>0.13907329699601081</v>
      </c>
      <c r="DQ59" s="442"/>
      <c r="DR59" s="262">
        <f>IF(DR41&gt;$A35,DR35,DR35/$A35*$DR$41)</f>
        <v>89431735.599999875</v>
      </c>
      <c r="DS59" s="568">
        <f>+DR59/DR$61</f>
        <v>0.14366358878980429</v>
      </c>
      <c r="DT59" s="442"/>
      <c r="DU59" s="262">
        <f>IF(DU41&gt;$A35,DU35,DU35/$A35*$DU$41)</f>
        <v>100656015.17</v>
      </c>
      <c r="DV59" s="568">
        <f>+DU59/DU$61</f>
        <v>0.14638781617430913</v>
      </c>
      <c r="DW59" s="442"/>
      <c r="DX59" s="262">
        <f>IF(DX41&gt;$A35,DX35,DX35/$A35*$DX$41)</f>
        <v>109880666.87933248</v>
      </c>
      <c r="DY59" s="609">
        <f>+DX59/DX$61</f>
        <v>0.16373196562183542</v>
      </c>
      <c r="DZ59" s="626"/>
      <c r="EA59" s="262">
        <f>IF(EA41&gt;$A35,EA35,EA35/$A35*$EA$41)</f>
        <v>120978179.61000001</v>
      </c>
      <c r="EB59" s="609">
        <f>+EA59/EA$61</f>
        <v>0.17303578502199035</v>
      </c>
      <c r="EC59" s="626"/>
      <c r="ED59" s="262">
        <f>IF(ED41&gt;$A35,ED35,ED35/$A35*$ED41)</f>
        <v>133994182.89999834</v>
      </c>
      <c r="EE59" s="609">
        <f>+ED59/ED$61</f>
        <v>0.18106966456311194</v>
      </c>
      <c r="EF59" s="626"/>
      <c r="EG59" s="262">
        <f>IF(EG41&gt;$A35,EG35,EG35/$A35*EG41)</f>
        <v>163207880.80999994</v>
      </c>
      <c r="EH59" s="256">
        <f>+EG59/EG$61</f>
        <v>0.20415046415896645</v>
      </c>
      <c r="EI59" s="442"/>
      <c r="EJ59" s="262">
        <f>IF(EJ41&gt;$A35,EJ35,EJ35/$A35*EJ41)</f>
        <v>187617797.79000011</v>
      </c>
      <c r="EK59" s="256">
        <f>+EJ59/EJ$61</f>
        <v>0.22345565746717916</v>
      </c>
      <c r="EL59" s="442"/>
      <c r="EM59" s="262">
        <f>IF(EM41&gt;$A35,EM35,EM35/$A35*EM$41)</f>
        <v>196495226.66999993</v>
      </c>
      <c r="EN59" s="256">
        <f>+EM59/EM$61</f>
        <v>0.22059625259361709</v>
      </c>
      <c r="EO59" s="442"/>
      <c r="EP59" s="262">
        <f>IF(EP41&gt;$A35,EP35,EP35/$A35*$EP$41)</f>
        <v>226832445.69</v>
      </c>
      <c r="EQ59" s="256">
        <f>+EP59/EP$61</f>
        <v>0.23966945383819485</v>
      </c>
      <c r="ER59" s="442"/>
      <c r="ES59" s="262">
        <f>IF(ES41&gt;$A35,ES35,ES35/$A35*$DI$41)</f>
        <v>259592370.44999856</v>
      </c>
      <c r="ET59" s="256">
        <f>+ES59/ES$61</f>
        <v>0.26083341157328838</v>
      </c>
      <c r="EU59" s="442"/>
      <c r="EV59" s="262">
        <f>IF(EV41&gt;$A35,EV35,EV35/$A35*$EV$41)</f>
        <v>280166125.60999829</v>
      </c>
      <c r="EW59" s="568">
        <f>+EV59/EV$61</f>
        <v>0.25939195791567565</v>
      </c>
      <c r="EX59" s="442"/>
      <c r="EY59" s="262">
        <f>IF(EY41&gt;$A35,EY35,EY35/$A35*$EY$41)</f>
        <v>233689304.68500009</v>
      </c>
      <c r="EZ59" s="568">
        <f>+EY59/EY$61</f>
        <v>0.2257582899519969</v>
      </c>
      <c r="FA59" s="442"/>
      <c r="FB59" s="262">
        <f>IF(FB41&gt;$A35,FB35,FB35/$A35*$DR$41)</f>
        <v>340989801.15999866</v>
      </c>
      <c r="FC59" s="568">
        <f>+FB59/FB$61</f>
        <v>0.28341414290909728</v>
      </c>
      <c r="FD59" s="442"/>
      <c r="FE59" s="262">
        <f>IF(FE41&gt;$A35,FE35,FE35/$A35*$FE$41)</f>
        <v>303790366.69499797</v>
      </c>
      <c r="FF59" s="568">
        <f>+FE59/FE$61</f>
        <v>0.25446258876535216</v>
      </c>
      <c r="FG59" s="442"/>
      <c r="FH59" s="262">
        <f>IF(FH41&gt;$A35,FH35,FH35/$A35*$FH$41)</f>
        <v>38037594.219999678</v>
      </c>
      <c r="FI59" s="609">
        <f>+FH59/FH$61</f>
        <v>0.26842275088414175</v>
      </c>
      <c r="FJ59" s="626"/>
      <c r="FK59" s="262">
        <f>IF(FK41&gt;$A35,FK35,FK35/$A35*$FK$41)</f>
        <v>134581211.18249992</v>
      </c>
      <c r="FL59" s="609">
        <f>+FK59/FK$61</f>
        <v>0.29729193131118764</v>
      </c>
      <c r="FM59" s="626"/>
      <c r="FN59" s="262">
        <f>IF(FN41&gt;$A35,FN35,FN35/$A35*$FN$41)</f>
        <v>652385797.03000009</v>
      </c>
      <c r="FO59" s="609">
        <f>+FN59/FN$61</f>
        <v>0.40858157435434872</v>
      </c>
      <c r="FP59" s="626"/>
      <c r="FQ59" s="262">
        <f>IF(FQ41&gt;$A35,FQ35,FQ35/$A35*$FQ$41)</f>
        <v>534304400.90999991</v>
      </c>
      <c r="FR59" s="609">
        <f>+FQ59/FQ$61</f>
        <v>0.36557063730205014</v>
      </c>
      <c r="FS59" s="626"/>
      <c r="FT59" s="262">
        <f>IF(FT41&gt;$A35,FT35,FT35/$A35*$FT$41)</f>
        <v>572255891.88749981</v>
      </c>
      <c r="FU59" s="609">
        <f>+FT59/FT$61</f>
        <v>0.38244590376963344</v>
      </c>
      <c r="FV59" s="626"/>
      <c r="FW59" s="262">
        <f>IF(FW41&gt;$A35,FW35,FW35/$A35*$FW$41)</f>
        <v>624941832.05999744</v>
      </c>
      <c r="FX59" s="609">
        <f>+FW59/FW$61</f>
        <v>0.40902257754591503</v>
      </c>
      <c r="FY59" s="626"/>
      <c r="FZ59" s="262">
        <f>IF(FZ41&gt;$A35,FZ35,FZ35/$A35*$FZ$41)</f>
        <v>886157961.25999856</v>
      </c>
      <c r="GA59" s="609">
        <f>+FZ59/FZ$61</f>
        <v>0.48831026301302427</v>
      </c>
      <c r="GB59" s="626"/>
      <c r="GC59" s="262">
        <f>IF(GC41&gt;$A35,GC35,GC35/$A35*$GC$41)</f>
        <v>707189509.29750049</v>
      </c>
      <c r="GD59" s="609">
        <f>+GC59/GC$61</f>
        <v>0.45331293795777777</v>
      </c>
      <c r="GE59" s="262">
        <v>246981607.52249968</v>
      </c>
      <c r="GF59" s="609">
        <f>+GE59/GE$61</f>
        <v>0.45002330791000955</v>
      </c>
      <c r="GG59" s="262">
        <f>IF(GG41&gt;$A35,GG35,GG35/$A35*$GM$41)</f>
        <v>1562769367.3350005</v>
      </c>
      <c r="GH59" s="609">
        <f>+GG59/GG$61</f>
        <v>0.50201939600893752</v>
      </c>
      <c r="GI59" s="262">
        <f>IF(GI41&gt;$A35,GI35,GI35/$A35*$GM$41)</f>
        <v>1669182666.4200022</v>
      </c>
      <c r="GJ59" s="609">
        <f>+GI59/GI$61</f>
        <v>0.50263253001346131</v>
      </c>
      <c r="GK59" s="262">
        <f>IF(GK41&gt;$A35,GK35,GK35/$A35*$GM$41)</f>
        <v>1707335428.7250028</v>
      </c>
      <c r="GL59" s="609">
        <f>+GK59/GK$61</f>
        <v>0.50888418213916098</v>
      </c>
      <c r="GM59" s="262">
        <f>IF(GM41&gt;$A35,GM35,GM35/$A35*$GM$41)</f>
        <v>1091961023.5700002</v>
      </c>
      <c r="GN59" s="609">
        <f>+GM59/GM$61</f>
        <v>0.54946013208527966</v>
      </c>
      <c r="GO59" s="262">
        <f>IF(GO41&gt;$A35,GO35,GO35/$A35*$GO$41)</f>
        <v>1066271553.61</v>
      </c>
      <c r="GP59" s="609">
        <f>+GO59/GO$61</f>
        <v>0.53616777577950891</v>
      </c>
      <c r="GQ59" s="262">
        <f>IF(GQ41&gt;$A35,GQ35,GQ35/$A35*$GQ$41)</f>
        <v>792458779.74000013</v>
      </c>
      <c r="GR59" s="609">
        <f>+GQ59/GQ$61</f>
        <v>0.47575264151705188</v>
      </c>
      <c r="GS59" s="626"/>
      <c r="GT59" s="262">
        <f>IF(GT41&gt;$A35,GT35,GT35/$A35*$GT$41)</f>
        <v>84788940.698333338</v>
      </c>
      <c r="GU59" s="609">
        <f>+GT59/GT$61</f>
        <v>0.35532440853450425</v>
      </c>
      <c r="GV59" s="626"/>
      <c r="GW59" s="1049">
        <f>IF(GW41&gt;$A35,GW35,GW35/$A35*$GW$41)</f>
        <v>698426625.49500024</v>
      </c>
      <c r="GX59" s="609">
        <f>+GW59/GW$61</f>
        <v>0.45597267025781418</v>
      </c>
      <c r="GY59" s="626"/>
      <c r="GZ59" s="1049">
        <f>IF(GZ41&gt;$A35,GZ35,GZ35/$A35*$GZ$41)</f>
        <v>80010938.856666669</v>
      </c>
      <c r="HA59" s="609">
        <f>+GZ59/GZ$61</f>
        <v>0.36344795638932825</v>
      </c>
      <c r="HB59" s="626"/>
      <c r="HC59" s="1068">
        <f>IF(HC41&gt;$A35,HC35,HC35/$A35*$HC$41)</f>
        <v>716413370.51250005</v>
      </c>
      <c r="HD59" s="609">
        <f>+HC59/HC$61</f>
        <v>0.44384776631290634</v>
      </c>
      <c r="HE59" s="626"/>
      <c r="HF59" s="262">
        <f>IF(HF41&gt;$A35,HF35,HF35/$A35*$HF$41)</f>
        <v>720089363.97749996</v>
      </c>
      <c r="HG59" s="609">
        <f>+HF59/HF$61</f>
        <v>0.445321025234861</v>
      </c>
      <c r="HH59" s="626"/>
      <c r="HI59" s="262">
        <f>IF(HI41&gt;$A35,HI35,HI35/$A35*$HF$41)</f>
        <v>736364799.33289897</v>
      </c>
      <c r="HJ59" s="609">
        <f>+HI59/HI$61</f>
        <v>0.46810780223020682</v>
      </c>
      <c r="HK59" s="626"/>
      <c r="HL59" s="262">
        <f>IF(HL41&gt;$A35,HL35,HL35/$A35*$HL$41)</f>
        <v>730847483.07553494</v>
      </c>
      <c r="HM59" s="609">
        <f>+HL59/HL$61</f>
        <v>0.46399711581326786</v>
      </c>
      <c r="HN59" s="626"/>
      <c r="HO59" s="262">
        <f>IF(HO41&gt;$A35,HO35,HO35/$A35*$HO$41)</f>
        <v>731097551.61750007</v>
      </c>
      <c r="HP59" s="609">
        <f>+HO59/HO$61</f>
        <v>0.47429091863320477</v>
      </c>
      <c r="HQ59" s="626"/>
      <c r="HR59" s="262">
        <f>IF(HR41&gt;$A35,HR35,HR35/$A35*$HO$41)</f>
        <v>731097551.61750007</v>
      </c>
      <c r="HS59" s="609">
        <f>+HR59/HR$61</f>
        <v>0.47477223603763674</v>
      </c>
      <c r="HT59" s="626"/>
      <c r="HU59" s="262">
        <f>IF(HU41&gt;$A35,HU35,HU35/$A35*$HO$41)</f>
        <v>731097551.61750007</v>
      </c>
      <c r="HV59" s="609">
        <f>+HU59/HU$61</f>
        <v>0.48079629617603642</v>
      </c>
      <c r="HW59" s="626"/>
      <c r="HX59" s="626"/>
      <c r="HY59" s="626"/>
      <c r="HZ59" s="626"/>
      <c r="IA59" s="262">
        <f>IF(IA41&gt;$A35,IA35,IA35/$A35*$ED41)</f>
        <v>133994182.89999834</v>
      </c>
      <c r="IB59" s="609">
        <f>+IA59/IA$61</f>
        <v>0.18106966456311194</v>
      </c>
    </row>
    <row r="60" spans="1:239" ht="14.4" hidden="1" customHeight="1">
      <c r="A60" s="586">
        <v>18</v>
      </c>
      <c r="B60" s="1003" t="s">
        <v>815</v>
      </c>
      <c r="D60" s="1004"/>
      <c r="E60" s="442"/>
      <c r="F60" s="1004"/>
      <c r="G60" s="442"/>
      <c r="H60" s="1004"/>
      <c r="I60" s="442"/>
      <c r="J60" s="1004"/>
      <c r="K60" s="442"/>
      <c r="L60" s="1004"/>
      <c r="M60" s="442"/>
      <c r="N60" s="1004"/>
      <c r="O60" s="442"/>
      <c r="P60" s="1004"/>
      <c r="Q60" s="442"/>
      <c r="R60" s="1004"/>
      <c r="S60" s="442"/>
      <c r="T60" s="1004"/>
      <c r="U60" s="442"/>
      <c r="V60" s="1004"/>
      <c r="W60" s="442"/>
      <c r="X60" s="1004"/>
      <c r="Y60" s="442"/>
      <c r="Z60" s="1004"/>
      <c r="AA60" s="442"/>
      <c r="AB60" s="1004"/>
      <c r="AC60" s="442"/>
      <c r="AD60" s="1004"/>
      <c r="AE60" s="442"/>
      <c r="AF60" s="1004"/>
      <c r="AG60" s="442"/>
      <c r="AH60" s="1004"/>
      <c r="AI60" s="442"/>
      <c r="AJ60" s="1004"/>
      <c r="AK60" s="442"/>
      <c r="AL60" s="1004"/>
      <c r="AM60" s="442"/>
      <c r="AN60" s="1004"/>
      <c r="AO60" s="442"/>
      <c r="AP60" s="1004"/>
      <c r="AQ60" s="442"/>
      <c r="AR60" s="1004"/>
      <c r="AS60" s="442"/>
      <c r="AT60" s="1004"/>
      <c r="AU60" s="442"/>
      <c r="AV60" s="1004"/>
      <c r="AW60" s="442"/>
      <c r="AX60" s="1004"/>
      <c r="AY60" s="442"/>
      <c r="AZ60" s="1004"/>
      <c r="BA60" s="442"/>
      <c r="BB60" s="1004"/>
      <c r="BC60" s="442"/>
      <c r="BD60" s="1004"/>
      <c r="BE60" s="442"/>
      <c r="BF60" s="1004"/>
      <c r="BG60" s="442"/>
      <c r="BH60" s="1004"/>
      <c r="BI60" s="442"/>
      <c r="BJ60" s="1004"/>
      <c r="BK60" s="442"/>
      <c r="BL60" s="1004"/>
      <c r="BM60" s="442"/>
      <c r="BN60" s="1004"/>
      <c r="BO60" s="442"/>
      <c r="BP60" s="1004"/>
      <c r="BQ60" s="442"/>
      <c r="BR60" s="1004"/>
      <c r="BS60" s="442"/>
      <c r="BT60" s="1004"/>
      <c r="BU60" s="442"/>
      <c r="BV60" s="1004"/>
      <c r="BW60" s="442"/>
      <c r="BX60" s="1004"/>
      <c r="BY60" s="442"/>
      <c r="BZ60" s="1004"/>
      <c r="CA60" s="442"/>
      <c r="CB60" s="1004"/>
      <c r="CC60" s="442"/>
      <c r="CD60" s="1004"/>
      <c r="CE60" s="442"/>
      <c r="CF60" s="1004"/>
      <c r="CG60" s="442"/>
      <c r="CH60" s="1004"/>
      <c r="CI60" s="442"/>
      <c r="CJ60" s="442"/>
      <c r="CK60" s="1004"/>
      <c r="CL60" s="442"/>
      <c r="CM60" s="442"/>
      <c r="CN60" s="1004"/>
      <c r="CO60" s="442"/>
      <c r="CP60" s="442"/>
      <c r="CQ60" s="1004"/>
      <c r="CR60" s="442"/>
      <c r="CS60" s="442"/>
      <c r="CT60" s="1004"/>
      <c r="CU60" s="442"/>
      <c r="CV60" s="198"/>
      <c r="CW60" s="1004"/>
      <c r="CX60" s="442"/>
      <c r="CY60" s="442"/>
      <c r="CZ60" s="1004"/>
      <c r="DA60" s="442"/>
      <c r="DB60" s="442"/>
      <c r="DC60" s="1004"/>
      <c r="DD60" s="442"/>
      <c r="DE60" s="442"/>
      <c r="DF60" s="1004"/>
      <c r="DG60" s="442"/>
      <c r="DH60" s="442"/>
      <c r="DI60" s="1004"/>
      <c r="DJ60" s="442"/>
      <c r="DK60" s="442"/>
      <c r="DL60" s="1004"/>
      <c r="DM60" s="442"/>
      <c r="DN60" s="442"/>
      <c r="DO60" s="1004"/>
      <c r="DP60" s="442"/>
      <c r="DQ60" s="442"/>
      <c r="DR60" s="1004"/>
      <c r="DS60" s="442"/>
      <c r="DT60" s="442"/>
      <c r="DU60" s="1004"/>
      <c r="DV60" s="442"/>
      <c r="DW60" s="442"/>
      <c r="DX60" s="1004"/>
      <c r="DY60" s="626"/>
      <c r="DZ60" s="626"/>
      <c r="EA60" s="1004"/>
      <c r="EB60" s="626"/>
      <c r="EC60" s="626"/>
      <c r="ED60" s="1004"/>
      <c r="EE60" s="626"/>
      <c r="EF60" s="626"/>
      <c r="EG60" s="1004"/>
      <c r="EH60" s="442"/>
      <c r="EI60" s="442"/>
      <c r="EJ60" s="1004"/>
      <c r="EK60" s="442"/>
      <c r="EL60" s="442"/>
      <c r="EM60" s="1004"/>
      <c r="EN60" s="442"/>
      <c r="EO60" s="442"/>
      <c r="EP60" s="1004"/>
      <c r="EQ60" s="442"/>
      <c r="ER60" s="442"/>
      <c r="ES60" s="1004"/>
      <c r="ET60" s="442"/>
      <c r="EU60" s="442"/>
      <c r="EV60" s="1004"/>
      <c r="EW60" s="442"/>
      <c r="EX60" s="442"/>
      <c r="EY60" s="1004"/>
      <c r="EZ60" s="442"/>
      <c r="FA60" s="442"/>
      <c r="FB60" s="1004"/>
      <c r="FC60" s="442"/>
      <c r="FD60" s="442"/>
      <c r="FE60" s="1004"/>
      <c r="FF60" s="442"/>
      <c r="FG60" s="442"/>
      <c r="FH60" s="1004"/>
      <c r="FI60" s="626"/>
      <c r="FJ60" s="626"/>
      <c r="FK60" s="1004"/>
      <c r="FL60" s="626"/>
      <c r="FM60" s="626"/>
      <c r="FN60" s="1004"/>
      <c r="FO60" s="626"/>
      <c r="FP60" s="626"/>
      <c r="FQ60" s="1004"/>
      <c r="FR60" s="626"/>
      <c r="FS60" s="626"/>
      <c r="FT60" s="1004"/>
      <c r="FU60" s="626"/>
      <c r="FV60" s="626"/>
      <c r="FW60" s="1004"/>
      <c r="FX60" s="626"/>
      <c r="FY60" s="626"/>
      <c r="FZ60" s="1004"/>
      <c r="GA60" s="626"/>
      <c r="GB60" s="626"/>
      <c r="GC60" s="1004"/>
      <c r="GD60" s="626"/>
      <c r="GE60" s="1004"/>
      <c r="GF60" s="626"/>
      <c r="GG60" s="1004"/>
      <c r="GH60" s="626"/>
      <c r="GI60" s="1004"/>
      <c r="GJ60" s="626"/>
      <c r="GK60" s="1004"/>
      <c r="GL60" s="626"/>
      <c r="GM60" s="262">
        <f>IF(GM41&gt;$A36,GM36,GM36/$A36*$GM$41)</f>
        <v>64488216.690000013</v>
      </c>
      <c r="GN60" s="626"/>
      <c r="GO60" s="262">
        <f>IF(GO41&gt;$A36,GO36,GO36/$A36*$GO$41)</f>
        <v>67128723.669999987</v>
      </c>
      <c r="GP60" s="626"/>
      <c r="GQ60" s="262">
        <f>IF(GQ41&gt;$A36,GQ36,GQ36/$A36*$GQ$41)</f>
        <v>36708487.294999994</v>
      </c>
      <c r="GR60" s="626"/>
      <c r="GS60" s="626"/>
      <c r="GT60" s="262">
        <f>IF(GT41&gt;$A36,GT36,GT36/$A36*$GT$42)</f>
        <v>0</v>
      </c>
      <c r="GU60" s="626"/>
      <c r="GV60" s="626"/>
      <c r="GW60" s="1049">
        <f>IF(GW41&gt;$A36,GW36,GW36/$A36*$GW$41)</f>
        <v>40878757.050000004</v>
      </c>
      <c r="GX60" s="626"/>
      <c r="GY60" s="626"/>
      <c r="GZ60" s="1049">
        <f>IF(GZ41&gt;$A36,GZ36,GZ36/$A36*$GZ$41)</f>
        <v>4667494.1061111121</v>
      </c>
      <c r="HA60" s="626"/>
      <c r="HB60" s="626"/>
      <c r="HC60" s="1068">
        <f>IF(HC41&gt;$A36,HC36,HC36/$A36*$HC$41)</f>
        <v>42536678.874999993</v>
      </c>
      <c r="HD60" s="626"/>
      <c r="HE60" s="626"/>
      <c r="HF60" s="262">
        <f>IF(HF41&gt;$A36,HF36,HF36/$A36*$HF$41)</f>
        <v>45470474.810000002</v>
      </c>
      <c r="HG60" s="626"/>
      <c r="HH60" s="626"/>
      <c r="HI60" s="262">
        <f>IF(HI41&gt;$A36,HI36,HI36/$A36*$HF$41)</f>
        <v>48057092.479182035</v>
      </c>
      <c r="HJ60" s="626"/>
      <c r="HK60" s="626"/>
      <c r="HL60" s="262">
        <f>IF(HL41&gt;$A36,HL36,HL36/$A36*$HL$41)</f>
        <v>47697017.991839282</v>
      </c>
      <c r="HM60" s="626"/>
      <c r="HN60" s="626"/>
      <c r="HO60" s="262">
        <f>IF(HO41&gt;$A36,HO36,HO36/$A36*$HO$41)</f>
        <v>49058356.869999997</v>
      </c>
      <c r="HP60" s="626"/>
      <c r="HQ60" s="626"/>
      <c r="HR60" s="262">
        <f>IF(HR41&gt;$A36,HR36,HR36/$A36*$HO$41)</f>
        <v>49058356.869999997</v>
      </c>
      <c r="HS60" s="626"/>
      <c r="HT60" s="626"/>
      <c r="HU60" s="262">
        <f>IF(HU41&gt;$A36,HU36,HU36/$A36*$HO$41)</f>
        <v>49058356.869999997</v>
      </c>
      <c r="HV60" s="626"/>
      <c r="HW60" s="626"/>
      <c r="HX60" s="626"/>
      <c r="HY60" s="626"/>
      <c r="HZ60" s="626"/>
      <c r="IA60" s="1004"/>
      <c r="IB60" s="626"/>
    </row>
    <row r="61" spans="1:239" ht="15" hidden="1" customHeight="1" thickBot="1">
      <c r="A61" s="587"/>
      <c r="B61" s="212" t="s">
        <v>399</v>
      </c>
      <c r="D61" s="264">
        <f>SUM(D43:D59)-D56</f>
        <v>11746991.869999999</v>
      </c>
      <c r="E61" s="234"/>
      <c r="F61" s="264">
        <f>SUM(F43:F59)-F56</f>
        <v>12010511.702500008</v>
      </c>
      <c r="G61" s="234"/>
      <c r="H61" s="264">
        <f>SUM(H43:H59)-H56</f>
        <v>13870181.3375</v>
      </c>
      <c r="I61" s="234"/>
      <c r="J61" s="264">
        <f>SUM(J43:J59)-J56</f>
        <v>15838802.080000006</v>
      </c>
      <c r="K61" s="234"/>
      <c r="L61" s="264">
        <f>SUM(L43:L59)-L56</f>
        <v>16848135.32</v>
      </c>
      <c r="M61" s="234"/>
      <c r="N61" s="264">
        <f>SUM(N43:N59)-N56</f>
        <v>19058747.829166669</v>
      </c>
      <c r="O61" s="234"/>
      <c r="P61" s="264">
        <f>SUM(P43:P59)-P56</f>
        <v>21172989.085833333</v>
      </c>
      <c r="Q61" s="234"/>
      <c r="R61" s="264">
        <f>SUM(R43:R59)-R56</f>
        <v>22001255.714166667</v>
      </c>
      <c r="S61" s="234"/>
      <c r="T61" s="264">
        <f>SUM(T43:T59)-T56</f>
        <v>24277297.619999997</v>
      </c>
      <c r="U61" s="234"/>
      <c r="V61" s="264">
        <f>SUM(V43:V59)-V56</f>
        <v>27281960.131666668</v>
      </c>
      <c r="W61" s="234"/>
      <c r="X61" s="264">
        <f>SUM(X43:X59)-X56</f>
        <v>26745952.961666666</v>
      </c>
      <c r="Y61" s="234"/>
      <c r="Z61" s="264">
        <f>SUM(Z43:Z59)-Z56</f>
        <v>27305984.149999999</v>
      </c>
      <c r="AA61" s="234"/>
      <c r="AB61" s="264">
        <f>SUM(AB43:AB59)-AB56</f>
        <v>29887072.924166664</v>
      </c>
      <c r="AC61" s="234"/>
      <c r="AD61" s="264">
        <f>SUM(AD43:AD59)-AD56</f>
        <v>31189703.439999994</v>
      </c>
      <c r="AE61" s="234"/>
      <c r="AF61" s="264">
        <f>SUM(AF43:AF59)-AF56</f>
        <v>34548910.907499999</v>
      </c>
      <c r="AG61" s="234"/>
      <c r="AH61" s="264">
        <f>SUM(AH43:AH59)-AH56</f>
        <v>36938249.251666665</v>
      </c>
      <c r="AI61" s="234"/>
      <c r="AJ61" s="264">
        <f>SUM(AJ43:AJ59)-AJ56</f>
        <v>41794266.070833333</v>
      </c>
      <c r="AK61" s="234"/>
      <c r="AL61" s="264">
        <f>SUM(AL43:AL59)-AL56</f>
        <v>45927077.460833341</v>
      </c>
      <c r="AM61" s="234"/>
      <c r="AN61" s="264">
        <f>SUM(AN43:AN59)-AN56</f>
        <v>55555081.718333349</v>
      </c>
      <c r="AO61" s="234"/>
      <c r="AP61" s="264">
        <f>SUM(AP43:AP59)-AP56</f>
        <v>58062213.835833326</v>
      </c>
      <c r="AQ61" s="234"/>
      <c r="AR61" s="264">
        <f>SUM(AR43:AR59)-AR56</f>
        <v>60945846.894166663</v>
      </c>
      <c r="AS61" s="234"/>
      <c r="AT61" s="264">
        <f>SUM(AT43:AT59)-AT56</f>
        <v>69146493.603333324</v>
      </c>
      <c r="AU61" s="234"/>
      <c r="AV61" s="264">
        <f>SUM(AV43:AV59)-AV56</f>
        <v>66161031.049999937</v>
      </c>
      <c r="AW61" s="234"/>
      <c r="AX61" s="264">
        <f>SUM(AX43:AX59)-AX56</f>
        <v>60419266.820833333</v>
      </c>
      <c r="AY61" s="234"/>
      <c r="AZ61" s="264">
        <f>SUM(AZ43:AZ59)-AZ56</f>
        <v>59640223.793333344</v>
      </c>
      <c r="BA61" s="234"/>
      <c r="BB61" s="264">
        <f>SUM(BB43:BB59)-BB56</f>
        <v>59992564.364166662</v>
      </c>
      <c r="BC61" s="234"/>
      <c r="BD61" s="264">
        <f>SUM(BD43:BD59)-BD56</f>
        <v>57119545.111666664</v>
      </c>
      <c r="BE61" s="234"/>
      <c r="BF61" s="264">
        <f>SUM(BF43:BF59)-BF56</f>
        <v>58234031.927083328</v>
      </c>
      <c r="BG61" s="234"/>
      <c r="BH61" s="264">
        <f>SUM(BH43:BH59)-BH56</f>
        <v>59676293.941666663</v>
      </c>
      <c r="BI61" s="234"/>
      <c r="BJ61" s="264">
        <f>SUM(BJ43:BJ59)-BJ56</f>
        <v>64721768.905595236</v>
      </c>
      <c r="BK61" s="234"/>
      <c r="BL61" s="264">
        <f>SUM(BL43:BL59)-BL56</f>
        <v>73915193.16934523</v>
      </c>
      <c r="BM61" s="234"/>
      <c r="BN61" s="264">
        <f>SUM(BN43:BN59)-BN56</f>
        <v>71361253.201428577</v>
      </c>
      <c r="BO61" s="234"/>
      <c r="BP61" s="264">
        <f>SUM(BP43:BP59)-BP56</f>
        <v>74599996.567619056</v>
      </c>
      <c r="BQ61" s="234"/>
      <c r="BR61" s="264">
        <f>SUM(BR43:BR59)-BR56</f>
        <v>80052575.034690484</v>
      </c>
      <c r="BS61" s="234"/>
      <c r="BT61" s="264" t="e">
        <f>SUM(BT43:BT59)-BT56</f>
        <v>#REF!</v>
      </c>
      <c r="BU61" s="234"/>
      <c r="BV61" s="264" t="e">
        <f>SUM(BV43:BV59)-BV56</f>
        <v>#REF!</v>
      </c>
      <c r="BW61" s="234"/>
      <c r="BX61" s="264" t="e">
        <f>SUM(BX43:BX59)-BX56</f>
        <v>#REF!</v>
      </c>
      <c r="BY61" s="234"/>
      <c r="BZ61" s="264" t="e">
        <f>SUM(BZ43:BZ59)-BZ56</f>
        <v>#REF!</v>
      </c>
      <c r="CA61" s="234"/>
      <c r="CB61" s="264" t="e">
        <f>SUM(CB43:CB59)-CB56</f>
        <v>#REF!</v>
      </c>
      <c r="CC61" s="234"/>
      <c r="CD61" s="264">
        <f>SUM(CD43:CD59)-CD56</f>
        <v>111164577.48416674</v>
      </c>
      <c r="CE61" s="234"/>
      <c r="CF61" s="264">
        <f>SUM(CF43:CF59)-CF56</f>
        <v>118861636.99666663</v>
      </c>
      <c r="CG61" s="234"/>
      <c r="CH61" s="264">
        <f>SUM(CH43:CH59)-CH56</f>
        <v>127583155.50166669</v>
      </c>
      <c r="CI61" s="234"/>
      <c r="CJ61" s="234"/>
      <c r="CK61" s="264">
        <f>SUM(CK43:CK59)-CK56</f>
        <v>138190071.7808333</v>
      </c>
      <c r="CL61" s="234"/>
      <c r="CM61" s="234"/>
      <c r="CN61" s="264">
        <f>SUM(CN43:CN59)-CN56</f>
        <v>353224645.89999998</v>
      </c>
      <c r="CO61" s="234"/>
      <c r="CP61" s="234"/>
      <c r="CQ61" s="264">
        <f>SUM(CQ43:CQ59)-CQ56</f>
        <v>387099545.62750065</v>
      </c>
      <c r="CR61" s="234"/>
      <c r="CS61" s="234"/>
      <c r="CT61" s="264">
        <f>SUM(CT43:CT59)-CT56</f>
        <v>443078624.90000039</v>
      </c>
      <c r="CU61" s="234"/>
      <c r="CV61" s="198"/>
      <c r="CW61" s="264">
        <f>SUM(CW43:CW59)-CW56</f>
        <v>460135605.57999992</v>
      </c>
      <c r="CX61" s="234"/>
      <c r="CY61" s="436"/>
      <c r="CZ61" s="264">
        <f>SUM(CZ43:CZ59)-CZ56</f>
        <v>474159895.18999994</v>
      </c>
      <c r="DA61" s="234"/>
      <c r="DB61" s="436"/>
      <c r="DC61" s="264">
        <f>SUM(DC43:DC59)-DC56</f>
        <v>501290361.30000067</v>
      </c>
      <c r="DD61" s="234"/>
      <c r="DE61" s="436"/>
      <c r="DF61" s="264">
        <f>SUM(DF43:DF59)-DF56</f>
        <v>534282453</v>
      </c>
      <c r="DG61" s="234"/>
      <c r="DH61" s="436"/>
      <c r="DI61" s="264">
        <f>SUM(DI43:DI59)-DI56</f>
        <v>554384904.79000044</v>
      </c>
      <c r="DJ61" s="234"/>
      <c r="DK61" s="436"/>
      <c r="DL61" s="264">
        <f>SUM(DL43:DL59)-DL56</f>
        <v>577080259.45000005</v>
      </c>
      <c r="DM61" s="234"/>
      <c r="DN61" s="436"/>
      <c r="DO61" s="264">
        <f>SUM(DO43:DO59)-DO56</f>
        <v>611656792.91000056</v>
      </c>
      <c r="DP61" s="234"/>
      <c r="DQ61" s="436"/>
      <c r="DR61" s="507">
        <f>SUM(DR43:DR59)-DR56</f>
        <v>622508015.79827154</v>
      </c>
      <c r="DS61" s="234"/>
      <c r="DT61" s="436"/>
      <c r="DU61" s="507">
        <f>SUM(DU43:DU59)-DU56</f>
        <v>687598311.12000012</v>
      </c>
      <c r="DV61" s="234"/>
      <c r="DW61" s="436"/>
      <c r="DX61" s="328">
        <f>SUM(DX43:DX59)-DX56</f>
        <v>671100884.06999934</v>
      </c>
      <c r="DY61" s="580"/>
      <c r="DZ61" s="580"/>
      <c r="EA61" s="328">
        <f>SUM(EA43:EA59)-EA56</f>
        <v>699151216.58000064</v>
      </c>
      <c r="EB61" s="580"/>
      <c r="EC61" s="580"/>
      <c r="ED61" s="328">
        <f>SUM(ED43:ED59)-ED56</f>
        <v>740014530.99999857</v>
      </c>
      <c r="EE61" s="580"/>
      <c r="EF61" s="580"/>
      <c r="EG61" s="264">
        <f>SUM(EG43:EG59)-EG56</f>
        <v>799448982.31000042</v>
      </c>
      <c r="EH61" s="234"/>
      <c r="EI61" s="436"/>
      <c r="EJ61" s="264">
        <f>SUM(EJ43:EJ59)-EJ56</f>
        <v>839619815.03000045</v>
      </c>
      <c r="EK61" s="234"/>
      <c r="EL61" s="436"/>
      <c r="EM61" s="264">
        <f>SUM(EM43:EM59)-EM56</f>
        <v>890745986.65999949</v>
      </c>
      <c r="EN61" s="234"/>
      <c r="EO61" s="436"/>
      <c r="EP61" s="264">
        <f>SUM(EP43:EP59)-EP56</f>
        <v>946438697.36999798</v>
      </c>
      <c r="EQ61" s="234"/>
      <c r="ER61" s="436"/>
      <c r="ES61" s="264">
        <f>SUM(ES43:ES59)-ES56</f>
        <v>995242016.28999853</v>
      </c>
      <c r="ET61" s="234"/>
      <c r="EU61" s="436"/>
      <c r="EV61" s="264">
        <f>SUM(EV43:EV59)-EV56</f>
        <v>1080087940.5099983</v>
      </c>
      <c r="EW61" s="234"/>
      <c r="EX61" s="436"/>
      <c r="EY61" s="264">
        <f>SUM(EY43:EY59)-EY56</f>
        <v>1035130558.15</v>
      </c>
      <c r="EZ61" s="234"/>
      <c r="FA61" s="436"/>
      <c r="FB61" s="507">
        <f>SUM(FB43:FB59)-FB56</f>
        <v>1203150265.049999</v>
      </c>
      <c r="FC61" s="234"/>
      <c r="FD61" s="436"/>
      <c r="FE61" s="507">
        <f>SUM(FE43:FE59)-FE56</f>
        <v>1193850806.0024984</v>
      </c>
      <c r="FF61" s="234"/>
      <c r="FG61" s="436"/>
      <c r="FH61" s="328">
        <f>SUM(FH43:FH59)-FH56</f>
        <v>141707787.78888863</v>
      </c>
      <c r="FI61" s="580"/>
      <c r="FJ61" s="580"/>
      <c r="FK61" s="328">
        <f>SUM(FK43:FK59)-FK56</f>
        <v>452690426.50749993</v>
      </c>
      <c r="FL61" s="580"/>
      <c r="FM61" s="580"/>
      <c r="FN61" s="328">
        <f>SUM(FN43:FN59)-FN56</f>
        <v>1596708804.2599993</v>
      </c>
      <c r="FO61" s="580"/>
      <c r="FP61" s="580"/>
      <c r="FQ61" s="328">
        <f>SUM(FQ43:FQ59)-FQ56</f>
        <v>1461562681.4374993</v>
      </c>
      <c r="FR61" s="580"/>
      <c r="FS61" s="580"/>
      <c r="FT61" s="328">
        <f>SUM(FT43:FT59)-FT56</f>
        <v>1496305454.5675001</v>
      </c>
      <c r="FU61" s="580"/>
      <c r="FV61" s="580"/>
      <c r="FW61" s="328">
        <f>SUM(FW43:FW59)-FW56</f>
        <v>1527890797.1524978</v>
      </c>
      <c r="FX61" s="580"/>
      <c r="FY61" s="580"/>
      <c r="FZ61" s="328">
        <f>SUM(FZ43:FZ59)-FZ56</f>
        <v>1814743675.0399876</v>
      </c>
      <c r="GA61" s="580"/>
      <c r="GB61" s="580"/>
      <c r="GC61" s="328">
        <f>SUM(GC43:GC59)-GC56</f>
        <v>1560047044.9474998</v>
      </c>
      <c r="GD61" s="580"/>
      <c r="GE61" s="328">
        <v>548819590.41083312</v>
      </c>
      <c r="GF61" s="580"/>
      <c r="GG61" s="328">
        <f>SUM(GG43:GG59)-GG56</f>
        <v>3112966111.9850006</v>
      </c>
      <c r="GH61" s="580"/>
      <c r="GI61" s="328">
        <f>SUM(GI43:GI59)-GI56</f>
        <v>3320880696.6299992</v>
      </c>
      <c r="GJ61" s="580"/>
      <c r="GK61" s="328">
        <f>SUM(GK43:GK59)-GK56</f>
        <v>3355056982.8049984</v>
      </c>
      <c r="GL61" s="580"/>
      <c r="GM61" s="328">
        <f>SUM(GM43:GM60)-GM56</f>
        <v>1987334402.9999998</v>
      </c>
      <c r="GN61" s="580"/>
      <c r="GO61" s="328">
        <f>SUM(GO43:GO60)-GO56</f>
        <v>1988690111.1500001</v>
      </c>
      <c r="GP61" s="580"/>
      <c r="GQ61" s="328">
        <f>SUM(GQ43:GQ60)-GQ56</f>
        <v>1665694965.3775005</v>
      </c>
      <c r="GR61" s="580"/>
      <c r="GS61" s="580"/>
      <c r="GT61" s="328">
        <f>SUM(GT43:GT60)-GT56</f>
        <v>238624025.43083328</v>
      </c>
      <c r="GU61" s="580"/>
      <c r="GV61" s="580"/>
      <c r="GW61" s="1050">
        <f>SUM(GW43:GW60)-GW56</f>
        <v>1531729138.7225001</v>
      </c>
      <c r="GX61" s="580"/>
      <c r="GY61" s="580"/>
      <c r="GZ61" s="1050">
        <f>SUM(GZ43:GZ60)-GZ56</f>
        <v>220144142.92361113</v>
      </c>
      <c r="HA61" s="580"/>
      <c r="HB61" s="580"/>
      <c r="HC61" s="1069">
        <f>SUM(HC43:HC60)-HC56</f>
        <v>1614097050.5807137</v>
      </c>
      <c r="HD61" s="580"/>
      <c r="HE61" s="580"/>
      <c r="HF61" s="328">
        <f>SUM(HF43:HF60)-HF56</f>
        <v>1617011825.5649998</v>
      </c>
      <c r="HG61" s="580"/>
      <c r="HH61" s="580"/>
      <c r="HI61" s="328">
        <f>SUM(HI43:HI60)-HI56</f>
        <v>1573066707.7639699</v>
      </c>
      <c r="HJ61" s="580"/>
      <c r="HK61" s="580"/>
      <c r="HL61" s="328">
        <f>SUM(HL43:HL60)-HL56</f>
        <v>1575112124.984973</v>
      </c>
      <c r="HM61" s="580"/>
      <c r="HN61" s="580"/>
      <c r="HO61" s="328">
        <f>SUM(HO43:HO60)-HO56</f>
        <v>1541453826.9557254</v>
      </c>
      <c r="HP61" s="580"/>
      <c r="HQ61" s="580"/>
      <c r="HR61" s="328">
        <f>SUM(HR43:HR60)-HR56</f>
        <v>1539891122.7815428</v>
      </c>
      <c r="HS61" s="580"/>
      <c r="HT61" s="580"/>
      <c r="HU61" s="328">
        <f>SUM(HU43:HU60)-HU56</f>
        <v>1520597303.748404</v>
      </c>
      <c r="HV61" s="580"/>
      <c r="HW61" s="580"/>
      <c r="HX61" s="580"/>
      <c r="HY61" s="580"/>
      <c r="HZ61" s="580"/>
      <c r="IA61" s="328">
        <f>SUM(IA43:IA59)-IA56</f>
        <v>740014530.99999857</v>
      </c>
      <c r="IB61" s="580"/>
    </row>
    <row r="62" spans="1:239" ht="14.4" hidden="1" customHeight="1">
      <c r="A62" s="584"/>
      <c r="D62" s="267"/>
      <c r="E62" s="234"/>
      <c r="F62" s="240"/>
      <c r="G62" s="234"/>
      <c r="H62" s="157"/>
      <c r="I62" s="268"/>
      <c r="J62" s="157"/>
      <c r="K62" s="268"/>
      <c r="L62" s="157"/>
      <c r="M62" s="234"/>
      <c r="N62" s="157"/>
      <c r="O62" s="234"/>
      <c r="P62" s="157"/>
      <c r="Q62" s="234"/>
      <c r="R62" s="157"/>
      <c r="S62" s="234"/>
      <c r="T62" s="157"/>
      <c r="U62" s="234"/>
      <c r="V62" s="157"/>
      <c r="W62" s="234"/>
      <c r="X62" s="157"/>
      <c r="Y62" s="234"/>
      <c r="Z62" s="157"/>
      <c r="AA62" s="234"/>
      <c r="AB62" s="157"/>
      <c r="AC62" s="234"/>
      <c r="AD62" s="157"/>
      <c r="AE62" s="234"/>
      <c r="AF62" s="157"/>
      <c r="AG62" s="234"/>
      <c r="AH62" s="157"/>
      <c r="AI62" s="234"/>
      <c r="AJ62" s="157"/>
      <c r="AK62" s="234"/>
      <c r="AL62" s="157"/>
      <c r="AM62" s="234"/>
      <c r="AN62" s="157"/>
      <c r="AO62" s="234"/>
      <c r="AP62" s="157"/>
      <c r="AQ62" s="234"/>
      <c r="AR62" s="157"/>
      <c r="AS62" s="234"/>
      <c r="AT62" s="157"/>
      <c r="AU62" s="234"/>
      <c r="AV62" s="157"/>
      <c r="AW62" s="234"/>
      <c r="AX62" s="157"/>
      <c r="AY62" s="234"/>
      <c r="AZ62" s="157"/>
      <c r="BA62" s="234"/>
      <c r="BB62" s="157"/>
      <c r="BC62" s="234"/>
      <c r="BD62" s="157"/>
      <c r="BE62" s="234"/>
      <c r="BF62" s="157"/>
      <c r="BG62" s="234"/>
      <c r="BH62" s="157"/>
      <c r="BI62" s="234"/>
      <c r="BJ62" s="157"/>
      <c r="BK62" s="234"/>
      <c r="BL62" s="157"/>
      <c r="BM62" s="234"/>
      <c r="BN62" s="157"/>
      <c r="BO62" s="234"/>
      <c r="BP62" s="157"/>
      <c r="BQ62" s="234"/>
      <c r="BR62" s="157"/>
      <c r="BS62" s="234"/>
      <c r="BT62" s="157"/>
      <c r="BU62" s="234"/>
      <c r="BV62" s="157"/>
      <c r="BW62" s="234"/>
      <c r="BX62" s="157"/>
      <c r="BY62" s="234"/>
      <c r="BZ62" s="157"/>
      <c r="CA62" s="234"/>
      <c r="CB62" s="157"/>
      <c r="CC62" s="234"/>
      <c r="CD62" s="157"/>
      <c r="CE62" s="234"/>
      <c r="CF62" s="157"/>
      <c r="CG62" s="234"/>
      <c r="CH62" s="157"/>
      <c r="CI62" s="234"/>
      <c r="CJ62" s="234"/>
      <c r="CK62" s="157"/>
      <c r="CL62" s="234"/>
      <c r="CM62" s="234"/>
      <c r="CN62" s="227"/>
      <c r="CO62" s="234"/>
      <c r="CP62" s="234"/>
      <c r="CQ62" s="157"/>
      <c r="CR62" s="234"/>
      <c r="CS62" s="234"/>
      <c r="CT62" s="157"/>
      <c r="CU62" s="234"/>
      <c r="CV62" s="198"/>
      <c r="CW62" s="157"/>
      <c r="CX62" s="234"/>
      <c r="CY62" s="436"/>
      <c r="CZ62" s="157"/>
      <c r="DA62" s="234"/>
      <c r="DB62" s="436"/>
      <c r="DC62" s="157"/>
      <c r="DD62" s="234"/>
      <c r="DE62" s="436"/>
      <c r="DF62" s="501"/>
      <c r="DG62" s="234"/>
      <c r="DH62" s="436"/>
      <c r="DI62" s="501"/>
      <c r="DJ62" s="234"/>
      <c r="DK62" s="436"/>
      <c r="DL62" s="501"/>
      <c r="DM62" s="234"/>
      <c r="DN62" s="436"/>
      <c r="DO62" s="501"/>
      <c r="DP62" s="234"/>
      <c r="DQ62" s="436"/>
      <c r="DR62" s="501"/>
      <c r="DS62" s="234"/>
      <c r="DT62" s="436"/>
      <c r="DU62" s="501"/>
      <c r="DV62" s="234"/>
      <c r="DW62" s="436"/>
      <c r="DX62" s="511"/>
      <c r="DY62" s="580"/>
      <c r="DZ62" s="580"/>
      <c r="EA62" s="511"/>
      <c r="EB62" s="580"/>
      <c r="EC62" s="580"/>
      <c r="ED62" s="511"/>
      <c r="EE62" s="580"/>
      <c r="EF62" s="580"/>
      <c r="EG62" s="157"/>
      <c r="EH62" s="234"/>
      <c r="EI62" s="436"/>
      <c r="EJ62" s="157"/>
      <c r="EK62" s="234"/>
      <c r="EL62" s="436"/>
      <c r="EM62" s="157"/>
      <c r="EN62" s="234"/>
      <c r="EO62" s="436"/>
      <c r="EP62" s="501"/>
      <c r="EQ62" s="234"/>
      <c r="ER62" s="436"/>
      <c r="ES62" s="501"/>
      <c r="ET62" s="234"/>
      <c r="EU62" s="436"/>
      <c r="EV62" s="501"/>
      <c r="EW62" s="234"/>
      <c r="EX62" s="436"/>
      <c r="EY62" s="501"/>
      <c r="EZ62" s="234"/>
      <c r="FA62" s="436"/>
      <c r="FB62" s="501"/>
      <c r="FC62" s="234"/>
      <c r="FD62" s="436"/>
      <c r="FE62" s="501"/>
      <c r="FF62" s="234"/>
      <c r="FG62" s="436"/>
      <c r="FH62" s="511"/>
      <c r="FI62" s="580"/>
      <c r="FJ62" s="580"/>
      <c r="FK62" s="511"/>
      <c r="FL62" s="580"/>
      <c r="FM62" s="580"/>
      <c r="FN62" s="511"/>
      <c r="FO62" s="580"/>
      <c r="FP62" s="580"/>
      <c r="FQ62" s="511"/>
      <c r="FR62" s="580"/>
      <c r="FS62" s="580"/>
      <c r="FT62" s="511"/>
      <c r="FU62" s="580"/>
      <c r="FV62" s="580"/>
      <c r="FW62" s="511"/>
      <c r="FX62" s="580"/>
      <c r="FY62" s="580"/>
      <c r="FZ62" s="511"/>
      <c r="GA62" s="580"/>
      <c r="GB62" s="580"/>
      <c r="GC62" s="511"/>
      <c r="GD62" s="580"/>
      <c r="GE62" s="511"/>
      <c r="GF62" s="580"/>
      <c r="GG62" s="511"/>
      <c r="GH62" s="580"/>
      <c r="GI62" s="511"/>
      <c r="GJ62" s="580"/>
      <c r="GK62" s="511"/>
      <c r="GL62" s="580"/>
      <c r="GM62" s="511"/>
      <c r="GN62" s="580"/>
      <c r="GO62" s="511"/>
      <c r="GP62" s="580"/>
      <c r="GQ62" s="511"/>
      <c r="GR62" s="580"/>
      <c r="GS62" s="580"/>
      <c r="GT62" s="511"/>
      <c r="GU62" s="580"/>
      <c r="GV62" s="580"/>
      <c r="GW62" s="545"/>
      <c r="GX62" s="580"/>
      <c r="GY62" s="580"/>
      <c r="GZ62" s="545"/>
      <c r="HA62" s="580"/>
      <c r="HB62" s="580"/>
      <c r="HC62" s="1065"/>
      <c r="HD62" s="580"/>
      <c r="HE62" s="580"/>
      <c r="HF62" s="511"/>
      <c r="HG62" s="580"/>
      <c r="HH62" s="580"/>
      <c r="HI62" s="511"/>
      <c r="HJ62" s="580"/>
      <c r="HK62" s="580"/>
      <c r="HL62" s="511"/>
      <c r="HM62" s="580"/>
      <c r="HN62" s="580"/>
      <c r="HO62" s="511"/>
      <c r="HP62" s="580"/>
      <c r="HQ62" s="580"/>
      <c r="HR62" s="511"/>
      <c r="HS62" s="580"/>
      <c r="HT62" s="580"/>
      <c r="HU62" s="511"/>
      <c r="HV62" s="580"/>
      <c r="HW62" s="580"/>
      <c r="HX62" s="580"/>
      <c r="HY62" s="580"/>
      <c r="HZ62" s="580"/>
      <c r="IA62" s="511"/>
      <c r="IB62" s="580"/>
    </row>
    <row r="63" spans="1:239" ht="14.4" hidden="1" customHeight="1">
      <c r="A63" s="584"/>
      <c r="D63" s="267"/>
      <c r="E63" s="234"/>
      <c r="F63" s="240"/>
      <c r="G63" s="234"/>
      <c r="H63" s="157"/>
      <c r="I63" s="268"/>
      <c r="J63" s="157"/>
      <c r="K63" s="268"/>
      <c r="L63" s="157"/>
      <c r="M63" s="234"/>
      <c r="N63" s="157"/>
      <c r="O63" s="234"/>
      <c r="P63" s="157"/>
      <c r="Q63" s="234"/>
      <c r="R63" s="157"/>
      <c r="S63" s="234"/>
      <c r="T63" s="157"/>
      <c r="U63" s="234"/>
      <c r="V63" s="157"/>
      <c r="W63" s="234"/>
      <c r="X63" s="157"/>
      <c r="Y63" s="234"/>
      <c r="Z63" s="157"/>
      <c r="AA63" s="234"/>
      <c r="AB63" s="157"/>
      <c r="AC63" s="234"/>
      <c r="AD63" s="157"/>
      <c r="AE63" s="234"/>
      <c r="AF63" s="157"/>
      <c r="AG63" s="234"/>
      <c r="AH63" s="157"/>
      <c r="AI63" s="234"/>
      <c r="AJ63" s="157"/>
      <c r="AK63" s="234"/>
      <c r="AL63" s="157"/>
      <c r="AM63" s="234"/>
      <c r="AN63" s="157"/>
      <c r="AO63" s="234"/>
      <c r="AP63" s="157"/>
      <c r="AQ63" s="234"/>
      <c r="AR63" s="157"/>
      <c r="AS63" s="234"/>
      <c r="AT63" s="157"/>
      <c r="AU63" s="234"/>
      <c r="AV63" s="157"/>
      <c r="AW63" s="234"/>
      <c r="AX63" s="157"/>
      <c r="AY63" s="234"/>
      <c r="AZ63" s="157"/>
      <c r="BA63" s="234"/>
      <c r="BB63" s="157"/>
      <c r="BC63" s="234"/>
      <c r="BD63" s="157"/>
      <c r="BE63" s="234"/>
      <c r="BF63" s="157"/>
      <c r="BG63" s="234"/>
      <c r="BH63" s="157"/>
      <c r="BI63" s="234"/>
      <c r="BJ63" s="157"/>
      <c r="BK63" s="234"/>
      <c r="BL63" s="157"/>
      <c r="BM63" s="234"/>
      <c r="BN63" s="157"/>
      <c r="BO63" s="234"/>
      <c r="BP63" s="157"/>
      <c r="BQ63" s="234"/>
      <c r="BR63" s="157"/>
      <c r="BS63" s="234"/>
      <c r="BT63" s="157"/>
      <c r="BU63" s="234"/>
      <c r="BV63" s="157"/>
      <c r="BW63" s="234"/>
      <c r="BX63" s="157"/>
      <c r="BY63" s="234"/>
      <c r="BZ63" s="157"/>
      <c r="CA63" s="234"/>
      <c r="CB63" s="157"/>
      <c r="CC63" s="234"/>
      <c r="CD63" s="157"/>
      <c r="CE63" s="234"/>
      <c r="CF63" s="157"/>
      <c r="CG63" s="234"/>
      <c r="CH63" s="157"/>
      <c r="CI63" s="234"/>
      <c r="CJ63" s="234"/>
      <c r="CK63" s="157"/>
      <c r="CL63" s="234"/>
      <c r="CM63" s="234"/>
      <c r="CN63" s="157"/>
      <c r="CO63" s="234"/>
      <c r="CP63" s="234"/>
      <c r="CQ63" s="157"/>
      <c r="CR63" s="234"/>
      <c r="CS63" s="234"/>
      <c r="CT63" s="157"/>
      <c r="CU63" s="234"/>
      <c r="CV63" s="198"/>
      <c r="CW63" s="157"/>
      <c r="CX63" s="234"/>
      <c r="CY63" s="436"/>
      <c r="CZ63" s="157"/>
      <c r="DA63" s="234"/>
      <c r="DB63" s="436"/>
      <c r="DC63" s="157"/>
      <c r="DD63" s="234"/>
      <c r="DE63" s="436"/>
      <c r="DF63" s="501"/>
      <c r="DG63" s="234"/>
      <c r="DH63" s="436"/>
      <c r="DI63" s="501"/>
      <c r="DJ63" s="234"/>
      <c r="DK63" s="436"/>
      <c r="DL63" s="501"/>
      <c r="DM63" s="234"/>
      <c r="DN63" s="436"/>
      <c r="DO63" s="501"/>
      <c r="DP63" s="234"/>
      <c r="DQ63" s="436"/>
      <c r="DR63" s="501"/>
      <c r="DS63" s="234"/>
      <c r="DT63" s="436"/>
      <c r="DU63" s="501"/>
      <c r="DV63" s="234"/>
      <c r="DW63" s="436"/>
      <c r="DX63" s="511"/>
      <c r="DY63" s="580"/>
      <c r="DZ63" s="580"/>
      <c r="EA63" s="511"/>
      <c r="EB63" s="580"/>
      <c r="EC63" s="580"/>
      <c r="ED63" s="511"/>
      <c r="EE63" s="580"/>
      <c r="EF63" s="580"/>
      <c r="EG63" s="157"/>
      <c r="EH63" s="234"/>
      <c r="EI63" s="436"/>
      <c r="EJ63" s="157"/>
      <c r="EK63" s="234"/>
      <c r="EL63" s="436"/>
      <c r="EM63" s="157"/>
      <c r="EN63" s="234"/>
      <c r="EO63" s="436"/>
      <c r="EP63" s="501"/>
      <c r="EQ63" s="234"/>
      <c r="ER63" s="436"/>
      <c r="ES63" s="501"/>
      <c r="ET63" s="234"/>
      <c r="EU63" s="436"/>
      <c r="EV63" s="501"/>
      <c r="EW63" s="234"/>
      <c r="EX63" s="436"/>
      <c r="EY63" s="501"/>
      <c r="EZ63" s="234"/>
      <c r="FA63" s="436"/>
      <c r="FB63" s="501"/>
      <c r="FC63" s="234"/>
      <c r="FD63" s="436"/>
      <c r="FE63" s="501"/>
      <c r="FF63" s="234"/>
      <c r="FG63" s="436"/>
      <c r="FH63" s="511"/>
      <c r="FI63" s="580"/>
      <c r="FJ63" s="580"/>
      <c r="FK63" s="511"/>
      <c r="FL63" s="580"/>
      <c r="FM63" s="580"/>
      <c r="FN63" s="511"/>
      <c r="FO63" s="580"/>
      <c r="FP63" s="580"/>
      <c r="FQ63" s="511"/>
      <c r="FR63" s="580"/>
      <c r="FS63" s="580"/>
      <c r="FT63" s="511"/>
      <c r="FU63" s="580"/>
      <c r="FV63" s="580"/>
      <c r="FW63" s="511"/>
      <c r="FX63" s="580"/>
      <c r="FY63" s="580"/>
      <c r="FZ63" s="511"/>
      <c r="GA63" s="580"/>
      <c r="GB63" s="580"/>
      <c r="GC63" s="511"/>
      <c r="GD63" s="580"/>
      <c r="GE63" s="511"/>
      <c r="GF63" s="580"/>
      <c r="GG63" s="511"/>
      <c r="GH63" s="580"/>
      <c r="GI63" s="511"/>
      <c r="GJ63" s="580"/>
      <c r="GK63" s="511"/>
      <c r="GL63" s="580"/>
      <c r="GM63" s="511"/>
      <c r="GN63" s="580"/>
      <c r="GO63" s="511"/>
      <c r="GP63" s="580"/>
      <c r="GQ63" s="511"/>
      <c r="GR63" s="580"/>
      <c r="GS63" s="580"/>
      <c r="GT63" s="511"/>
      <c r="GU63" s="580"/>
      <c r="GV63" s="580"/>
      <c r="GW63" s="545"/>
      <c r="GX63" s="580"/>
      <c r="GY63" s="580"/>
      <c r="GZ63" s="545"/>
      <c r="HA63" s="580"/>
      <c r="HB63" s="580"/>
      <c r="HC63" s="1065"/>
      <c r="HD63" s="580"/>
      <c r="HE63" s="580"/>
      <c r="HF63" s="511"/>
      <c r="HG63" s="580"/>
      <c r="HH63" s="580"/>
      <c r="HI63" s="511"/>
      <c r="HJ63" s="580"/>
      <c r="HK63" s="580"/>
      <c r="HL63" s="511"/>
      <c r="HM63" s="580"/>
      <c r="HN63" s="580"/>
      <c r="HO63" s="511"/>
      <c r="HP63" s="580"/>
      <c r="HQ63" s="580"/>
      <c r="HR63" s="511"/>
      <c r="HS63" s="580"/>
      <c r="HT63" s="580"/>
      <c r="HU63" s="511"/>
      <c r="HV63" s="580"/>
      <c r="HW63" s="580"/>
      <c r="HX63" s="580"/>
      <c r="HY63" s="580"/>
      <c r="HZ63" s="580"/>
      <c r="IA63" s="511"/>
      <c r="IB63" s="580"/>
    </row>
    <row r="64" spans="1:239" ht="14.4" hidden="1" customHeight="1">
      <c r="B64" s="212" t="s">
        <v>459</v>
      </c>
      <c r="D64" s="267"/>
      <c r="E64" s="234"/>
      <c r="F64" s="240"/>
      <c r="G64" s="234"/>
      <c r="H64" s="157"/>
      <c r="I64" s="268"/>
      <c r="J64" s="157"/>
      <c r="K64" s="268"/>
      <c r="L64" s="157"/>
      <c r="M64" s="234"/>
      <c r="N64" s="157"/>
      <c r="O64" s="234"/>
      <c r="P64" s="157"/>
      <c r="Q64" s="234"/>
      <c r="R64" s="157"/>
      <c r="S64" s="234"/>
      <c r="T64" s="157"/>
      <c r="U64" s="234"/>
      <c r="V64" s="157"/>
      <c r="W64" s="234"/>
      <c r="X64" s="157"/>
      <c r="Y64" s="234"/>
      <c r="Z64" s="157"/>
      <c r="AA64" s="234"/>
      <c r="AB64" s="157"/>
      <c r="AC64" s="234"/>
      <c r="AD64" s="157"/>
      <c r="AE64" s="234"/>
      <c r="AF64" s="157"/>
      <c r="AG64" s="234"/>
      <c r="AH64" s="157"/>
      <c r="AI64" s="234"/>
      <c r="AJ64" s="157"/>
      <c r="AK64" s="234"/>
      <c r="AL64" s="157"/>
      <c r="AM64" s="234"/>
      <c r="AN64" s="157"/>
      <c r="AO64" s="234"/>
      <c r="AP64" s="157"/>
      <c r="AQ64" s="234"/>
      <c r="AR64" s="157"/>
      <c r="AS64" s="234"/>
      <c r="AT64" s="157"/>
      <c r="AU64" s="234"/>
      <c r="AV64" s="157"/>
      <c r="AW64" s="234"/>
      <c r="AX64" s="157"/>
      <c r="AY64" s="234"/>
      <c r="AZ64" s="157"/>
      <c r="BA64" s="234"/>
      <c r="BB64" s="157"/>
      <c r="BC64" s="234"/>
      <c r="BD64" s="157"/>
      <c r="BE64" s="234"/>
      <c r="BF64" s="157"/>
      <c r="BG64" s="234"/>
      <c r="BH64" s="157"/>
      <c r="BI64" s="234"/>
      <c r="BJ64" s="157"/>
      <c r="BK64" s="234"/>
      <c r="BL64" s="157"/>
      <c r="BM64" s="234"/>
      <c r="BN64" s="157"/>
      <c r="BO64" s="234"/>
      <c r="BP64" s="157"/>
      <c r="BQ64" s="234"/>
      <c r="BR64" s="157"/>
      <c r="BS64" s="234"/>
      <c r="BT64" s="157"/>
      <c r="BU64" s="234"/>
      <c r="BV64" s="157"/>
      <c r="BW64" s="234"/>
      <c r="BX64" s="157"/>
      <c r="BY64" s="234"/>
      <c r="BZ64" s="157"/>
      <c r="CA64" s="234"/>
      <c r="CB64" s="157"/>
      <c r="CC64" s="234"/>
      <c r="CD64" s="157"/>
      <c r="CE64" s="234"/>
      <c r="CF64" s="157"/>
      <c r="CG64" s="234"/>
      <c r="CH64" s="157"/>
      <c r="CI64" s="234"/>
      <c r="CJ64" s="234"/>
      <c r="CK64" s="157"/>
      <c r="CL64" s="234"/>
      <c r="CM64" s="234"/>
      <c r="CN64" s="157"/>
      <c r="CO64" s="234"/>
      <c r="CP64" s="234"/>
      <c r="CQ64" s="157"/>
      <c r="CR64" s="234"/>
      <c r="CS64" s="234"/>
      <c r="CT64" s="157"/>
      <c r="CU64" s="234"/>
      <c r="CV64" s="198"/>
      <c r="CW64" s="157"/>
      <c r="CX64" s="234"/>
      <c r="CY64" s="436"/>
      <c r="CZ64" s="157"/>
      <c r="DA64" s="234"/>
      <c r="DB64" s="436"/>
      <c r="DC64" s="157"/>
      <c r="DD64" s="234"/>
      <c r="DE64" s="436"/>
      <c r="DF64" s="501"/>
      <c r="DG64" s="234"/>
      <c r="DH64" s="436"/>
      <c r="DI64" s="501"/>
      <c r="DJ64" s="234"/>
      <c r="DK64" s="436"/>
      <c r="DL64" s="501"/>
      <c r="DM64" s="234"/>
      <c r="DN64" s="436"/>
      <c r="DO64" s="501"/>
      <c r="DP64" s="234"/>
      <c r="DQ64" s="436"/>
      <c r="DR64" s="501"/>
      <c r="DS64" s="234"/>
      <c r="DT64" s="436"/>
      <c r="DU64" s="501"/>
      <c r="DV64" s="234"/>
      <c r="DW64" s="436"/>
      <c r="DX64" s="511"/>
      <c r="DY64" s="580"/>
      <c r="DZ64" s="580"/>
      <c r="EA64" s="511"/>
      <c r="EB64" s="580"/>
      <c r="EC64" s="580"/>
      <c r="ED64" s="511"/>
      <c r="EE64" s="580"/>
      <c r="EF64" s="580"/>
      <c r="EG64" s="157"/>
      <c r="EH64" s="234"/>
      <c r="EI64" s="436"/>
      <c r="EJ64" s="157"/>
      <c r="EK64" s="234"/>
      <c r="EL64" s="436"/>
      <c r="EM64" s="157"/>
      <c r="EN64" s="234"/>
      <c r="EO64" s="436"/>
      <c r="EP64" s="501"/>
      <c r="EQ64" s="234"/>
      <c r="ER64" s="436"/>
      <c r="ES64" s="501"/>
      <c r="ET64" s="234"/>
      <c r="EU64" s="436"/>
      <c r="EV64" s="501"/>
      <c r="EW64" s="234"/>
      <c r="EX64" s="436"/>
      <c r="EY64" s="501"/>
      <c r="EZ64" s="234"/>
      <c r="FA64" s="436"/>
      <c r="FB64" s="501"/>
      <c r="FC64" s="234"/>
      <c r="FD64" s="436"/>
      <c r="FE64" s="501"/>
      <c r="FF64" s="234"/>
      <c r="FG64" s="436"/>
      <c r="FH64" s="511"/>
      <c r="FI64" s="580"/>
      <c r="FJ64" s="580"/>
      <c r="FK64" s="511"/>
      <c r="FL64" s="580"/>
      <c r="FM64" s="580"/>
      <c r="FN64" s="511"/>
      <c r="FO64" s="580"/>
      <c r="FP64" s="580"/>
      <c r="FQ64" s="511"/>
      <c r="FR64" s="580"/>
      <c r="FS64" s="580"/>
      <c r="FT64" s="511"/>
      <c r="FU64" s="580"/>
      <c r="FV64" s="580"/>
      <c r="FW64" s="511"/>
      <c r="FX64" s="580"/>
      <c r="FY64" s="580"/>
      <c r="FZ64" s="511"/>
      <c r="GA64" s="580"/>
      <c r="GB64" s="580"/>
      <c r="GC64" s="511"/>
      <c r="GD64" s="580"/>
      <c r="GE64" s="511"/>
      <c r="GF64" s="580"/>
      <c r="GG64" s="511"/>
      <c r="GH64" s="580"/>
      <c r="GI64" s="511"/>
      <c r="GJ64" s="580"/>
      <c r="GK64" s="511"/>
      <c r="GL64" s="580"/>
      <c r="GM64" s="511"/>
      <c r="GN64" s="580"/>
      <c r="GO64" s="511"/>
      <c r="GP64" s="580"/>
      <c r="GQ64" s="511"/>
      <c r="GR64" s="580"/>
      <c r="GS64" s="580"/>
      <c r="GT64" s="511"/>
      <c r="GU64" s="580"/>
      <c r="GV64" s="580"/>
      <c r="GW64" s="545"/>
      <c r="GX64" s="580"/>
      <c r="GY64" s="580"/>
      <c r="GZ64" s="545"/>
      <c r="HA64" s="580"/>
      <c r="HB64" s="580"/>
      <c r="HC64" s="1065"/>
      <c r="HD64" s="580"/>
      <c r="HE64" s="580"/>
      <c r="HF64" s="511"/>
      <c r="HG64" s="580"/>
      <c r="HH64" s="580"/>
      <c r="HI64" s="511"/>
      <c r="HJ64" s="580"/>
      <c r="HK64" s="580"/>
      <c r="HL64" s="511"/>
      <c r="HM64" s="580"/>
      <c r="HN64" s="580"/>
      <c r="HO64" s="511"/>
      <c r="HP64" s="580"/>
      <c r="HQ64" s="580"/>
      <c r="HR64" s="511"/>
      <c r="HS64" s="580"/>
      <c r="HT64" s="580"/>
      <c r="HU64" s="511"/>
      <c r="HV64" s="580"/>
      <c r="HW64" s="580"/>
      <c r="HX64" s="580"/>
      <c r="HY64" s="580"/>
      <c r="HZ64" s="580"/>
      <c r="IA64" s="511"/>
      <c r="IB64" s="580"/>
    </row>
    <row r="65" spans="1:236" ht="14.4" hidden="1" customHeight="1">
      <c r="A65" t="e">
        <f>VLOOKUP(B65,#REF!,4,FALSE)</f>
        <v>#REF!</v>
      </c>
      <c r="B65" s="242" t="s">
        <v>460</v>
      </c>
      <c r="D65" s="278">
        <v>537097.04</v>
      </c>
      <c r="E65" s="279">
        <v>2.0705988457299662E-2</v>
      </c>
      <c r="F65" s="280">
        <v>565703.43999999994</v>
      </c>
      <c r="G65" s="279">
        <v>2.1518533916576568E-2</v>
      </c>
      <c r="H65" s="280">
        <v>542426.46</v>
      </c>
      <c r="I65" s="281">
        <v>1.7929882061657024E-2</v>
      </c>
      <c r="J65" s="280">
        <v>461022.67</v>
      </c>
      <c r="K65" s="281">
        <v>1.3470530711204807E-2</v>
      </c>
      <c r="L65" s="280">
        <v>394772.68</v>
      </c>
      <c r="M65" s="279">
        <v>1.0667700033000644E-2</v>
      </c>
      <c r="N65" s="280">
        <v>338106.06</v>
      </c>
      <c r="O65" s="248">
        <f>+N65/$N$77</f>
        <v>7.7691988500760032E-3</v>
      </c>
      <c r="P65" s="280">
        <v>275339.38</v>
      </c>
      <c r="Q65" s="248">
        <f>+P65/$P$77</f>
        <v>5.5341870968893935E-3</v>
      </c>
      <c r="R65" s="280">
        <v>254377.85</v>
      </c>
      <c r="S65" s="248">
        <f>+R65/$R$77</f>
        <v>4.9762934510753486E-3</v>
      </c>
      <c r="T65" s="280">
        <v>344448.37</v>
      </c>
      <c r="U65" s="248">
        <f>+T65/$T$77</f>
        <v>6.0559181003205205E-3</v>
      </c>
      <c r="V65" s="280">
        <v>307758.62</v>
      </c>
      <c r="W65" s="248">
        <f>+V65/$V$77</f>
        <v>4.8096430140400744E-3</v>
      </c>
      <c r="X65" s="280">
        <v>262502.23</v>
      </c>
      <c r="Y65" s="248">
        <f>+X65/$X$77</f>
        <v>4.1173813670376935E-3</v>
      </c>
      <c r="Z65" s="280">
        <f>111271.82-71.6</f>
        <v>111200.22</v>
      </c>
      <c r="AA65" s="248">
        <f>+Z65/$Z$77</f>
        <v>1.6737425743760803E-3</v>
      </c>
      <c r="AB65" s="280">
        <v>62201.279999999999</v>
      </c>
      <c r="AC65" s="248">
        <f>+AB65/$AB$77</f>
        <v>8.3215960261122119E-4</v>
      </c>
      <c r="AD65" s="280">
        <v>32452.54</v>
      </c>
      <c r="AE65" s="248">
        <f>+AD65/$AD$77</f>
        <v>4.1394235232701635E-4</v>
      </c>
      <c r="AF65" s="280">
        <v>25542.32</v>
      </c>
      <c r="AG65" s="248">
        <f>+AF65/$AF$77</f>
        <v>2.9497561850049626E-4</v>
      </c>
      <c r="AH65" s="280">
        <v>19926.919999999998</v>
      </c>
      <c r="AI65" s="248">
        <f>+AH65/$AH$77</f>
        <v>2.1011183751668507E-4</v>
      </c>
      <c r="AJ65" s="280">
        <v>12660.280000000021</v>
      </c>
      <c r="AK65" s="248">
        <f>+AJ65/$AJ$77</f>
        <v>1.1887296981328004E-4</v>
      </c>
      <c r="AL65" s="280">
        <v>12510.280000000024</v>
      </c>
      <c r="AM65" s="248">
        <f>+AL65/$AL$77</f>
        <v>1.0596342783883537E-4</v>
      </c>
      <c r="AN65" s="280">
        <v>12510.280000000024</v>
      </c>
      <c r="AO65" s="248">
        <f>+AN65/$AN$77</f>
        <v>8.7782392319114702E-5</v>
      </c>
      <c r="AP65" s="280">
        <v>12460.28</v>
      </c>
      <c r="AQ65" s="248">
        <f>+AP65/$AP$77</f>
        <v>8.3210943165384996E-5</v>
      </c>
      <c r="AR65" s="280">
        <v>11910.28</v>
      </c>
      <c r="AS65" s="248">
        <f>+AR65/$AR$77</f>
        <v>7.5900831351346788E-5</v>
      </c>
      <c r="AT65" s="280">
        <v>11576.93</v>
      </c>
      <c r="AU65" s="248">
        <f>+AT65/$AT$77</f>
        <v>6.5228911631821877E-5</v>
      </c>
      <c r="AV65" s="280">
        <v>11576.930000000024</v>
      </c>
      <c r="AW65" s="248">
        <f>+AV65/$AV$77</f>
        <v>6.7822688878533727E-5</v>
      </c>
      <c r="AX65" s="280">
        <v>11526.93</v>
      </c>
      <c r="AY65" s="245">
        <f>+AX65/$AX$77</f>
        <v>7.3416424297804305E-5</v>
      </c>
      <c r="AZ65" s="280">
        <v>11538.470000000001</v>
      </c>
      <c r="BA65" s="245">
        <f>+AZ65/$AZ$77</f>
        <v>7.4331267362713285E-5</v>
      </c>
      <c r="BB65" s="282">
        <v>11538.470000000001</v>
      </c>
      <c r="BC65" s="245">
        <f t="shared" ref="BC65:BC72" si="136">+BB65/$BB$77</f>
        <v>7.4686742291490084E-5</v>
      </c>
      <c r="BD65" s="282">
        <v>0</v>
      </c>
      <c r="BE65" s="245">
        <f t="shared" ref="BE65:BE72" si="137">+BD65/$BD$77</f>
        <v>0</v>
      </c>
      <c r="BF65" s="280">
        <v>-1.8189894035458565E-12</v>
      </c>
      <c r="BG65" s="245">
        <f t="shared" ref="BG65:BG72" si="138">+BF65/$BF$77</f>
        <v>-1.1997865124550522E-20</v>
      </c>
      <c r="BH65" s="280">
        <v>0</v>
      </c>
      <c r="BI65" s="245">
        <f t="shared" ref="BI65:BI72" si="139">+BH65/$BH$77</f>
        <v>0</v>
      </c>
      <c r="BJ65" s="280">
        <v>0</v>
      </c>
      <c r="BK65" s="245">
        <f t="shared" ref="BK65:BK72" si="140">+BJ65/$BJ$77</f>
        <v>0</v>
      </c>
      <c r="BL65" s="280">
        <v>0</v>
      </c>
      <c r="BM65" s="245">
        <f t="shared" ref="BM65:BM72" si="141">+BL65/$BL$77</f>
        <v>0</v>
      </c>
      <c r="BN65" s="280">
        <v>0</v>
      </c>
      <c r="BO65" s="245">
        <f t="shared" ref="BO65:BO75" si="142">+BN65/BN$77</f>
        <v>0</v>
      </c>
      <c r="BP65" s="280"/>
      <c r="BQ65" s="245">
        <f t="shared" ref="BQ65:BQ75" si="143">+BP65/BP$77</f>
        <v>0</v>
      </c>
      <c r="BR65" s="280">
        <v>10000</v>
      </c>
      <c r="BS65" s="245">
        <f t="shared" ref="BS65:BS75" si="144">+BR65/BR$77</f>
        <v>4.8299299721861214E-5</v>
      </c>
      <c r="BT65" s="280">
        <v>207500</v>
      </c>
      <c r="BU65" s="245">
        <f t="shared" ref="BU65:BU75" si="145">+BT65/BT$77</f>
        <v>9.0228633784271385E-4</v>
      </c>
      <c r="BV65" s="280">
        <v>189166.65000000002</v>
      </c>
      <c r="BW65" s="245">
        <f t="shared" ref="BW65:BW75" si="146">+BV65/BV$77</f>
        <v>8.0112203046793268E-4</v>
      </c>
      <c r="BX65" s="280">
        <v>261666.63</v>
      </c>
      <c r="BY65" s="245">
        <f t="shared" ref="BY65:BY75" si="147">+BX65/BX$77</f>
        <v>1.0011356620675668E-3</v>
      </c>
      <c r="BZ65" s="280">
        <v>176666.59000000003</v>
      </c>
      <c r="CA65" s="245">
        <f t="shared" ref="CA65:CA75" si="148">+BZ65/BZ$77</f>
        <v>6.4900034742849055E-4</v>
      </c>
      <c r="CB65" s="280">
        <v>111666.58000000002</v>
      </c>
      <c r="CC65" s="245">
        <f t="shared" ref="CC65:CC75" si="149">+CB65/CB$77</f>
        <v>3.9686574218010848E-4</v>
      </c>
      <c r="CD65" s="280">
        <v>74999.85000000002</v>
      </c>
      <c r="CE65" s="245">
        <f t="shared" ref="CE65:CE75" si="150">+CD65/CD$77</f>
        <v>2.3982573437588949E-4</v>
      </c>
      <c r="CF65" s="280">
        <v>13333.26</v>
      </c>
      <c r="CG65" s="245">
        <f t="shared" ref="CG65:CG75" si="151">+CF65/CF$77</f>
        <v>3.9228135911110123E-5</v>
      </c>
      <c r="CH65" s="280">
        <v>6666.630000000001</v>
      </c>
      <c r="CI65" s="245">
        <f t="shared" ref="CI65:CI75" si="152">+CH65/CH$77</f>
        <v>1.8191748993967091E-5</v>
      </c>
      <c r="CJ65" s="279"/>
      <c r="CK65" s="282">
        <f>100000-32</f>
        <v>99968</v>
      </c>
      <c r="CL65" s="245">
        <f t="shared" ref="CL65:CL75" si="153">+CK65/CK$77</f>
        <v>2.478494134804933E-4</v>
      </c>
      <c r="CM65" s="279"/>
      <c r="CN65" s="282">
        <v>98333.34</v>
      </c>
      <c r="CO65" s="245">
        <f t="shared" ref="CO65:CO75" si="154">+CN65/CN$77</f>
        <v>2.4688317451271091E-4</v>
      </c>
      <c r="CP65" s="279"/>
      <c r="CQ65" s="280">
        <v>142083.34999999998</v>
      </c>
      <c r="CR65" s="245">
        <f t="shared" ref="CR65:CR75" si="155">+CQ65/CQ$77</f>
        <v>3.5036142943816601E-4</v>
      </c>
      <c r="CS65" s="279"/>
      <c r="CT65" s="424">
        <v>114583.36999999998</v>
      </c>
      <c r="CU65" s="245">
        <f t="shared" ref="CU65:CU75" si="156">+CT65/CT$77</f>
        <v>2.5860730712724741E-4</v>
      </c>
      <c r="CV65" s="198"/>
      <c r="CW65" s="424">
        <v>103333.38999999998</v>
      </c>
      <c r="CX65" s="245">
        <f t="shared" ref="CX65:CX75" si="157">+CW65/CW$77</f>
        <v>2.2457160207972041E-4</v>
      </c>
      <c r="CY65" s="438"/>
      <c r="CZ65" s="424">
        <v>98333.409999999989</v>
      </c>
      <c r="DA65" s="245">
        <f t="shared" ref="DA65:DA75" si="158">+CZ65/CZ$77</f>
        <v>2.0738449396229673E-4</v>
      </c>
      <c r="DB65" s="438"/>
      <c r="DC65" s="424">
        <v>310833.39</v>
      </c>
      <c r="DD65" s="245">
        <f t="shared" ref="DD65:DD75" si="159">+DC65/DC$77</f>
        <v>6.2006656041245956E-4</v>
      </c>
      <c r="DE65" s="438"/>
      <c r="DF65" s="508">
        <v>276111.18</v>
      </c>
      <c r="DG65" s="245">
        <f t="shared" ref="DG65:DG75" si="160">+DF65/DF$77</f>
        <v>5.167887854616249E-4</v>
      </c>
      <c r="DH65" s="438"/>
      <c r="DI65" s="508">
        <v>230833.33</v>
      </c>
      <c r="DJ65" s="245">
        <f t="shared" ref="DJ65:DJ76" si="161">+DI65/DI$77</f>
        <v>4.1637737225642106E-4</v>
      </c>
      <c r="DK65" s="438"/>
      <c r="DL65" s="508">
        <v>0</v>
      </c>
      <c r="DM65" s="245">
        <f t="shared" ref="DM65:DM76" si="162">+DL65/DL$77</f>
        <v>0</v>
      </c>
      <c r="DN65" s="438"/>
      <c r="DO65" s="508">
        <v>0</v>
      </c>
      <c r="DP65" s="575">
        <f t="shared" ref="DP65:DP76" si="163">+DO65/DO$77</f>
        <v>0</v>
      </c>
      <c r="DQ65" s="440"/>
      <c r="DR65" s="508">
        <v>0</v>
      </c>
      <c r="DS65" s="575">
        <f t="shared" ref="DS65:DS76" si="164">+DR65/DR$77</f>
        <v>0</v>
      </c>
      <c r="DT65" s="440"/>
      <c r="DU65" s="508">
        <v>0</v>
      </c>
      <c r="DV65" s="575">
        <f>+DU65/DU$77</f>
        <v>0</v>
      </c>
      <c r="DW65" s="440"/>
      <c r="DX65" s="508">
        <v>0</v>
      </c>
      <c r="DY65" s="325">
        <f>+DX65/DX$77</f>
        <v>0</v>
      </c>
      <c r="DZ65" s="440"/>
      <c r="EA65" s="508">
        <v>0</v>
      </c>
      <c r="EB65" s="325">
        <f>+EA65/EA$77</f>
        <v>0</v>
      </c>
      <c r="EC65" s="440"/>
      <c r="ED65" s="508">
        <v>0</v>
      </c>
      <c r="EE65" s="325">
        <f>+ED65/ED$77</f>
        <v>0</v>
      </c>
      <c r="EF65" s="440"/>
      <c r="EG65" s="424">
        <v>0</v>
      </c>
      <c r="EH65" s="245">
        <f t="shared" ref="EH65:EH76" si="165">+EG65/EG$77</f>
        <v>0</v>
      </c>
      <c r="EI65" s="438"/>
      <c r="EJ65" s="424">
        <v>0</v>
      </c>
      <c r="EK65" s="245">
        <f t="shared" ref="EK65:EK76" si="166">+EJ65/EJ$77</f>
        <v>0</v>
      </c>
      <c r="EL65" s="438"/>
      <c r="EM65" s="424">
        <v>0</v>
      </c>
      <c r="EN65" s="245">
        <f t="shared" ref="EN65:EN76" si="167">+EM65/EM$77</f>
        <v>0</v>
      </c>
      <c r="EO65" s="438"/>
      <c r="EP65" s="508">
        <v>0</v>
      </c>
      <c r="EQ65" s="245">
        <f t="shared" ref="EQ65:EQ75" si="168">+EP65/EP$77</f>
        <v>0</v>
      </c>
      <c r="ER65" s="438"/>
      <c r="ES65" s="508">
        <v>0</v>
      </c>
      <c r="ET65" s="245">
        <f t="shared" ref="ET65:ET76" si="169">+ES65/ES$77</f>
        <v>0</v>
      </c>
      <c r="EU65" s="438"/>
      <c r="EV65" s="508">
        <v>0</v>
      </c>
      <c r="EW65" s="245">
        <f t="shared" ref="EW65:EW76" si="170">+EV65/EV$77</f>
        <v>0</v>
      </c>
      <c r="EX65" s="438"/>
      <c r="EY65" s="508">
        <v>0</v>
      </c>
      <c r="EZ65" s="575">
        <f t="shared" ref="EZ65:EZ76" si="171">+EY65/EY$77</f>
        <v>0</v>
      </c>
      <c r="FA65" s="440"/>
      <c r="FB65" s="508">
        <v>0</v>
      </c>
      <c r="FC65" s="575">
        <f>+FB65/FB$77</f>
        <v>0</v>
      </c>
      <c r="FD65" s="440"/>
      <c r="FE65" s="508">
        <v>0</v>
      </c>
      <c r="FF65" s="575">
        <f>+FE65/FE$77</f>
        <v>0</v>
      </c>
      <c r="FG65" s="440"/>
      <c r="FH65" s="508">
        <v>0</v>
      </c>
      <c r="FI65" s="325">
        <f>+FH65/FH$77</f>
        <v>0</v>
      </c>
      <c r="FJ65" s="440"/>
      <c r="FK65" s="508">
        <v>0</v>
      </c>
      <c r="FL65" s="325">
        <f>+FK65/FK$77</f>
        <v>0</v>
      </c>
      <c r="FM65" s="440"/>
      <c r="FN65" s="508">
        <v>0</v>
      </c>
      <c r="FO65" s="325">
        <f>+FN65/FN$77</f>
        <v>0</v>
      </c>
      <c r="FP65" s="440"/>
      <c r="FQ65" s="508">
        <v>0</v>
      </c>
      <c r="FR65" s="325">
        <f>+FQ65/FQ$77</f>
        <v>0</v>
      </c>
      <c r="FS65" s="440"/>
      <c r="FT65" s="508">
        <v>0</v>
      </c>
      <c r="FU65" s="325">
        <f>+FT65/FT$77</f>
        <v>0</v>
      </c>
      <c r="FV65" s="440"/>
      <c r="FW65" s="508">
        <v>0</v>
      </c>
      <c r="FX65" s="325">
        <f>+FW65/FW$77</f>
        <v>0</v>
      </c>
      <c r="FY65" s="440"/>
      <c r="FZ65" s="508">
        <v>0</v>
      </c>
      <c r="GA65" s="325">
        <f>+FZ65/FZ$77</f>
        <v>0</v>
      </c>
      <c r="GB65" s="440"/>
      <c r="GC65" s="508">
        <v>0</v>
      </c>
      <c r="GD65" s="325">
        <f>+GC65/GC$77</f>
        <v>0</v>
      </c>
      <c r="GE65" s="508">
        <v>0</v>
      </c>
      <c r="GF65" s="325">
        <f>+GE65/GE$77</f>
        <v>0</v>
      </c>
      <c r="GG65" s="508">
        <v>0</v>
      </c>
      <c r="GH65" s="325">
        <f>+GG65/GG$77</f>
        <v>0</v>
      </c>
      <c r="GI65" s="508">
        <v>0</v>
      </c>
      <c r="GJ65" s="325">
        <f>+GI65/GI$77</f>
        <v>0</v>
      </c>
      <c r="GK65" s="508">
        <v>0</v>
      </c>
      <c r="GL65" s="325">
        <f>+GK65/GK$77</f>
        <v>0</v>
      </c>
      <c r="GM65" s="508">
        <v>0</v>
      </c>
      <c r="GN65" s="325">
        <f>+GM65/GM$77</f>
        <v>0</v>
      </c>
      <c r="GO65" s="508">
        <v>0</v>
      </c>
      <c r="GP65" s="325">
        <f>+GO65/GO$77</f>
        <v>0</v>
      </c>
      <c r="GQ65" s="508">
        <v>0</v>
      </c>
      <c r="GR65" s="325">
        <f t="shared" ref="GR65:GR76" si="172">+GQ65/GQ$77</f>
        <v>0</v>
      </c>
      <c r="GS65" s="440"/>
      <c r="GT65" s="508">
        <v>0</v>
      </c>
      <c r="GU65" s="325">
        <f t="shared" ref="GU65:GU76" si="173">+GT65/GT$77</f>
        <v>0</v>
      </c>
      <c r="GV65" s="440"/>
      <c r="GW65" s="1051">
        <v>0</v>
      </c>
      <c r="GX65" s="325">
        <f t="shared" ref="GX65:GX76" si="174">+GW65/GW$77</f>
        <v>0</v>
      </c>
      <c r="GY65" s="440"/>
      <c r="GZ65" s="1051">
        <v>0</v>
      </c>
      <c r="HA65" s="325">
        <f t="shared" ref="HA65:HA76" si="175">+GZ65/GZ$77</f>
        <v>0</v>
      </c>
      <c r="HB65" s="440"/>
      <c r="HC65" s="973">
        <v>0</v>
      </c>
      <c r="HD65" s="325">
        <f t="shared" ref="HD65:HD76" si="176">+HC65/HC$77</f>
        <v>0</v>
      </c>
      <c r="HE65" s="440"/>
      <c r="HF65" s="508">
        <v>0</v>
      </c>
      <c r="HG65" s="325">
        <f t="shared" ref="HG65:HG76" si="177">+HF65/HF$77</f>
        <v>0</v>
      </c>
      <c r="HH65" s="440"/>
      <c r="HI65" s="508">
        <v>0</v>
      </c>
      <c r="HJ65" s="325">
        <f t="shared" ref="HJ65:HJ76" si="178">+HI65/HI$77</f>
        <v>0</v>
      </c>
      <c r="HK65" s="440"/>
      <c r="HL65" s="508">
        <v>0</v>
      </c>
      <c r="HM65" s="325">
        <f t="shared" ref="HM65:HM76" si="179">+HL65/HL$77</f>
        <v>0</v>
      </c>
      <c r="HN65" s="440"/>
      <c r="HO65" s="508">
        <v>0</v>
      </c>
      <c r="HP65" s="325">
        <f t="shared" ref="HP65:HP76" si="180">+HO65/HO$77</f>
        <v>0</v>
      </c>
      <c r="HQ65" s="440"/>
      <c r="HR65" s="508">
        <v>0</v>
      </c>
      <c r="HS65" s="325">
        <f t="shared" ref="HS65:HS76" si="181">+HR65/HR$77</f>
        <v>0</v>
      </c>
      <c r="HT65" s="440"/>
      <c r="HU65" s="508">
        <v>0</v>
      </c>
      <c r="HV65" s="325">
        <f t="shared" ref="HV65:HV76" si="182">+HU65/HU$77</f>
        <v>0</v>
      </c>
      <c r="HW65" s="440"/>
      <c r="HX65" s="440"/>
      <c r="HY65" s="440"/>
      <c r="HZ65" s="440"/>
      <c r="IA65" s="508">
        <v>0</v>
      </c>
      <c r="IB65" s="325">
        <f>+IA65/IA$77</f>
        <v>0</v>
      </c>
    </row>
    <row r="66" spans="1:236" ht="14.4" hidden="1" customHeight="1">
      <c r="A66" t="e">
        <f>VLOOKUP(B66,#REF!,4,FALSE)</f>
        <v>#REF!</v>
      </c>
      <c r="B66" s="242" t="s">
        <v>461</v>
      </c>
      <c r="D66" s="278">
        <v>4419068.41</v>
      </c>
      <c r="E66" s="279">
        <v>0.17036247209531738</v>
      </c>
      <c r="F66" s="280">
        <v>4513444.33</v>
      </c>
      <c r="G66" s="279">
        <v>0.17168484055123515</v>
      </c>
      <c r="H66" s="280">
        <v>4996059.84</v>
      </c>
      <c r="I66" s="281">
        <v>0.16514453167380713</v>
      </c>
      <c r="J66" s="280">
        <v>5561038.9900000002</v>
      </c>
      <c r="K66" s="281">
        <v>0.16248690438802579</v>
      </c>
      <c r="L66" s="280">
        <v>5627716.5049999999</v>
      </c>
      <c r="M66" s="279">
        <v>0.15207433185626415</v>
      </c>
      <c r="N66" s="280">
        <v>5765118.8850000007</v>
      </c>
      <c r="O66" s="248">
        <f>+N66/$N$77</f>
        <v>0.13247427452762442</v>
      </c>
      <c r="P66" s="280">
        <v>5804089.9500000002</v>
      </c>
      <c r="Q66" s="248">
        <f>+P66/$P$77</f>
        <v>0.11665937400772605</v>
      </c>
      <c r="R66" s="280">
        <v>5318233.03</v>
      </c>
      <c r="S66" s="248">
        <f>+R66/$R$77</f>
        <v>0.10403849312541014</v>
      </c>
      <c r="T66" s="280">
        <v>5612660.04</v>
      </c>
      <c r="U66" s="248">
        <f>+T66/$T$77</f>
        <v>9.8678967553777933E-2</v>
      </c>
      <c r="V66" s="280">
        <v>6815706.8550000004</v>
      </c>
      <c r="W66" s="248">
        <f>+V66/$V$77</f>
        <v>0.10651567407241364</v>
      </c>
      <c r="X66" s="280">
        <v>6386169.7400000002</v>
      </c>
      <c r="Y66" s="248">
        <f>+X66/$X$77</f>
        <v>0.1001678968373562</v>
      </c>
      <c r="Z66" s="280">
        <v>6002114.5449999999</v>
      </c>
      <c r="AA66" s="248">
        <f>+Z66/$Z$77</f>
        <v>9.0341499776245185E-2</v>
      </c>
      <c r="AB66" s="280">
        <v>4847119.3899999997</v>
      </c>
      <c r="AC66" s="248">
        <f>+AB66/$AB$77</f>
        <v>6.4847169469688479E-2</v>
      </c>
      <c r="AD66" s="280">
        <v>3904998.75</v>
      </c>
      <c r="AE66" s="248">
        <f>+AD66/$AD$77</f>
        <v>4.9809486974180091E-2</v>
      </c>
      <c r="AF66" s="280">
        <v>3398765.39</v>
      </c>
      <c r="AG66" s="248">
        <f>+AF66/$AF$77</f>
        <v>3.9250660200535047E-2</v>
      </c>
      <c r="AH66" s="280">
        <v>2706246.0950000002</v>
      </c>
      <c r="AI66" s="248">
        <f>+AH66/$AH$77</f>
        <v>2.853498382052036E-2</v>
      </c>
      <c r="AJ66" s="280">
        <v>2115126.9249999998</v>
      </c>
      <c r="AK66" s="248">
        <f>+AJ66/$AJ$77</f>
        <v>1.9859862428538738E-2</v>
      </c>
      <c r="AL66" s="280">
        <v>1688480.5949999997</v>
      </c>
      <c r="AM66" s="248">
        <f>+AL66/$AL$77</f>
        <v>1.4301613687747671E-2</v>
      </c>
      <c r="AN66" s="280">
        <v>1568918.2049999996</v>
      </c>
      <c r="AO66" s="248">
        <f>+AN66/$AN$77</f>
        <v>1.1008817819258316E-2</v>
      </c>
      <c r="AP66" s="280">
        <v>1193627.02</v>
      </c>
      <c r="AQ66" s="248">
        <f>+AP66/$AP$77</f>
        <v>7.9711555536382695E-3</v>
      </c>
      <c r="AR66" s="280">
        <v>909051.15</v>
      </c>
      <c r="AS66" s="248">
        <f>+AR66/$AR$77</f>
        <v>5.7931247649843538E-3</v>
      </c>
      <c r="AT66" s="280">
        <v>762915.66999999993</v>
      </c>
      <c r="AU66" s="248">
        <f>+AT66/$AT$77</f>
        <v>4.2985626432017971E-3</v>
      </c>
      <c r="AV66" s="280">
        <v>527711.09000000008</v>
      </c>
      <c r="AW66" s="248">
        <f>+AV66/$AV$77</f>
        <v>3.0915609816092736E-3</v>
      </c>
      <c r="AX66" s="280">
        <v>470526.6</v>
      </c>
      <c r="AY66" s="245">
        <f>+AX66/$AX$77</f>
        <v>2.9968413540294985E-3</v>
      </c>
      <c r="AZ66" s="280">
        <v>462472.58999999997</v>
      </c>
      <c r="BA66" s="245">
        <f>+AZ66/$AZ$77</f>
        <v>2.9792662055902106E-3</v>
      </c>
      <c r="BB66" s="280">
        <v>524986</v>
      </c>
      <c r="BC66" s="245">
        <f t="shared" si="136"/>
        <v>3.3981536623694654E-3</v>
      </c>
      <c r="BD66" s="280">
        <v>405645.47</v>
      </c>
      <c r="BE66" s="245">
        <f t="shared" si="137"/>
        <v>2.738371914414707E-3</v>
      </c>
      <c r="BF66" s="280">
        <v>317298.48499999999</v>
      </c>
      <c r="BG66" s="245">
        <f t="shared" si="138"/>
        <v>2.0928678417989725E-3</v>
      </c>
      <c r="BH66" s="280">
        <v>275350.72000000003</v>
      </c>
      <c r="BI66" s="245">
        <f t="shared" si="139"/>
        <v>1.7661190944111415E-3</v>
      </c>
      <c r="BJ66" s="280">
        <v>332537.68</v>
      </c>
      <c r="BK66" s="245">
        <f t="shared" si="140"/>
        <v>2.0059046401652105E-3</v>
      </c>
      <c r="BL66" s="280">
        <v>331476.74</v>
      </c>
      <c r="BM66" s="245">
        <f t="shared" si="141"/>
        <v>1.7695929404152771E-3</v>
      </c>
      <c r="BN66" s="280">
        <v>518927.99000000017</v>
      </c>
      <c r="BO66" s="245">
        <f t="shared" si="142"/>
        <v>2.8041922327329835E-3</v>
      </c>
      <c r="BP66" s="280">
        <v>538980.63000000012</v>
      </c>
      <c r="BQ66" s="245">
        <f t="shared" si="143"/>
        <v>2.8366209287452688E-3</v>
      </c>
      <c r="BR66" s="280">
        <v>1167769.08</v>
      </c>
      <c r="BS66" s="245">
        <f t="shared" si="144"/>
        <v>5.6402428800842123E-3</v>
      </c>
      <c r="BT66" s="280">
        <v>1710151.1000000003</v>
      </c>
      <c r="BU66" s="245">
        <f t="shared" si="145"/>
        <v>7.4363661357912721E-3</v>
      </c>
      <c r="BV66" s="280">
        <v>3026394.6800000006</v>
      </c>
      <c r="BW66" s="245">
        <f t="shared" si="146"/>
        <v>1.2816801751465967E-2</v>
      </c>
      <c r="BX66" s="280">
        <v>2885380.0300000003</v>
      </c>
      <c r="BY66" s="245">
        <f t="shared" si="147"/>
        <v>1.1039454464065922E-2</v>
      </c>
      <c r="BZ66" s="280">
        <v>2635208</v>
      </c>
      <c r="CA66" s="245">
        <f t="shared" si="148"/>
        <v>9.6806697154585789E-3</v>
      </c>
      <c r="CB66" s="280">
        <v>2238606.2199999997</v>
      </c>
      <c r="CC66" s="245">
        <f t="shared" si="149"/>
        <v>7.9560609714142486E-3</v>
      </c>
      <c r="CD66" s="280">
        <v>1906219.0599999998</v>
      </c>
      <c r="CE66" s="245">
        <f t="shared" si="150"/>
        <v>6.0954840035789088E-3</v>
      </c>
      <c r="CF66" s="280">
        <v>1570132.5200000005</v>
      </c>
      <c r="CG66" s="245">
        <f t="shared" si="151"/>
        <v>4.6195282993816847E-3</v>
      </c>
      <c r="CH66" s="280">
        <v>1496772.2500000002</v>
      </c>
      <c r="CI66" s="245">
        <f t="shared" si="152"/>
        <v>4.0843582249405408E-3</v>
      </c>
      <c r="CJ66" s="279"/>
      <c r="CK66" s="282">
        <v>1399375.4500000002</v>
      </c>
      <c r="CL66" s="245">
        <f t="shared" si="153"/>
        <v>3.4694540705175803E-3</v>
      </c>
      <c r="CM66" s="279"/>
      <c r="CN66" s="282">
        <v>1024985.6</v>
      </c>
      <c r="CO66" s="245">
        <f t="shared" si="154"/>
        <v>2.5734069315434187E-3</v>
      </c>
      <c r="CP66" s="279"/>
      <c r="CQ66" s="280">
        <v>750987.86</v>
      </c>
      <c r="CR66" s="245">
        <f t="shared" si="155"/>
        <v>1.8518509038554436E-3</v>
      </c>
      <c r="CS66" s="279"/>
      <c r="CT66" s="424">
        <v>600834.91000000015</v>
      </c>
      <c r="CU66" s="245">
        <f t="shared" si="156"/>
        <v>1.3560458040564011E-3</v>
      </c>
      <c r="CV66" s="198"/>
      <c r="CW66" s="424">
        <v>410920.48000000016</v>
      </c>
      <c r="CX66" s="245">
        <f t="shared" si="157"/>
        <v>8.9304212821206925E-4</v>
      </c>
      <c r="CY66" s="438"/>
      <c r="CZ66" s="424">
        <v>279328.53000000009</v>
      </c>
      <c r="DA66" s="245">
        <f t="shared" si="158"/>
        <v>5.891019730047219E-4</v>
      </c>
      <c r="DB66" s="438"/>
      <c r="DC66" s="424">
        <v>260184.94000000006</v>
      </c>
      <c r="DD66" s="245">
        <f t="shared" si="159"/>
        <v>5.1903040666552013E-4</v>
      </c>
      <c r="DE66" s="438"/>
      <c r="DF66" s="508">
        <v>197929.44</v>
      </c>
      <c r="DG66" s="245">
        <f t="shared" si="160"/>
        <v>3.7045843237749215E-4</v>
      </c>
      <c r="DH66" s="438"/>
      <c r="DI66" s="508">
        <v>110522.88</v>
      </c>
      <c r="DJ66" s="245">
        <f t="shared" si="161"/>
        <v>1.9936127225913066E-4</v>
      </c>
      <c r="DK66" s="438"/>
      <c r="DL66" s="508">
        <v>90922.880000000063</v>
      </c>
      <c r="DM66" s="245">
        <f t="shared" si="162"/>
        <v>1.5755673263946864E-4</v>
      </c>
      <c r="DN66" s="438"/>
      <c r="DO66" s="508">
        <v>194389.55000000002</v>
      </c>
      <c r="DP66" s="575">
        <f t="shared" si="163"/>
        <v>3.1780820915885413E-4</v>
      </c>
      <c r="DQ66" s="440"/>
      <c r="DR66" s="508">
        <v>213772.93000000002</v>
      </c>
      <c r="DS66" s="575">
        <f t="shared" si="164"/>
        <v>3.4340590735344875E-4</v>
      </c>
      <c r="DT66" s="440"/>
      <c r="DU66" s="508">
        <v>164222.93</v>
      </c>
      <c r="DV66" s="575">
        <f t="shared" ref="DV66:DV76" si="183">+DU66/DU$77</f>
        <v>2.3883556335748426E-4</v>
      </c>
      <c r="DW66" s="440"/>
      <c r="DX66" s="508">
        <v>137056.24000000002</v>
      </c>
      <c r="DY66" s="325">
        <f t="shared" ref="DY66:DY76" si="184">+DX66/DX$77</f>
        <v>2.0422598636556764E-4</v>
      </c>
      <c r="DZ66" s="440"/>
      <c r="EA66" s="508">
        <v>182889.54000000007</v>
      </c>
      <c r="EB66" s="325">
        <f t="shared" ref="EB66:EB76" si="185">+EA66/EA$77</f>
        <v>2.6158795931820135E-4</v>
      </c>
      <c r="EC66" s="440"/>
      <c r="ED66" s="508">
        <v>134166.62000000005</v>
      </c>
      <c r="EE66" s="325">
        <f t="shared" ref="EE66:EE76" si="186">+ED66/ED$77</f>
        <v>1.8130268309555705E-4</v>
      </c>
      <c r="EF66" s="440"/>
      <c r="EG66" s="424">
        <v>88739.960000000065</v>
      </c>
      <c r="EH66" s="245">
        <f t="shared" si="165"/>
        <v>1.1100140467198631E-4</v>
      </c>
      <c r="EI66" s="438"/>
      <c r="EJ66" s="424">
        <v>61573.280000000013</v>
      </c>
      <c r="EK66" s="245">
        <f t="shared" si="166"/>
        <v>7.3334715186301226E-5</v>
      </c>
      <c r="EL66" s="438"/>
      <c r="EM66" s="424">
        <v>184073.31</v>
      </c>
      <c r="EN66" s="245">
        <f t="shared" si="167"/>
        <v>2.0665073180987697E-4</v>
      </c>
      <c r="EO66" s="438"/>
      <c r="EP66" s="508">
        <v>252049.96000000005</v>
      </c>
      <c r="EQ66" s="245">
        <f t="shared" si="168"/>
        <v>2.6631408954473927E-4</v>
      </c>
      <c r="ER66" s="438"/>
      <c r="ES66" s="508">
        <v>320672.73</v>
      </c>
      <c r="ET66" s="245">
        <f t="shared" si="169"/>
        <v>3.2220577985180336E-4</v>
      </c>
      <c r="EU66" s="438"/>
      <c r="EV66" s="508">
        <v>403428.7900000001</v>
      </c>
      <c r="EW66" s="245">
        <f t="shared" si="170"/>
        <v>3.7351476196420443E-4</v>
      </c>
      <c r="EX66" s="438"/>
      <c r="EY66" s="508">
        <v>478742.89999999997</v>
      </c>
      <c r="EZ66" s="575">
        <f t="shared" si="171"/>
        <v>4.2161948795475676E-4</v>
      </c>
      <c r="FA66" s="440"/>
      <c r="FB66" s="508">
        <v>410855.68000000005</v>
      </c>
      <c r="FC66" s="575">
        <f t="shared" ref="FC66:FC76" si="187">+FB66/FB$77</f>
        <v>3.4148326433932718E-4</v>
      </c>
      <c r="FD66" s="440"/>
      <c r="FE66" s="508">
        <v>277058.84999999998</v>
      </c>
      <c r="FF66" s="575">
        <f t="shared" ref="FF66:FF76" si="188">+FE66/FE$77</f>
        <v>2.0961477840134333E-4</v>
      </c>
      <c r="FG66" s="440"/>
      <c r="FH66" s="508">
        <v>225251.13999999998</v>
      </c>
      <c r="FI66" s="325">
        <f t="shared" ref="FI66:FI76" si="189">+FH66/FH$77</f>
        <v>1.6480754261694508E-4</v>
      </c>
      <c r="FJ66" s="440"/>
      <c r="FK66" s="508">
        <v>132326.11000000002</v>
      </c>
      <c r="FL66" s="325">
        <f t="shared" ref="FL66:FL76" si="190">+FK66/FK$77</f>
        <v>9.0197044818962429E-5</v>
      </c>
      <c r="FM66" s="440"/>
      <c r="FN66" s="508">
        <v>79277.48</v>
      </c>
      <c r="FO66" s="325">
        <f t="shared" ref="FO66:FO76" si="191">+FN66/FN$77</f>
        <v>4.9650556061624183E-5</v>
      </c>
      <c r="FP66" s="440"/>
      <c r="FQ66" s="508">
        <v>94267.5</v>
      </c>
      <c r="FR66" s="325">
        <f t="shared" ref="FR66:FR76" si="192">+FQ66/FQ$77</f>
        <v>5.6593370368960258E-5</v>
      </c>
      <c r="FS66" s="440"/>
      <c r="FT66" s="508">
        <v>82600.950000000012</v>
      </c>
      <c r="FU66" s="325">
        <f t="shared" ref="FU66:FU76" si="193">+FT66/FT$77</f>
        <v>4.8287140060959487E-5</v>
      </c>
      <c r="FV66" s="440"/>
      <c r="FW66" s="508">
        <v>92224.656585717632</v>
      </c>
      <c r="FX66" s="325">
        <f t="shared" ref="FX66:FX76" si="194">+FW66/FW$77</f>
        <v>5.2440255214959869E-5</v>
      </c>
      <c r="FY66" s="440"/>
      <c r="FZ66" s="508">
        <v>92224.656585717632</v>
      </c>
      <c r="GA66" s="325">
        <f t="shared" ref="GA66:GA76" si="195">+FZ66/FZ$77</f>
        <v>5.2440255214959869E-5</v>
      </c>
      <c r="GB66" s="440"/>
      <c r="GC66" s="508">
        <v>92224.656585717632</v>
      </c>
      <c r="GD66" s="325">
        <f t="shared" ref="GD66:GD76" si="196">+GC66/GC$77</f>
        <v>5.2440255214959869E-5</v>
      </c>
      <c r="GE66" s="508">
        <v>92224.656585717632</v>
      </c>
      <c r="GF66" s="325">
        <f t="shared" ref="GF66:GF76" si="197">+GE66/GE$77</f>
        <v>5.2440255214959869E-5</v>
      </c>
      <c r="GG66" s="973">
        <v>92224.656585717632</v>
      </c>
      <c r="GH66" s="325">
        <f t="shared" ref="GH66:GH76" si="198">+GG66/GG$77</f>
        <v>5.2440255214959869E-5</v>
      </c>
      <c r="GI66" s="973">
        <v>92224.656585717632</v>
      </c>
      <c r="GJ66" s="325">
        <f t="shared" ref="GJ66:GJ76" si="199">+GI66/GI$77</f>
        <v>5.2440255214959869E-5</v>
      </c>
      <c r="GK66" s="973">
        <v>92224.656585717632</v>
      </c>
      <c r="GL66" s="325">
        <f t="shared" ref="GL66:GL76" si="200">+GK66/GK$77</f>
        <v>5.2440255214959869E-5</v>
      </c>
      <c r="GM66" s="973">
        <v>92224.656585717632</v>
      </c>
      <c r="GN66" s="325">
        <f t="shared" ref="GN66:GN76" si="201">+GM66/GM$77</f>
        <v>5.2440255214959869E-5</v>
      </c>
      <c r="GO66" s="973">
        <v>92224.656585717632</v>
      </c>
      <c r="GP66" s="325">
        <f t="shared" ref="GP66:GP76" si="202">+GO66/GO$77</f>
        <v>5.2440255214959869E-5</v>
      </c>
      <c r="GQ66" s="973">
        <v>92224.656585717632</v>
      </c>
      <c r="GR66" s="325">
        <f t="shared" si="172"/>
        <v>5.2440255214959869E-5</v>
      </c>
      <c r="GS66" s="440"/>
      <c r="GT66" s="973">
        <v>92224.656585717632</v>
      </c>
      <c r="GU66" s="325">
        <f t="shared" si="173"/>
        <v>5.2440255214959869E-5</v>
      </c>
      <c r="GV66" s="440"/>
      <c r="GW66" s="1051">
        <v>92224.656585717632</v>
      </c>
      <c r="GX66" s="325">
        <f t="shared" si="174"/>
        <v>5.2440255214959869E-5</v>
      </c>
      <c r="GY66" s="440"/>
      <c r="GZ66" s="1051">
        <v>92224.656585717632</v>
      </c>
      <c r="HA66" s="325">
        <f t="shared" si="175"/>
        <v>5.2440255214959869E-5</v>
      </c>
      <c r="HB66" s="440"/>
      <c r="HC66" s="973">
        <v>92224.656585717632</v>
      </c>
      <c r="HD66" s="325">
        <f t="shared" si="176"/>
        <v>5.2440255214959869E-5</v>
      </c>
      <c r="HE66" s="440"/>
      <c r="HF66" s="508">
        <v>92224.656585717632</v>
      </c>
      <c r="HG66" s="325">
        <f t="shared" si="177"/>
        <v>5.2440255214959869E-5</v>
      </c>
      <c r="HH66" s="440"/>
      <c r="HI66" s="508">
        <v>92224.656585717632</v>
      </c>
      <c r="HJ66" s="325">
        <f t="shared" si="178"/>
        <v>5.2440255214959869E-5</v>
      </c>
      <c r="HK66" s="440"/>
      <c r="HL66" s="508">
        <v>92224.656585717632</v>
      </c>
      <c r="HM66" s="325">
        <f t="shared" si="179"/>
        <v>5.2440255214959869E-5</v>
      </c>
      <c r="HN66" s="440"/>
      <c r="HO66" s="508">
        <v>92224.656585717603</v>
      </c>
      <c r="HP66" s="325">
        <f t="shared" si="180"/>
        <v>5.2440255214959856E-5</v>
      </c>
      <c r="HQ66" s="440"/>
      <c r="HR66" s="508">
        <v>92224.656585717603</v>
      </c>
      <c r="HS66" s="325">
        <f t="shared" si="181"/>
        <v>5.2440255214959856E-5</v>
      </c>
      <c r="HT66" s="440"/>
      <c r="HU66" s="508">
        <v>92224.656585717603</v>
      </c>
      <c r="HV66" s="325">
        <f t="shared" si="182"/>
        <v>5.2440255214959856E-5</v>
      </c>
      <c r="HW66" s="440"/>
      <c r="HX66" s="440"/>
      <c r="HY66" s="440"/>
      <c r="HZ66" s="440"/>
      <c r="IA66" s="508">
        <v>134166.62000000005</v>
      </c>
      <c r="IB66" s="325">
        <f t="shared" ref="IB66:IB76" si="203">+IA66/IA$77</f>
        <v>1.8130268309555705E-4</v>
      </c>
    </row>
    <row r="67" spans="1:236" ht="14.4" hidden="1" customHeight="1">
      <c r="A67" t="e">
        <f>VLOOKUP(B67,#REF!,4,FALSE)</f>
        <v>#REF!</v>
      </c>
      <c r="B67" s="242" t="s">
        <v>462</v>
      </c>
      <c r="D67" s="278"/>
      <c r="E67" s="279"/>
      <c r="F67" s="280"/>
      <c r="G67" s="279"/>
      <c r="H67" s="280"/>
      <c r="I67" s="281"/>
      <c r="J67" s="280"/>
      <c r="K67" s="281"/>
      <c r="L67" s="280"/>
      <c r="M67" s="279"/>
      <c r="N67" s="280"/>
      <c r="O67" s="248"/>
      <c r="P67" s="280"/>
      <c r="Q67" s="248"/>
      <c r="R67" s="280"/>
      <c r="S67" s="248"/>
      <c r="T67" s="280"/>
      <c r="U67" s="248"/>
      <c r="V67" s="280"/>
      <c r="W67" s="248"/>
      <c r="X67" s="280"/>
      <c r="Y67" s="248"/>
      <c r="Z67" s="280"/>
      <c r="AA67" s="248"/>
      <c r="AB67" s="280"/>
      <c r="AC67" s="248"/>
      <c r="AD67" s="280"/>
      <c r="AE67" s="248"/>
      <c r="AF67" s="280"/>
      <c r="AG67" s="248"/>
      <c r="AH67" s="280"/>
      <c r="AI67" s="248"/>
      <c r="AJ67" s="280"/>
      <c r="AK67" s="248"/>
      <c r="AL67" s="280"/>
      <c r="AM67" s="248"/>
      <c r="AN67" s="280"/>
      <c r="AO67" s="248"/>
      <c r="AP67" s="280"/>
      <c r="AQ67" s="248"/>
      <c r="AR67" s="280"/>
      <c r="AS67" s="248"/>
      <c r="AT67" s="280"/>
      <c r="AU67" s="248"/>
      <c r="AV67" s="280"/>
      <c r="AW67" s="248"/>
      <c r="AX67" s="280"/>
      <c r="AY67" s="245"/>
      <c r="AZ67" s="280"/>
      <c r="BA67" s="245"/>
      <c r="BB67" s="280">
        <v>30000</v>
      </c>
      <c r="BC67" s="245">
        <f t="shared" si="136"/>
        <v>1.9418538755525664E-4</v>
      </c>
      <c r="BD67" s="280">
        <v>57500</v>
      </c>
      <c r="BE67" s="245">
        <f t="shared" si="137"/>
        <v>3.8816256244361772E-4</v>
      </c>
      <c r="BF67" s="280">
        <v>47500</v>
      </c>
      <c r="BG67" s="245">
        <f t="shared" si="138"/>
        <v>3.1330506505712185E-4</v>
      </c>
      <c r="BH67" s="280">
        <v>42500</v>
      </c>
      <c r="BI67" s="245">
        <f t="shared" si="139"/>
        <v>2.7259802157943695E-4</v>
      </c>
      <c r="BJ67" s="280">
        <v>42500</v>
      </c>
      <c r="BK67" s="245">
        <f t="shared" si="140"/>
        <v>2.5636477408220759E-4</v>
      </c>
      <c r="BL67" s="280">
        <v>92500</v>
      </c>
      <c r="BM67" s="245">
        <f t="shared" si="141"/>
        <v>4.9381246777198645E-4</v>
      </c>
      <c r="BN67" s="280">
        <v>195833.33000000002</v>
      </c>
      <c r="BO67" s="245">
        <f t="shared" si="142"/>
        <v>1.0582476055998348E-3</v>
      </c>
      <c r="BP67" s="280">
        <v>179166.66</v>
      </c>
      <c r="BQ67" s="245">
        <f t="shared" si="143"/>
        <v>9.4294278718214369E-4</v>
      </c>
      <c r="BR67" s="280">
        <v>313333.32</v>
      </c>
      <c r="BS67" s="245">
        <f t="shared" si="144"/>
        <v>1.513377993552585E-3</v>
      </c>
      <c r="BT67" s="280">
        <v>1345705.1</v>
      </c>
      <c r="BU67" s="245">
        <f t="shared" si="145"/>
        <v>5.8516208505795817E-3</v>
      </c>
      <c r="BV67" s="280">
        <v>2620233.8600000003</v>
      </c>
      <c r="BW67" s="245">
        <f t="shared" si="146"/>
        <v>1.1096707956841383E-2</v>
      </c>
      <c r="BX67" s="280">
        <v>2423724.1999999997</v>
      </c>
      <c r="BY67" s="245">
        <f t="shared" si="147"/>
        <v>9.2731607833837406E-3</v>
      </c>
      <c r="BZ67" s="280">
        <v>1724778.7099999997</v>
      </c>
      <c r="CA67" s="245">
        <f t="shared" si="148"/>
        <v>6.3361271762095101E-3</v>
      </c>
      <c r="CB67" s="280">
        <v>1198009.49</v>
      </c>
      <c r="CC67" s="245">
        <f t="shared" si="149"/>
        <v>4.2577548751619619E-3</v>
      </c>
      <c r="CD67" s="280">
        <v>882017.65</v>
      </c>
      <c r="CE67" s="245">
        <f t="shared" si="150"/>
        <v>2.8204127160753817E-3</v>
      </c>
      <c r="CF67" s="280">
        <v>606471.15</v>
      </c>
      <c r="CG67" s="245">
        <f t="shared" si="151"/>
        <v>1.7843147661087575E-3</v>
      </c>
      <c r="CH67" s="280">
        <v>836752.09000000008</v>
      </c>
      <c r="CI67" s="245">
        <f t="shared" si="152"/>
        <v>2.2833101569244667E-3</v>
      </c>
      <c r="CJ67" s="279"/>
      <c r="CK67" s="282">
        <v>824090.84000000008</v>
      </c>
      <c r="CL67" s="245">
        <f t="shared" si="153"/>
        <v>2.0431581240861786E-3</v>
      </c>
      <c r="CM67" s="279"/>
      <c r="CN67" s="282">
        <v>9693175.6499999985</v>
      </c>
      <c r="CO67" s="245">
        <f t="shared" si="154"/>
        <v>2.4336425220391273E-2</v>
      </c>
      <c r="CP67" s="279"/>
      <c r="CQ67" s="280">
        <v>15091584.07</v>
      </c>
      <c r="CR67" s="245">
        <f t="shared" si="155"/>
        <v>3.7214134993660102E-2</v>
      </c>
      <c r="CS67" s="279"/>
      <c r="CT67" s="424">
        <v>11787019.560000008</v>
      </c>
      <c r="CU67" s="245">
        <f t="shared" si="156"/>
        <v>2.6602546141449628E-2</v>
      </c>
      <c r="CV67" s="198"/>
      <c r="CW67" s="424">
        <v>17393071.289999995</v>
      </c>
      <c r="CX67" s="245">
        <f t="shared" si="157"/>
        <v>3.7799881380859456E-2</v>
      </c>
      <c r="CY67" s="438"/>
      <c r="CZ67" s="424">
        <v>19614482.190000009</v>
      </c>
      <c r="DA67" s="245">
        <f t="shared" si="158"/>
        <v>4.1366809747629359E-2</v>
      </c>
      <c r="DB67" s="438"/>
      <c r="DC67" s="424">
        <v>21449108.57</v>
      </c>
      <c r="DD67" s="245">
        <f t="shared" si="159"/>
        <v>4.2787793727415542E-2</v>
      </c>
      <c r="DE67" s="438"/>
      <c r="DF67" s="508">
        <v>16138868.150000002</v>
      </c>
      <c r="DG67" s="245">
        <f t="shared" si="160"/>
        <v>3.020662209318653E-2</v>
      </c>
      <c r="DH67" s="438"/>
      <c r="DI67" s="508">
        <v>18534265.920000006</v>
      </c>
      <c r="DJ67" s="245">
        <f t="shared" si="161"/>
        <v>3.3432125856657446E-2</v>
      </c>
      <c r="DK67" s="438"/>
      <c r="DL67" s="508">
        <v>324547.12</v>
      </c>
      <c r="DM67" s="245">
        <f t="shared" si="162"/>
        <v>5.6239511787076592E-4</v>
      </c>
      <c r="DN67" s="438"/>
      <c r="DO67" s="508">
        <v>272936.03999999998</v>
      </c>
      <c r="DP67" s="575">
        <f t="shared" si="163"/>
        <v>4.462241621903511E-4</v>
      </c>
      <c r="DQ67" s="440"/>
      <c r="DR67" s="508">
        <v>294458.22000000003</v>
      </c>
      <c r="DS67" s="575">
        <f t="shared" si="164"/>
        <v>4.7301916204629569E-4</v>
      </c>
      <c r="DT67" s="440"/>
      <c r="DU67" s="508">
        <v>324047.14</v>
      </c>
      <c r="DV67" s="575">
        <f t="shared" si="183"/>
        <v>4.7127390332325444E-4</v>
      </c>
      <c r="DW67" s="440"/>
      <c r="DX67" s="508">
        <v>251452.69999999995</v>
      </c>
      <c r="DY67" s="325">
        <f t="shared" si="184"/>
        <v>3.7468688533834831E-4</v>
      </c>
      <c r="DZ67" s="440"/>
      <c r="EA67" s="508">
        <v>165383.23000000001</v>
      </c>
      <c r="EB67" s="325">
        <f t="shared" si="185"/>
        <v>2.3654858359397002E-4</v>
      </c>
      <c r="EC67" s="440"/>
      <c r="ED67" s="508">
        <v>148716.6</v>
      </c>
      <c r="EE67" s="325">
        <f t="shared" si="186"/>
        <v>2.0096443214302271E-4</v>
      </c>
      <c r="EF67" s="440"/>
      <c r="EG67" s="424">
        <v>113549.93000000002</v>
      </c>
      <c r="EH67" s="245">
        <f t="shared" si="165"/>
        <v>1.4203524241396674E-4</v>
      </c>
      <c r="EI67" s="438"/>
      <c r="EJ67" s="424">
        <v>185216.63999999998</v>
      </c>
      <c r="EK67" s="245">
        <f t="shared" si="166"/>
        <v>2.2059584193279426E-4</v>
      </c>
      <c r="EL67" s="438"/>
      <c r="EM67" s="424">
        <v>150216.59000000003</v>
      </c>
      <c r="EN67" s="245">
        <f t="shared" si="167"/>
        <v>1.6864133237721565E-4</v>
      </c>
      <c r="EO67" s="438"/>
      <c r="EP67" s="508">
        <v>365832.94000000006</v>
      </c>
      <c r="EQ67" s="245">
        <f t="shared" si="168"/>
        <v>3.8653632931175716E-4</v>
      </c>
      <c r="ER67" s="438"/>
      <c r="ES67" s="508">
        <v>877223.10000000009</v>
      </c>
      <c r="ET67" s="245">
        <f t="shared" si="169"/>
        <v>8.8141686709536078E-4</v>
      </c>
      <c r="EU67" s="438"/>
      <c r="EV67" s="508">
        <v>1204226.18</v>
      </c>
      <c r="EW67" s="245">
        <f t="shared" si="170"/>
        <v>1.114933455725267E-3</v>
      </c>
      <c r="EX67" s="438"/>
      <c r="EY67" s="508">
        <v>1644415.1599999997</v>
      </c>
      <c r="EZ67" s="575">
        <f t="shared" si="171"/>
        <v>1.4482041984209882E-3</v>
      </c>
      <c r="FA67" s="440"/>
      <c r="FB67" s="508">
        <v>1882487.7899999998</v>
      </c>
      <c r="FC67" s="575">
        <f t="shared" si="187"/>
        <v>1.5646323195729597E-3</v>
      </c>
      <c r="FD67" s="440"/>
      <c r="FE67" s="508">
        <v>2122340.8199999998</v>
      </c>
      <c r="FF67" s="575">
        <f t="shared" si="188"/>
        <v>1.605702184486889E-3</v>
      </c>
      <c r="FG67" s="440"/>
      <c r="FH67" s="508">
        <v>2092953.8899999994</v>
      </c>
      <c r="FI67" s="325">
        <f t="shared" si="189"/>
        <v>1.5313333704836118E-3</v>
      </c>
      <c r="FJ67" s="440"/>
      <c r="FK67" s="508">
        <v>2336911.6199999987</v>
      </c>
      <c r="FL67" s="325">
        <f t="shared" si="190"/>
        <v>1.5929019762395641E-3</v>
      </c>
      <c r="FM67" s="440"/>
      <c r="FN67" s="508">
        <v>2512112.8699999996</v>
      </c>
      <c r="FO67" s="325">
        <f t="shared" si="191"/>
        <v>1.5733068317139067E-3</v>
      </c>
      <c r="FP67" s="440"/>
      <c r="FQ67" s="508">
        <v>2448389.4899999984</v>
      </c>
      <c r="FR67" s="325">
        <f t="shared" si="192"/>
        <v>1.4698874290189048E-3</v>
      </c>
      <c r="FS67" s="440"/>
      <c r="FT67" s="508">
        <v>2302449.8099999921</v>
      </c>
      <c r="FU67" s="325">
        <f t="shared" si="193"/>
        <v>1.3459738230468194E-3</v>
      </c>
      <c r="FV67" s="440"/>
      <c r="FW67" s="508">
        <v>2476073.3514766227</v>
      </c>
      <c r="FX67" s="325">
        <f t="shared" si="194"/>
        <v>1.407930626032862E-3</v>
      </c>
      <c r="FY67" s="440"/>
      <c r="FZ67" s="508">
        <v>2476073.3514766227</v>
      </c>
      <c r="GA67" s="325">
        <f t="shared" si="195"/>
        <v>1.407930626032862E-3</v>
      </c>
      <c r="GB67" s="440"/>
      <c r="GC67" s="508">
        <v>2476073.3514766227</v>
      </c>
      <c r="GD67" s="325">
        <f t="shared" si="196"/>
        <v>1.407930626032862E-3</v>
      </c>
      <c r="GE67" s="508">
        <v>2476073.3514766227</v>
      </c>
      <c r="GF67" s="325">
        <f t="shared" si="197"/>
        <v>1.407930626032862E-3</v>
      </c>
      <c r="GG67" s="973">
        <v>2476073.3514766227</v>
      </c>
      <c r="GH67" s="325">
        <f t="shared" si="198"/>
        <v>1.407930626032862E-3</v>
      </c>
      <c r="GI67" s="973">
        <v>2476073.3514766227</v>
      </c>
      <c r="GJ67" s="325">
        <f t="shared" si="199"/>
        <v>1.407930626032862E-3</v>
      </c>
      <c r="GK67" s="973">
        <v>2476073.3514766227</v>
      </c>
      <c r="GL67" s="325">
        <f t="shared" si="200"/>
        <v>1.407930626032862E-3</v>
      </c>
      <c r="GM67" s="973">
        <v>2476073.3514766227</v>
      </c>
      <c r="GN67" s="325">
        <f t="shared" si="201"/>
        <v>1.407930626032862E-3</v>
      </c>
      <c r="GO67" s="973">
        <v>2476073.3514766227</v>
      </c>
      <c r="GP67" s="325">
        <f t="shared" si="202"/>
        <v>1.407930626032862E-3</v>
      </c>
      <c r="GQ67" s="973">
        <v>2476073.3514766227</v>
      </c>
      <c r="GR67" s="325">
        <f t="shared" si="172"/>
        <v>1.407930626032862E-3</v>
      </c>
      <c r="GS67" s="440"/>
      <c r="GT67" s="973">
        <v>2476073.3514766227</v>
      </c>
      <c r="GU67" s="325">
        <f t="shared" si="173"/>
        <v>1.407930626032862E-3</v>
      </c>
      <c r="GV67" s="440"/>
      <c r="GW67" s="1051">
        <v>2476073.3514766227</v>
      </c>
      <c r="GX67" s="325">
        <f t="shared" si="174"/>
        <v>1.407930626032862E-3</v>
      </c>
      <c r="GY67" s="440"/>
      <c r="GZ67" s="1051">
        <v>2476073.3514766227</v>
      </c>
      <c r="HA67" s="325">
        <f t="shared" si="175"/>
        <v>1.407930626032862E-3</v>
      </c>
      <c r="HB67" s="440"/>
      <c r="HC67" s="973">
        <v>2476073.3514766227</v>
      </c>
      <c r="HD67" s="325">
        <f t="shared" si="176"/>
        <v>1.407930626032862E-3</v>
      </c>
      <c r="HE67" s="440"/>
      <c r="HF67" s="508">
        <v>2476073.3514766227</v>
      </c>
      <c r="HG67" s="325">
        <f t="shared" si="177"/>
        <v>1.407930626032862E-3</v>
      </c>
      <c r="HH67" s="440"/>
      <c r="HI67" s="508">
        <v>2476073.3514766227</v>
      </c>
      <c r="HJ67" s="325">
        <f t="shared" si="178"/>
        <v>1.407930626032862E-3</v>
      </c>
      <c r="HK67" s="440"/>
      <c r="HL67" s="508">
        <v>2476073.3514766227</v>
      </c>
      <c r="HM67" s="325">
        <f t="shared" si="179"/>
        <v>1.407930626032862E-3</v>
      </c>
      <c r="HN67" s="440"/>
      <c r="HO67" s="508">
        <v>2476073.3514766227</v>
      </c>
      <c r="HP67" s="325">
        <f t="shared" si="180"/>
        <v>1.407930626032862E-3</v>
      </c>
      <c r="HQ67" s="440"/>
      <c r="HR67" s="508">
        <v>2476073.3514766227</v>
      </c>
      <c r="HS67" s="325">
        <f t="shared" si="181"/>
        <v>1.407930626032862E-3</v>
      </c>
      <c r="HT67" s="440"/>
      <c r="HU67" s="508">
        <v>2476073.3514766227</v>
      </c>
      <c r="HV67" s="325">
        <f t="shared" si="182"/>
        <v>1.407930626032862E-3</v>
      </c>
      <c r="HW67" s="440"/>
      <c r="HX67" s="440"/>
      <c r="HY67" s="440"/>
      <c r="HZ67" s="440"/>
      <c r="IA67" s="508">
        <v>148716.6</v>
      </c>
      <c r="IB67" s="325">
        <f t="shared" si="203"/>
        <v>2.0096443214302271E-4</v>
      </c>
    </row>
    <row r="68" spans="1:236" ht="14.4" hidden="1" customHeight="1">
      <c r="A68" t="e">
        <f>VLOOKUP(B68,#REF!,4,FALSE)</f>
        <v>#REF!</v>
      </c>
      <c r="B68" s="242" t="s">
        <v>463</v>
      </c>
      <c r="D68" s="278">
        <v>15423368.050000001</v>
      </c>
      <c r="E68" s="279">
        <v>0.59459661296212762</v>
      </c>
      <c r="F68" s="280">
        <v>15110477.109999999</v>
      </c>
      <c r="G68" s="279">
        <v>0.57478051430478994</v>
      </c>
      <c r="H68" s="280">
        <v>16755382.710000001</v>
      </c>
      <c r="I68" s="281">
        <v>0.55384841640694915</v>
      </c>
      <c r="J68" s="280">
        <v>18130231.290000003</v>
      </c>
      <c r="K68" s="281">
        <v>0.5297436618316218</v>
      </c>
      <c r="L68" s="280">
        <v>18975345.209999997</v>
      </c>
      <c r="M68" s="279">
        <v>0.51275911677301378</v>
      </c>
      <c r="N68" s="280">
        <v>19952805.610000007</v>
      </c>
      <c r="O68" s="248">
        <f>+N68/$N$77</f>
        <v>0.45848724036771799</v>
      </c>
      <c r="P68" s="280">
        <v>20976023.309999999</v>
      </c>
      <c r="Q68" s="248">
        <f>+P68/$P$77</f>
        <v>0.42160782648037171</v>
      </c>
      <c r="R68" s="280">
        <v>21576930.829999998</v>
      </c>
      <c r="S68" s="248">
        <f>+R68/$R$77</f>
        <v>0.42210097924656087</v>
      </c>
      <c r="T68" s="280">
        <v>23588328.129999999</v>
      </c>
      <c r="U68" s="248">
        <f>+T68/$T$77</f>
        <v>0.41471812823142895</v>
      </c>
      <c r="V68" s="280">
        <v>26835781.84</v>
      </c>
      <c r="W68" s="248">
        <f>+V68/$V$77</f>
        <v>0.41938884003658289</v>
      </c>
      <c r="X68" s="280">
        <v>23944791.41</v>
      </c>
      <c r="Y68" s="248">
        <f>+X68/$X$77</f>
        <v>0.37557714457945068</v>
      </c>
      <c r="Z68" s="280">
        <v>23053358.77</v>
      </c>
      <c r="AA68" s="248">
        <f>+Z68/$Z$77</f>
        <v>0.3469902132901822</v>
      </c>
      <c r="AB68" s="280">
        <v>23044467.579999998</v>
      </c>
      <c r="AC68" s="248">
        <f>+AB68/$AB$77</f>
        <v>0.30830032732059481</v>
      </c>
      <c r="AD68" s="280">
        <v>22975708.329999998</v>
      </c>
      <c r="AE68" s="248">
        <f>+AD68/$AD$77</f>
        <v>0.29306238440811178</v>
      </c>
      <c r="AF68" s="280">
        <v>24535810.079999998</v>
      </c>
      <c r="AG68" s="248">
        <f>+AF68/$AF$77</f>
        <v>0.28335193333098596</v>
      </c>
      <c r="AH68" s="280">
        <v>22631896.57</v>
      </c>
      <c r="AI68" s="248">
        <f>+AH68/$AH$77</f>
        <v>0.23863343531314737</v>
      </c>
      <c r="AJ68" s="280">
        <v>24098477.03999998</v>
      </c>
      <c r="AK68" s="248">
        <f>+AJ68/$AJ$77</f>
        <v>0.22627126206702658</v>
      </c>
      <c r="AL68" s="280">
        <v>24496962.659999985</v>
      </c>
      <c r="AM68" s="248">
        <f>+AL68/$AL$77</f>
        <v>0.20749192944470851</v>
      </c>
      <c r="AN68" s="280">
        <v>30433413.379999995</v>
      </c>
      <c r="AO68" s="248">
        <f>+AN68/$AN$77</f>
        <v>0.21354580656331823</v>
      </c>
      <c r="AP68" s="280">
        <v>29245102.829999998</v>
      </c>
      <c r="AQ68" s="248">
        <f>+AP68/$AP$77</f>
        <v>0.19530159751249326</v>
      </c>
      <c r="AR68" s="280">
        <f>29095511.57-201923.1+573.17</f>
        <v>28894161.640000001</v>
      </c>
      <c r="AS68" s="248">
        <f>+AR68/$AR$77</f>
        <v>0.18413428480910554</v>
      </c>
      <c r="AT68" s="280">
        <v>30872750.129999984</v>
      </c>
      <c r="AU68" s="248">
        <f>+AT68/$AT$77</f>
        <v>0.17394904262711156</v>
      </c>
      <c r="AV68" s="280">
        <v>28217657.260000024</v>
      </c>
      <c r="AW68" s="248">
        <f>+AV68/$AV$77</f>
        <v>0.16531130353436327</v>
      </c>
      <c r="AX68" s="280">
        <v>24433509.400000013</v>
      </c>
      <c r="AY68" s="245">
        <f>+AX68/$AX$77</f>
        <v>0.15562000404225504</v>
      </c>
      <c r="AZ68" s="280">
        <v>22585640.48</v>
      </c>
      <c r="BA68" s="245">
        <f>+AZ68/$AZ$77</f>
        <v>0.14549756432845948</v>
      </c>
      <c r="BB68" s="280">
        <v>21539849.020000029</v>
      </c>
      <c r="BC68" s="245">
        <f t="shared" si="136"/>
        <v>0.13942413099434736</v>
      </c>
      <c r="BD68" s="280">
        <v>19104704.950000003</v>
      </c>
      <c r="BE68" s="245">
        <f t="shared" si="137"/>
        <v>0.12896923874993513</v>
      </c>
      <c r="BF68" s="280">
        <v>18089031.380000003</v>
      </c>
      <c r="BG68" s="245">
        <f t="shared" si="138"/>
        <v>0.11931337164907831</v>
      </c>
      <c r="BH68" s="280">
        <f>17829520.72+5863.77</f>
        <v>17835384.489999998</v>
      </c>
      <c r="BI68" s="245">
        <f t="shared" si="139"/>
        <v>0.1143974241431194</v>
      </c>
      <c r="BJ68" s="280">
        <f>18415108.49</f>
        <v>18415108.489999998</v>
      </c>
      <c r="BK68" s="245">
        <f t="shared" si="140"/>
        <v>0.11108200300560454</v>
      </c>
      <c r="BL68" s="280">
        <f>21092264.71+735.56</f>
        <v>21093000.27</v>
      </c>
      <c r="BM68" s="245">
        <f t="shared" si="141"/>
        <v>0.11260525963290677</v>
      </c>
      <c r="BN68" s="280">
        <v>20415675.559999991</v>
      </c>
      <c r="BO68" s="245">
        <f t="shared" si="142"/>
        <v>0.11032258797862987</v>
      </c>
      <c r="BP68" s="280">
        <f>20340372.18-500</f>
        <v>20339872.18</v>
      </c>
      <c r="BQ68" s="245">
        <f t="shared" si="143"/>
        <v>0.10704745941202311</v>
      </c>
      <c r="BR68" s="280">
        <f>21136831.23+18044.77</f>
        <v>21154876</v>
      </c>
      <c r="BS68" s="245">
        <f t="shared" si="144"/>
        <v>0.10217656965028084</v>
      </c>
      <c r="BT68" s="280">
        <v>22803622.609999988</v>
      </c>
      <c r="BU68" s="245">
        <f t="shared" si="145"/>
        <v>9.9158540406381682E-2</v>
      </c>
      <c r="BV68" s="280">
        <v>21680908.789999999</v>
      </c>
      <c r="BW68" s="245">
        <f t="shared" si="146"/>
        <v>9.1818794022280603E-2</v>
      </c>
      <c r="BX68" s="280">
        <v>20725419.109999992</v>
      </c>
      <c r="BY68" s="245">
        <f t="shared" si="147"/>
        <v>7.9295385056618192E-2</v>
      </c>
      <c r="BZ68" s="280">
        <f>20379540.79-70499.93</f>
        <v>20309040.859999999</v>
      </c>
      <c r="CA68" s="245">
        <f t="shared" si="148"/>
        <v>7.4607058267663437E-2</v>
      </c>
      <c r="CB68" s="280">
        <v>20869646.629999999</v>
      </c>
      <c r="CC68" s="245">
        <f t="shared" si="149"/>
        <v>7.4171231883805769E-2</v>
      </c>
      <c r="CD68" s="280">
        <v>23504722.310000006</v>
      </c>
      <c r="CE68" s="245">
        <f t="shared" si="150"/>
        <v>7.516064751192307E-2</v>
      </c>
      <c r="CF68" s="280">
        <v>28178384.890000008</v>
      </c>
      <c r="CG68" s="245">
        <f t="shared" si="151"/>
        <v>8.2904369390568555E-2</v>
      </c>
      <c r="CH68" s="280">
        <v>30513252.70000001</v>
      </c>
      <c r="CI68" s="245">
        <f t="shared" si="152"/>
        <v>8.3263873067485172E-2</v>
      </c>
      <c r="CJ68" s="279"/>
      <c r="CK68" s="282">
        <v>32413615.260000009</v>
      </c>
      <c r="CL68" s="245">
        <f t="shared" si="153"/>
        <v>8.0362671364570371E-2</v>
      </c>
      <c r="CM68" s="279"/>
      <c r="CN68" s="282">
        <v>30922497.870000005</v>
      </c>
      <c r="CO68" s="245">
        <f t="shared" si="154"/>
        <v>7.7636378851853732E-2</v>
      </c>
      <c r="CP68" s="279"/>
      <c r="CQ68" s="280">
        <v>30494759.840000015</v>
      </c>
      <c r="CR68" s="245">
        <f t="shared" si="155"/>
        <v>7.5196619786315463E-2</v>
      </c>
      <c r="CS68" s="279"/>
      <c r="CT68" s="424">
        <v>29753163.569999997</v>
      </c>
      <c r="CU68" s="245">
        <f t="shared" si="156"/>
        <v>6.715097932059616E-2</v>
      </c>
      <c r="CV68" s="198"/>
      <c r="CW68" s="424">
        <v>32033284.439999986</v>
      </c>
      <c r="CX68" s="245">
        <f t="shared" si="157"/>
        <v>6.9617052209031152E-2</v>
      </c>
      <c r="CY68" s="438"/>
      <c r="CZ68" s="424">
        <v>33012944.77999999</v>
      </c>
      <c r="DA68" s="245">
        <f t="shared" si="158"/>
        <v>6.962407636840362E-2</v>
      </c>
      <c r="DB68" s="438"/>
      <c r="DC68" s="424">
        <v>36434865.779999994</v>
      </c>
      <c r="DD68" s="245">
        <f t="shared" si="159"/>
        <v>7.2682159092670909E-2</v>
      </c>
      <c r="DE68" s="438"/>
      <c r="DF68" s="508">
        <v>38841848.899999999</v>
      </c>
      <c r="DG68" s="245">
        <f t="shared" si="160"/>
        <v>7.2699091424385465E-2</v>
      </c>
      <c r="DH68" s="438"/>
      <c r="DI68" s="508">
        <v>39338512.980000012</v>
      </c>
      <c r="DJ68" s="245">
        <f t="shared" si="161"/>
        <v>7.0958845774514084E-2</v>
      </c>
      <c r="DK68" s="438"/>
      <c r="DL68" s="508">
        <v>39256860.539999999</v>
      </c>
      <c r="DM68" s="245">
        <f t="shared" si="162"/>
        <v>6.8026691195501976E-2</v>
      </c>
      <c r="DN68" s="438"/>
      <c r="DO68" s="508">
        <v>44652454.960000008</v>
      </c>
      <c r="DP68" s="575">
        <f t="shared" si="163"/>
        <v>7.3002467187068418E-2</v>
      </c>
      <c r="DQ68" s="440"/>
      <c r="DR68" s="508">
        <v>49658756.959999956</v>
      </c>
      <c r="DS68" s="575">
        <f t="shared" si="164"/>
        <v>7.9772076342374917E-2</v>
      </c>
      <c r="DT68" s="440"/>
      <c r="DU68" s="508">
        <v>53963079.150000043</v>
      </c>
      <c r="DV68" s="575">
        <f t="shared" si="183"/>
        <v>7.8480528932803564E-2</v>
      </c>
      <c r="DW68" s="440"/>
      <c r="DX68" s="508">
        <v>49796782.270000018</v>
      </c>
      <c r="DY68" s="325">
        <f t="shared" si="184"/>
        <v>7.4201634138818945E-2</v>
      </c>
      <c r="DZ68" s="440"/>
      <c r="EA68" s="508">
        <v>53336579.720000006</v>
      </c>
      <c r="EB68" s="325">
        <f t="shared" si="185"/>
        <v>7.6287616262621469E-2</v>
      </c>
      <c r="EC68" s="440"/>
      <c r="ED68" s="508">
        <v>58366866.630000047</v>
      </c>
      <c r="EE68" s="325">
        <f t="shared" si="186"/>
        <v>7.8872595313942764E-2</v>
      </c>
      <c r="EF68" s="440"/>
      <c r="EG68" s="424">
        <v>52685108.840000056</v>
      </c>
      <c r="EH68" s="245">
        <f t="shared" si="165"/>
        <v>6.590177735640726E-2</v>
      </c>
      <c r="EI68" s="438"/>
      <c r="EJ68" s="424">
        <v>50032529.780000046</v>
      </c>
      <c r="EK68" s="245">
        <f t="shared" si="166"/>
        <v>5.9589505731486719E-2</v>
      </c>
      <c r="EL68" s="438"/>
      <c r="EM68" s="424">
        <v>54647627.280000046</v>
      </c>
      <c r="EN68" s="245">
        <f t="shared" si="167"/>
        <v>6.1350405276492319E-2</v>
      </c>
      <c r="EO68" s="438"/>
      <c r="EP68" s="508">
        <v>45153253.839999966</v>
      </c>
      <c r="EQ68" s="245">
        <f t="shared" si="168"/>
        <v>4.7708587957649706E-2</v>
      </c>
      <c r="ER68" s="438"/>
      <c r="ES68" s="508">
        <v>45365064.460000031</v>
      </c>
      <c r="ET68" s="245">
        <f t="shared" si="169"/>
        <v>4.5581942600362801E-2</v>
      </c>
      <c r="EU68" s="438"/>
      <c r="EV68" s="508">
        <v>52282231.470000044</v>
      </c>
      <c r="EW68" s="245">
        <f t="shared" si="170"/>
        <v>4.8405532095204457E-2</v>
      </c>
      <c r="EX68" s="438"/>
      <c r="EY68" s="508">
        <v>53702861.490000032</v>
      </c>
      <c r="EZ68" s="575">
        <f t="shared" si="171"/>
        <v>4.7295057458019825E-2</v>
      </c>
      <c r="FA68" s="440"/>
      <c r="FB68" s="508">
        <v>64106176.320000112</v>
      </c>
      <c r="FC68" s="575">
        <f t="shared" si="187"/>
        <v>5.3281936747390499E-2</v>
      </c>
      <c r="FD68" s="440"/>
      <c r="FE68" s="508">
        <v>76159984.069999963</v>
      </c>
      <c r="FF68" s="575">
        <f t="shared" si="188"/>
        <v>5.7620459277452726E-2</v>
      </c>
      <c r="FG68" s="440"/>
      <c r="FH68" s="508">
        <v>71986604.190000042</v>
      </c>
      <c r="FI68" s="325">
        <f t="shared" si="189"/>
        <v>5.2669812627330503E-2</v>
      </c>
      <c r="FJ68" s="440"/>
      <c r="FK68" s="508">
        <v>75517789.570000052</v>
      </c>
      <c r="FL68" s="325">
        <f t="shared" si="190"/>
        <v>5.1474961747717568E-2</v>
      </c>
      <c r="FM68" s="440"/>
      <c r="FN68" s="508">
        <v>73247662.979999989</v>
      </c>
      <c r="FO68" s="325">
        <f t="shared" si="191"/>
        <v>4.5874152371788858E-2</v>
      </c>
      <c r="FP68" s="440"/>
      <c r="FQ68" s="508">
        <v>73736442.010000005</v>
      </c>
      <c r="FR68" s="325">
        <f t="shared" si="192"/>
        <v>4.4267576549301621E-2</v>
      </c>
      <c r="FS68" s="440"/>
      <c r="FT68" s="508">
        <v>80061725.080000058</v>
      </c>
      <c r="FU68" s="325">
        <f t="shared" si="193"/>
        <v>4.6802751450921512E-2</v>
      </c>
      <c r="FV68" s="440"/>
      <c r="FW68" s="508">
        <v>80080938.684802979</v>
      </c>
      <c r="FX68" s="325">
        <f t="shared" si="194"/>
        <v>4.553516400011156E-2</v>
      </c>
      <c r="FY68" s="440"/>
      <c r="FZ68" s="508">
        <v>80080938.684802979</v>
      </c>
      <c r="GA68" s="325">
        <f t="shared" si="195"/>
        <v>4.553516400011156E-2</v>
      </c>
      <c r="GB68" s="440"/>
      <c r="GC68" s="508">
        <v>80080938.684802979</v>
      </c>
      <c r="GD68" s="325">
        <f t="shared" si="196"/>
        <v>4.553516400011156E-2</v>
      </c>
      <c r="GE68" s="508">
        <v>80080938.684802979</v>
      </c>
      <c r="GF68" s="325">
        <f t="shared" si="197"/>
        <v>4.553516400011156E-2</v>
      </c>
      <c r="GG68" s="973">
        <v>80080938.684802979</v>
      </c>
      <c r="GH68" s="325">
        <f t="shared" si="198"/>
        <v>4.553516400011156E-2</v>
      </c>
      <c r="GI68" s="973">
        <v>80080938.684802979</v>
      </c>
      <c r="GJ68" s="325">
        <f t="shared" si="199"/>
        <v>4.553516400011156E-2</v>
      </c>
      <c r="GK68" s="973">
        <v>80080938.684802979</v>
      </c>
      <c r="GL68" s="325">
        <f t="shared" si="200"/>
        <v>4.553516400011156E-2</v>
      </c>
      <c r="GM68" s="973">
        <v>80080938.684802979</v>
      </c>
      <c r="GN68" s="325">
        <f t="shared" si="201"/>
        <v>4.553516400011156E-2</v>
      </c>
      <c r="GO68" s="973">
        <v>80080938.684802979</v>
      </c>
      <c r="GP68" s="325">
        <f t="shared" si="202"/>
        <v>4.553516400011156E-2</v>
      </c>
      <c r="GQ68" s="973">
        <v>80080938.684802979</v>
      </c>
      <c r="GR68" s="325">
        <f t="shared" si="172"/>
        <v>4.553516400011156E-2</v>
      </c>
      <c r="GS68" s="440"/>
      <c r="GT68" s="973">
        <v>80080938.684802979</v>
      </c>
      <c r="GU68" s="325">
        <f t="shared" si="173"/>
        <v>4.553516400011156E-2</v>
      </c>
      <c r="GV68" s="440"/>
      <c r="GW68" s="1051">
        <v>80080938.684802979</v>
      </c>
      <c r="GX68" s="325">
        <f t="shared" si="174"/>
        <v>4.553516400011156E-2</v>
      </c>
      <c r="GY68" s="440"/>
      <c r="GZ68" s="1051">
        <v>80080938.684802979</v>
      </c>
      <c r="HA68" s="325">
        <f t="shared" si="175"/>
        <v>4.553516400011156E-2</v>
      </c>
      <c r="HB68" s="440"/>
      <c r="HC68" s="973">
        <v>80080938.684802979</v>
      </c>
      <c r="HD68" s="325">
        <f t="shared" si="176"/>
        <v>4.553516400011156E-2</v>
      </c>
      <c r="HE68" s="440"/>
      <c r="HF68" s="508">
        <v>80080938.684802979</v>
      </c>
      <c r="HG68" s="325">
        <f t="shared" si="177"/>
        <v>4.553516400011156E-2</v>
      </c>
      <c r="HH68" s="440"/>
      <c r="HI68" s="508">
        <v>80080938.684802979</v>
      </c>
      <c r="HJ68" s="325">
        <f t="shared" si="178"/>
        <v>4.553516400011156E-2</v>
      </c>
      <c r="HK68" s="440"/>
      <c r="HL68" s="508">
        <v>80080938.684802979</v>
      </c>
      <c r="HM68" s="325">
        <f t="shared" si="179"/>
        <v>4.553516400011156E-2</v>
      </c>
      <c r="HN68" s="440"/>
      <c r="HO68" s="508">
        <v>80080938.684802979</v>
      </c>
      <c r="HP68" s="325">
        <f t="shared" si="180"/>
        <v>4.553516400011156E-2</v>
      </c>
      <c r="HQ68" s="440"/>
      <c r="HR68" s="508">
        <v>80080938.684802979</v>
      </c>
      <c r="HS68" s="325">
        <f t="shared" si="181"/>
        <v>4.553516400011156E-2</v>
      </c>
      <c r="HT68" s="440"/>
      <c r="HU68" s="508">
        <v>80080938.684802979</v>
      </c>
      <c r="HV68" s="325">
        <f t="shared" si="182"/>
        <v>4.553516400011156E-2</v>
      </c>
      <c r="HW68" s="440"/>
      <c r="HX68" s="440"/>
      <c r="HY68" s="440"/>
      <c r="HZ68" s="440"/>
      <c r="IA68" s="508">
        <v>58366866.630000047</v>
      </c>
      <c r="IB68" s="325">
        <f t="shared" si="203"/>
        <v>7.8872595313942764E-2</v>
      </c>
    </row>
    <row r="69" spans="1:236" ht="14.4" hidden="1" customHeight="1">
      <c r="A69" t="e">
        <f>VLOOKUP(B69,#REF!,4,FALSE)</f>
        <v>#REF!</v>
      </c>
      <c r="B69" s="242" t="s">
        <v>464</v>
      </c>
      <c r="D69" s="278"/>
      <c r="E69" s="279"/>
      <c r="F69" s="280"/>
      <c r="G69" s="279"/>
      <c r="H69" s="280"/>
      <c r="I69" s="281"/>
      <c r="J69" s="280"/>
      <c r="K69" s="281"/>
      <c r="L69" s="280"/>
      <c r="M69" s="279"/>
      <c r="N69" s="280"/>
      <c r="O69" s="248"/>
      <c r="P69" s="280"/>
      <c r="Q69" s="248"/>
      <c r="R69" s="280"/>
      <c r="S69" s="248"/>
      <c r="T69" s="280"/>
      <c r="U69" s="248"/>
      <c r="V69" s="280"/>
      <c r="W69" s="248"/>
      <c r="X69" s="280"/>
      <c r="Y69" s="248"/>
      <c r="Z69" s="280"/>
      <c r="AA69" s="248"/>
      <c r="AB69" s="280"/>
      <c r="AC69" s="248"/>
      <c r="AD69" s="280"/>
      <c r="AE69" s="248"/>
      <c r="AF69" s="280"/>
      <c r="AG69" s="248"/>
      <c r="AH69" s="280"/>
      <c r="AI69" s="248"/>
      <c r="AJ69" s="280"/>
      <c r="AK69" s="248"/>
      <c r="AL69" s="280"/>
      <c r="AM69" s="248"/>
      <c r="AN69" s="280"/>
      <c r="AO69" s="248"/>
      <c r="AP69" s="280"/>
      <c r="AQ69" s="248"/>
      <c r="AR69" s="280">
        <v>0</v>
      </c>
      <c r="AS69" s="248">
        <f>+AR69/$AR$77</f>
        <v>0</v>
      </c>
      <c r="AT69" s="280">
        <v>0</v>
      </c>
      <c r="AU69" s="248">
        <f>+AT69/$AT$77</f>
        <v>0</v>
      </c>
      <c r="AV69" s="280">
        <v>174166.67</v>
      </c>
      <c r="AW69" s="248">
        <f>+AV69/$AV$77</f>
        <v>1.0203440698371875E-3</v>
      </c>
      <c r="AX69" s="280">
        <v>142500.01</v>
      </c>
      <c r="AY69" s="245">
        <f>+AX69/$AX$77</f>
        <v>9.0759995910458008E-4</v>
      </c>
      <c r="AZ69" s="280">
        <v>582083.34000000008</v>
      </c>
      <c r="BA69" s="245">
        <f>+AZ69/$AZ$77</f>
        <v>3.7498032557974448E-3</v>
      </c>
      <c r="BB69" s="280">
        <v>944666.66999999993</v>
      </c>
      <c r="BC69" s="245">
        <f t="shared" si="136"/>
        <v>6.114682114149457E-3</v>
      </c>
      <c r="BD69" s="280">
        <v>1437600.03</v>
      </c>
      <c r="BE69" s="245">
        <f t="shared" si="137"/>
        <v>9.7047393289360299E-3</v>
      </c>
      <c r="BF69" s="280">
        <v>1635100.05</v>
      </c>
      <c r="BG69" s="245">
        <f t="shared" si="138"/>
        <v>1.0784950053476908E-2</v>
      </c>
      <c r="BH69" s="280">
        <v>1746380.8099999998</v>
      </c>
      <c r="BI69" s="245">
        <f t="shared" si="139"/>
        <v>1.1201410676006929E-2</v>
      </c>
      <c r="BJ69" s="280">
        <v>2468059.14</v>
      </c>
      <c r="BK69" s="245">
        <f t="shared" si="140"/>
        <v>1.4887609972885357E-2</v>
      </c>
      <c r="BL69" s="280">
        <v>3568085.01</v>
      </c>
      <c r="BM69" s="245">
        <f t="shared" si="141"/>
        <v>1.9048268800090085E-2</v>
      </c>
      <c r="BN69" s="280">
        <v>5089154.9000000004</v>
      </c>
      <c r="BO69" s="245">
        <f t="shared" si="142"/>
        <v>2.7500865084874298E-2</v>
      </c>
      <c r="BP69" s="280">
        <v>6033893.620000001</v>
      </c>
      <c r="BQ69" s="245">
        <f t="shared" si="143"/>
        <v>3.1756000070567565E-2</v>
      </c>
      <c r="BR69" s="280">
        <v>7349559.9499999983</v>
      </c>
      <c r="BS69" s="245">
        <f t="shared" si="144"/>
        <v>3.5497859884883722E-2</v>
      </c>
      <c r="BT69" s="280">
        <v>8622783.3999999985</v>
      </c>
      <c r="BU69" s="245">
        <f t="shared" si="145"/>
        <v>3.7495034486732255E-2</v>
      </c>
      <c r="BV69" s="280">
        <v>9512516.7299999986</v>
      </c>
      <c r="BW69" s="245">
        <f t="shared" si="146"/>
        <v>4.0285572100567289E-2</v>
      </c>
      <c r="BX69" s="280">
        <v>12838717.159999998</v>
      </c>
      <c r="BY69" s="245">
        <f t="shared" si="147"/>
        <v>4.9120889446525255E-2</v>
      </c>
      <c r="BZ69" s="280">
        <v>14483479.25</v>
      </c>
      <c r="CA69" s="245">
        <f t="shared" si="148"/>
        <v>5.3206342326657982E-2</v>
      </c>
      <c r="CB69" s="280">
        <v>16026659.120000001</v>
      </c>
      <c r="CC69" s="245">
        <f t="shared" si="149"/>
        <v>5.6959136442849813E-2</v>
      </c>
      <c r="CD69" s="280">
        <v>19360368.379999999</v>
      </c>
      <c r="CE69" s="245">
        <f t="shared" si="150"/>
        <v>6.1908318010252671E-2</v>
      </c>
      <c r="CF69" s="280">
        <v>22586393.940000013</v>
      </c>
      <c r="CG69" s="245">
        <f t="shared" si="151"/>
        <v>6.6452025327653888E-2</v>
      </c>
      <c r="CH69" s="280">
        <v>26033181.860000007</v>
      </c>
      <c r="CI69" s="245">
        <f t="shared" si="152"/>
        <v>7.1038757199877192E-2</v>
      </c>
      <c r="CJ69" s="279"/>
      <c r="CK69" s="282">
        <v>29912537.979999997</v>
      </c>
      <c r="CL69" s="245">
        <f t="shared" si="153"/>
        <v>7.4161781710707225E-2</v>
      </c>
      <c r="CM69" s="279"/>
      <c r="CN69" s="282">
        <v>36629760.899999991</v>
      </c>
      <c r="CO69" s="245">
        <f t="shared" si="154"/>
        <v>9.1965468198614758E-2</v>
      </c>
      <c r="CP69" s="279"/>
      <c r="CQ69" s="280">
        <v>52369001.169999994</v>
      </c>
      <c r="CR69" s="245">
        <f t="shared" si="155"/>
        <v>0.12913601845796985</v>
      </c>
      <c r="CS69" s="279"/>
      <c r="CT69" s="424">
        <v>41741370.949999996</v>
      </c>
      <c r="CU69" s="245">
        <f t="shared" si="156"/>
        <v>9.4207593450768748E-2</v>
      </c>
      <c r="CV69" s="198"/>
      <c r="CW69" s="424">
        <v>56725454.340000004</v>
      </c>
      <c r="CX69" s="245">
        <f t="shared" si="157"/>
        <v>0.12327986297395092</v>
      </c>
      <c r="CY69" s="438"/>
      <c r="CZ69" s="424">
        <v>65098666.109999985</v>
      </c>
      <c r="DA69" s="245">
        <f t="shared" si="158"/>
        <v>0.13729264477701794</v>
      </c>
      <c r="DB69" s="438"/>
      <c r="DC69" s="424">
        <v>75334186.239999995</v>
      </c>
      <c r="DD69" s="245">
        <f t="shared" si="159"/>
        <v>0.15028054014180536</v>
      </c>
      <c r="DE69" s="438"/>
      <c r="DF69" s="508">
        <v>59956866.490000002</v>
      </c>
      <c r="DG69" s="245">
        <f t="shared" si="160"/>
        <v>0.11221941905232487</v>
      </c>
      <c r="DH69" s="438"/>
      <c r="DI69" s="508">
        <v>76459123.219999999</v>
      </c>
      <c r="DJ69" s="245">
        <f t="shared" si="161"/>
        <v>0.13791703655348864</v>
      </c>
      <c r="DK69" s="438"/>
      <c r="DL69" s="508">
        <v>25168006.600000016</v>
      </c>
      <c r="DM69" s="245">
        <f t="shared" si="162"/>
        <v>4.3612662587729098E-2</v>
      </c>
      <c r="DN69" s="438"/>
      <c r="DO69" s="508">
        <v>26102817.080000009</v>
      </c>
      <c r="DP69" s="575">
        <f t="shared" si="163"/>
        <v>4.267559418804124E-2</v>
      </c>
      <c r="DQ69" s="440"/>
      <c r="DR69" s="508">
        <v>27083242.100000035</v>
      </c>
      <c r="DS69" s="575">
        <f t="shared" si="164"/>
        <v>4.3506655999071692E-2</v>
      </c>
      <c r="DT69" s="440"/>
      <c r="DU69" s="508">
        <v>34114889.750000022</v>
      </c>
      <c r="DV69" s="575">
        <f t="shared" si="183"/>
        <v>4.9614563035257749E-2</v>
      </c>
      <c r="DW69" s="440"/>
      <c r="DX69" s="508">
        <v>37909859.860000014</v>
      </c>
      <c r="DY69" s="325">
        <f t="shared" si="184"/>
        <v>5.6489062613193981E-2</v>
      </c>
      <c r="DZ69" s="440"/>
      <c r="EA69" s="508">
        <v>38295207.600000024</v>
      </c>
      <c r="EB69" s="325">
        <f t="shared" si="185"/>
        <v>5.4773855343235471E-2</v>
      </c>
      <c r="EC69" s="440"/>
      <c r="ED69" s="508">
        <v>37673201.350000024</v>
      </c>
      <c r="EE69" s="325">
        <f t="shared" si="186"/>
        <v>5.0908731885428465E-2</v>
      </c>
      <c r="EF69" s="440"/>
      <c r="EG69" s="424">
        <v>36081166.840000004</v>
      </c>
      <c r="EH69" s="245">
        <f t="shared" si="165"/>
        <v>4.5132544588078374E-2</v>
      </c>
      <c r="EI69" s="438"/>
      <c r="EJ69" s="424">
        <v>35034659.94000002</v>
      </c>
      <c r="EK69" s="245">
        <f t="shared" si="166"/>
        <v>4.1726814104248111E-2</v>
      </c>
      <c r="EL69" s="438"/>
      <c r="EM69" s="424">
        <v>36684230.160000026</v>
      </c>
      <c r="EN69" s="245">
        <f t="shared" si="167"/>
        <v>4.1183716468432961E-2</v>
      </c>
      <c r="EO69" s="438"/>
      <c r="EP69" s="508">
        <v>36794678.740000039</v>
      </c>
      <c r="EQ69" s="245">
        <f t="shared" si="168"/>
        <v>3.8876980455518746E-2</v>
      </c>
      <c r="ER69" s="438"/>
      <c r="ES69" s="508">
        <v>35350390.030000024</v>
      </c>
      <c r="ET69" s="245">
        <f t="shared" si="169"/>
        <v>3.5519390712398811E-2</v>
      </c>
      <c r="EU69" s="438"/>
      <c r="EV69" s="508">
        <v>36570653.540000051</v>
      </c>
      <c r="EW69" s="245">
        <f t="shared" si="170"/>
        <v>3.3858959227645868E-2</v>
      </c>
      <c r="EX69" s="438"/>
      <c r="EY69" s="508">
        <v>35260465.560000025</v>
      </c>
      <c r="EZ69" s="575">
        <f t="shared" si="171"/>
        <v>3.1053200860949679E-2</v>
      </c>
      <c r="FA69" s="440"/>
      <c r="FB69" s="508">
        <v>35500040.899999991</v>
      </c>
      <c r="FC69" s="575">
        <f t="shared" si="187"/>
        <v>2.9505907891334549E-2</v>
      </c>
      <c r="FD69" s="440"/>
      <c r="FE69" s="508">
        <v>40004619.029999994</v>
      </c>
      <c r="FF69" s="575">
        <f t="shared" si="188"/>
        <v>3.0266347214693241E-2</v>
      </c>
      <c r="FG69" s="440"/>
      <c r="FH69" s="508">
        <v>40052407.280000001</v>
      </c>
      <c r="FI69" s="325">
        <f t="shared" si="189"/>
        <v>2.9304796502738421E-2</v>
      </c>
      <c r="FJ69" s="440"/>
      <c r="FK69" s="508">
        <v>39624959.610000007</v>
      </c>
      <c r="FL69" s="325">
        <f t="shared" si="190"/>
        <v>2.7009440977995545E-2</v>
      </c>
      <c r="FM69" s="440"/>
      <c r="FN69" s="508">
        <v>39237276.250000015</v>
      </c>
      <c r="FO69" s="325">
        <f t="shared" si="191"/>
        <v>2.4573845992027759E-2</v>
      </c>
      <c r="FP69" s="440"/>
      <c r="FQ69" s="508">
        <v>38388548.519999973</v>
      </c>
      <c r="FR69" s="325">
        <f t="shared" si="192"/>
        <v>2.3046514910432116E-2</v>
      </c>
      <c r="FS69" s="440"/>
      <c r="FT69" s="508">
        <v>38204743.530000046</v>
      </c>
      <c r="FU69" s="325">
        <f t="shared" si="193"/>
        <v>2.2333856957167535E-2</v>
      </c>
      <c r="FV69" s="440"/>
      <c r="FW69" s="508">
        <v>39904355.862360589</v>
      </c>
      <c r="FX69" s="325">
        <f t="shared" si="194"/>
        <v>2.2690185933799824E-2</v>
      </c>
      <c r="FY69" s="440"/>
      <c r="FZ69" s="508">
        <v>39904355.862360589</v>
      </c>
      <c r="GA69" s="325">
        <f t="shared" si="195"/>
        <v>2.2690185933799824E-2</v>
      </c>
      <c r="GB69" s="440"/>
      <c r="GC69" s="508">
        <v>39904355.862360589</v>
      </c>
      <c r="GD69" s="325">
        <f t="shared" si="196"/>
        <v>2.2690185933799824E-2</v>
      </c>
      <c r="GE69" s="508">
        <v>39904355.862360589</v>
      </c>
      <c r="GF69" s="325">
        <f t="shared" si="197"/>
        <v>2.2690185933799824E-2</v>
      </c>
      <c r="GG69" s="973">
        <v>39904355.862360589</v>
      </c>
      <c r="GH69" s="325">
        <f t="shared" si="198"/>
        <v>2.2690185933799824E-2</v>
      </c>
      <c r="GI69" s="973">
        <v>39904355.862360589</v>
      </c>
      <c r="GJ69" s="325">
        <f t="shared" si="199"/>
        <v>2.2690185933799824E-2</v>
      </c>
      <c r="GK69" s="973">
        <v>39904355.862360589</v>
      </c>
      <c r="GL69" s="325">
        <f t="shared" si="200"/>
        <v>2.2690185933799824E-2</v>
      </c>
      <c r="GM69" s="973">
        <v>39904355.862360589</v>
      </c>
      <c r="GN69" s="325">
        <f t="shared" si="201"/>
        <v>2.2690185933799824E-2</v>
      </c>
      <c r="GO69" s="973">
        <v>39904355.862360589</v>
      </c>
      <c r="GP69" s="325">
        <f t="shared" si="202"/>
        <v>2.2690185933799824E-2</v>
      </c>
      <c r="GQ69" s="973">
        <v>39904355.862360589</v>
      </c>
      <c r="GR69" s="325">
        <f t="shared" si="172"/>
        <v>2.2690185933799824E-2</v>
      </c>
      <c r="GS69" s="440"/>
      <c r="GT69" s="973">
        <v>39904355.862360589</v>
      </c>
      <c r="GU69" s="325">
        <f t="shared" si="173"/>
        <v>2.2690185933799824E-2</v>
      </c>
      <c r="GV69" s="440"/>
      <c r="GW69" s="1051">
        <v>39904355.862360589</v>
      </c>
      <c r="GX69" s="325">
        <f t="shared" si="174"/>
        <v>2.2690185933799824E-2</v>
      </c>
      <c r="GY69" s="440"/>
      <c r="GZ69" s="1051">
        <v>39904355.862360589</v>
      </c>
      <c r="HA69" s="325">
        <f t="shared" si="175"/>
        <v>2.2690185933799824E-2</v>
      </c>
      <c r="HB69" s="440"/>
      <c r="HC69" s="973">
        <v>39904355.862360589</v>
      </c>
      <c r="HD69" s="325">
        <f t="shared" si="176"/>
        <v>2.2690185933799824E-2</v>
      </c>
      <c r="HE69" s="440"/>
      <c r="HF69" s="508">
        <v>39904355.862360589</v>
      </c>
      <c r="HG69" s="325">
        <f t="shared" si="177"/>
        <v>2.2690185933799824E-2</v>
      </c>
      <c r="HH69" s="440"/>
      <c r="HI69" s="508">
        <v>39904355.862360589</v>
      </c>
      <c r="HJ69" s="325">
        <f t="shared" si="178"/>
        <v>2.2690185933799824E-2</v>
      </c>
      <c r="HK69" s="440"/>
      <c r="HL69" s="508">
        <v>39904355.862360589</v>
      </c>
      <c r="HM69" s="325">
        <f t="shared" si="179"/>
        <v>2.2690185933799824E-2</v>
      </c>
      <c r="HN69" s="440"/>
      <c r="HO69" s="508">
        <v>39904355.862360589</v>
      </c>
      <c r="HP69" s="325">
        <f t="shared" si="180"/>
        <v>2.2690185933799824E-2</v>
      </c>
      <c r="HQ69" s="440"/>
      <c r="HR69" s="508">
        <v>39904355.862360589</v>
      </c>
      <c r="HS69" s="325">
        <f t="shared" si="181"/>
        <v>2.2690185933799824E-2</v>
      </c>
      <c r="HT69" s="440"/>
      <c r="HU69" s="508">
        <v>39904355.862360589</v>
      </c>
      <c r="HV69" s="325">
        <f t="shared" si="182"/>
        <v>2.2690185933799824E-2</v>
      </c>
      <c r="HW69" s="440"/>
      <c r="HX69" s="440"/>
      <c r="HY69" s="440"/>
      <c r="HZ69" s="440"/>
      <c r="IA69" s="508">
        <v>37673201.350000024</v>
      </c>
      <c r="IB69" s="325">
        <f t="shared" si="203"/>
        <v>5.0908731885428465E-2</v>
      </c>
    </row>
    <row r="70" spans="1:236" ht="14.4" hidden="1" customHeight="1">
      <c r="A70" t="e">
        <f>VLOOKUP(B70,#REF!,4,FALSE)</f>
        <v>#REF!</v>
      </c>
      <c r="B70" s="242" t="s">
        <v>465</v>
      </c>
      <c r="D70" s="278">
        <v>4618974.16</v>
      </c>
      <c r="E70" s="279">
        <v>0.17806917282866686</v>
      </c>
      <c r="F70" s="280">
        <v>5325294.59</v>
      </c>
      <c r="G70" s="279">
        <v>0.20256644055527878</v>
      </c>
      <c r="H70" s="280">
        <v>6673781.7000000002</v>
      </c>
      <c r="I70" s="281">
        <v>0.22060155174997351</v>
      </c>
      <c r="J70" s="280">
        <v>8491089.6699999999</v>
      </c>
      <c r="K70" s="281">
        <v>0.24809947886365089</v>
      </c>
      <c r="L70" s="280">
        <v>9962173.1099999994</v>
      </c>
      <c r="M70" s="279">
        <v>0.26920169454052678</v>
      </c>
      <c r="N70" s="280">
        <v>14194929.539999999</v>
      </c>
      <c r="O70" s="248">
        <f>+N70/$N$77</f>
        <v>0.32617939548045333</v>
      </c>
      <c r="P70" s="280">
        <v>18491679.289999999</v>
      </c>
      <c r="Q70" s="248">
        <f>+P70/$P$77</f>
        <v>0.37167372471941651</v>
      </c>
      <c r="R70" s="280">
        <v>20077268.960000001</v>
      </c>
      <c r="S70" s="248">
        <f>+R70/$R$77</f>
        <v>0.39276368615084367</v>
      </c>
      <c r="T70" s="280">
        <v>23821450.68</v>
      </c>
      <c r="U70" s="248">
        <f>+T70/$T$77</f>
        <v>0.41881677172374071</v>
      </c>
      <c r="V70" s="280">
        <v>25509693.949999999</v>
      </c>
      <c r="W70" s="248">
        <f>+V70/$V$77</f>
        <v>0.39866477597578859</v>
      </c>
      <c r="X70" s="280">
        <v>27798339.489999998</v>
      </c>
      <c r="Y70" s="248">
        <f>+X70/$X$77</f>
        <v>0.43602054371391091</v>
      </c>
      <c r="Z70" s="280">
        <v>31688070.199999999</v>
      </c>
      <c r="AA70" s="248">
        <f>+Z70/$Z$77</f>
        <v>0.47695654013596334</v>
      </c>
      <c r="AB70" s="280">
        <v>38398160.710000001</v>
      </c>
      <c r="AC70" s="248">
        <f>+AB70/$AB$77</f>
        <v>0.51370965609446317</v>
      </c>
      <c r="AD70" s="280">
        <v>41934434.740000002</v>
      </c>
      <c r="AE70" s="248">
        <f>+AD70/$AD$77</f>
        <v>0.53488690129584171</v>
      </c>
      <c r="AF70" s="280">
        <v>47423272.060000002</v>
      </c>
      <c r="AG70" s="248">
        <f>+AF70/$AF$77</f>
        <v>0.54766790985375657</v>
      </c>
      <c r="AH70" s="280">
        <f>56205630.35-57.57</f>
        <v>56205572.780000001</v>
      </c>
      <c r="AI70" s="248">
        <f>+AH70/$AH$77</f>
        <v>0.59263830915583438</v>
      </c>
      <c r="AJ70" s="280">
        <v>64881497.870000005</v>
      </c>
      <c r="AK70" s="248">
        <f>+AJ70/$AJ$77</f>
        <v>0.60920108700130582</v>
      </c>
      <c r="AL70" s="280">
        <v>72999135.629999995</v>
      </c>
      <c r="AM70" s="248">
        <f>+AL70/$AL$77</f>
        <v>0.61831059261877797</v>
      </c>
      <c r="AN70" s="280">
        <f>84514512.25+573.13</f>
        <v>84515085.379999995</v>
      </c>
      <c r="AO70" s="248">
        <f>+AN70/$AN$77</f>
        <v>0.5930272049634876</v>
      </c>
      <c r="AP70" s="280">
        <f>87910257.61+573.13</f>
        <v>87910830.739999995</v>
      </c>
      <c r="AQ70" s="248">
        <f>+AP70/$AP$77</f>
        <v>0.58707694693280721</v>
      </c>
      <c r="AR70" s="280">
        <v>94354189.86999996</v>
      </c>
      <c r="AS70" s="248">
        <f>+AR70/$AR$77</f>
        <v>0.60129245094286776</v>
      </c>
      <c r="AT70" s="280">
        <v>105553358.13000004</v>
      </c>
      <c r="AU70" s="248">
        <f>+AT70/$AT$77</f>
        <v>0.59472853942313031</v>
      </c>
      <c r="AV70" s="280">
        <v>104334119.06</v>
      </c>
      <c r="AW70" s="248">
        <f>+AV70/$AV$77</f>
        <v>0.61123462752407265</v>
      </c>
      <c r="AX70" s="280">
        <v>97275329.400000095</v>
      </c>
      <c r="AY70" s="245">
        <f>+AX70/$AX$77</f>
        <v>0.61955844764729939</v>
      </c>
      <c r="AZ70" s="280">
        <v>94825363.760000005</v>
      </c>
      <c r="BA70" s="245">
        <f>+AZ70/$AZ$77</f>
        <v>0.61086863911862688</v>
      </c>
      <c r="BB70" s="280">
        <f>92757566.18-3274</f>
        <v>92754292.180000007</v>
      </c>
      <c r="BC70" s="245">
        <f t="shared" si="136"/>
        <v>0.60038427247956039</v>
      </c>
      <c r="BD70" s="280">
        <v>89592635.659999996</v>
      </c>
      <c r="BE70" s="245">
        <f t="shared" si="137"/>
        <v>0.60480881798022679</v>
      </c>
      <c r="BF70" s="280">
        <v>88674914.349999994</v>
      </c>
      <c r="BG70" s="245">
        <f t="shared" si="138"/>
        <v>0.58489052230234639</v>
      </c>
      <c r="BH70" s="280">
        <v>89886983.909999982</v>
      </c>
      <c r="BI70" s="245">
        <f t="shared" si="139"/>
        <v>0.57654150540255711</v>
      </c>
      <c r="BJ70" s="280">
        <v>94785575.040000007</v>
      </c>
      <c r="BK70" s="245">
        <f t="shared" si="140"/>
        <v>0.5717572360325115</v>
      </c>
      <c r="BL70" s="280">
        <v>104439555.14000008</v>
      </c>
      <c r="BM70" s="245">
        <f t="shared" si="141"/>
        <v>0.55755194007234476</v>
      </c>
      <c r="BN70" s="280">
        <v>100870189.41000007</v>
      </c>
      <c r="BO70" s="245">
        <f t="shared" si="142"/>
        <v>0.54508411014373492</v>
      </c>
      <c r="BP70" s="280">
        <v>101767256.36999997</v>
      </c>
      <c r="BQ70" s="245">
        <f t="shared" si="143"/>
        <v>0.5355946266197491</v>
      </c>
      <c r="BR70" s="280">
        <v>108864915.8</v>
      </c>
      <c r="BS70" s="245">
        <f t="shared" si="144"/>
        <v>0.52580991974193836</v>
      </c>
      <c r="BT70" s="280">
        <v>112562605.02999999</v>
      </c>
      <c r="BU70" s="245">
        <f t="shared" si="145"/>
        <v>0.48946361768941943</v>
      </c>
      <c r="BV70" s="280">
        <v>113001156.36999999</v>
      </c>
      <c r="BW70" s="245">
        <f t="shared" si="146"/>
        <v>0.47856065451472946</v>
      </c>
      <c r="BX70" s="280">
        <f>122167472.32+56236.55</f>
        <v>122223708.86999999</v>
      </c>
      <c r="BY70" s="245">
        <f t="shared" si="147"/>
        <v>0.46762750641883899</v>
      </c>
      <c r="BZ70" s="280">
        <v>127223339.02000003</v>
      </c>
      <c r="CA70" s="245">
        <f t="shared" si="148"/>
        <v>0.46736619088528641</v>
      </c>
      <c r="CB70" s="280">
        <v>128727627.36000009</v>
      </c>
      <c r="CC70" s="245">
        <f t="shared" si="149"/>
        <v>0.45750111959469758</v>
      </c>
      <c r="CD70" s="280">
        <f>132954299.13-2474933.28</f>
        <v>130479365.84999999</v>
      </c>
      <c r="CE70" s="245">
        <f t="shared" si="150"/>
        <v>0.41723163094161653</v>
      </c>
      <c r="CF70" s="280">
        <v>140761000.67999992</v>
      </c>
      <c r="CG70" s="245">
        <f t="shared" si="151"/>
        <v>0.41413665267600724</v>
      </c>
      <c r="CH70" s="280">
        <v>152374436.88999999</v>
      </c>
      <c r="CI70" s="245">
        <f t="shared" si="152"/>
        <v>0.41579591322751652</v>
      </c>
      <c r="CJ70" s="279"/>
      <c r="CK70" s="282">
        <v>170681941.80999988</v>
      </c>
      <c r="CL70" s="245">
        <f t="shared" si="153"/>
        <v>0.42316960596711112</v>
      </c>
      <c r="CM70" s="279"/>
      <c r="CN70" s="282">
        <v>173098854.77200004</v>
      </c>
      <c r="CO70" s="245">
        <f t="shared" si="154"/>
        <v>0.43459517159313504</v>
      </c>
      <c r="CP70" s="279"/>
      <c r="CQ70" s="280">
        <v>172865617.44000012</v>
      </c>
      <c r="CR70" s="245">
        <f t="shared" si="155"/>
        <v>0.4262670103639139</v>
      </c>
      <c r="CS70" s="279"/>
      <c r="CT70" s="424">
        <v>190639499.73000005</v>
      </c>
      <c r="CU70" s="245">
        <f t="shared" si="156"/>
        <v>0.43026110732526829</v>
      </c>
      <c r="CV70" s="198"/>
      <c r="CW70" s="424">
        <v>198508650.05999988</v>
      </c>
      <c r="CX70" s="245">
        <f t="shared" si="157"/>
        <v>0.43141336571515521</v>
      </c>
      <c r="CY70" s="438"/>
      <c r="CZ70" s="424">
        <v>195491495.17000031</v>
      </c>
      <c r="DA70" s="245">
        <f t="shared" si="158"/>
        <v>0.4122902358391039</v>
      </c>
      <c r="DB70" s="438"/>
      <c r="DC70" s="424">
        <v>203792761.75000077</v>
      </c>
      <c r="DD70" s="245">
        <f t="shared" si="159"/>
        <v>0.40653636604252469</v>
      </c>
      <c r="DE70" s="438"/>
      <c r="DF70" s="508">
        <v>224337888.63000154</v>
      </c>
      <c r="DG70" s="245">
        <f t="shared" si="160"/>
        <v>0.41988631173183127</v>
      </c>
      <c r="DH70" s="438"/>
      <c r="DI70" s="508">
        <f>231464352.740001-59909</f>
        <v>231404443.74000099</v>
      </c>
      <c r="DJ70" s="245">
        <f t="shared" si="161"/>
        <v>0.41740754774416866</v>
      </c>
      <c r="DK70" s="438"/>
      <c r="DL70" s="508">
        <v>234270211.73000073</v>
      </c>
      <c r="DM70" s="245">
        <f t="shared" si="162"/>
        <v>0.40595776459055644</v>
      </c>
      <c r="DN70" s="438"/>
      <c r="DO70" s="508">
        <v>243099068.72000068</v>
      </c>
      <c r="DP70" s="575">
        <f t="shared" si="163"/>
        <v>0.39744358520346706</v>
      </c>
      <c r="DQ70" s="440"/>
      <c r="DR70" s="508">
        <v>246408385.05999932</v>
      </c>
      <c r="DS70" s="575">
        <f t="shared" si="164"/>
        <v>0.39583166610958198</v>
      </c>
      <c r="DT70" s="440"/>
      <c r="DU70" s="508">
        <f>275867951.22+27857</f>
        <v>275895808.22000003</v>
      </c>
      <c r="DV70" s="575">
        <f t="shared" si="183"/>
        <v>0.4012456164568014</v>
      </c>
      <c r="DW70" s="440"/>
      <c r="DX70" s="508">
        <v>271903192.21999973</v>
      </c>
      <c r="DY70" s="325">
        <f t="shared" si="184"/>
        <v>0.40515993746126389</v>
      </c>
      <c r="DZ70" s="440"/>
      <c r="EA70" s="508">
        <v>287995134.33000022</v>
      </c>
      <c r="EB70" s="325">
        <f t="shared" si="185"/>
        <v>0.41192109446475728</v>
      </c>
      <c r="EC70" s="440"/>
      <c r="ED70" s="508">
        <v>297191904.87000036</v>
      </c>
      <c r="EE70" s="325">
        <f t="shared" si="186"/>
        <v>0.40160279618887768</v>
      </c>
      <c r="EF70" s="440"/>
      <c r="EG70" s="424">
        <v>309875574.390001</v>
      </c>
      <c r="EH70" s="245">
        <f t="shared" si="165"/>
        <v>0.38761144394057284</v>
      </c>
      <c r="EI70" s="438"/>
      <c r="EJ70" s="424">
        <v>331034422.36000001</v>
      </c>
      <c r="EK70" s="245">
        <f t="shared" si="166"/>
        <v>0.39426704376691218</v>
      </c>
      <c r="EL70" s="438"/>
      <c r="EM70" s="424">
        <v>351341126.18000048</v>
      </c>
      <c r="EN70" s="245">
        <f t="shared" si="167"/>
        <v>0.39443470017463922</v>
      </c>
      <c r="EO70" s="438"/>
      <c r="EP70" s="508">
        <v>368528835.31000054</v>
      </c>
      <c r="EQ70" s="245">
        <f t="shared" si="168"/>
        <v>0.38938479199348386</v>
      </c>
      <c r="ER70" s="438"/>
      <c r="ES70" s="508">
        <v>379124040.24999958</v>
      </c>
      <c r="ET70" s="245">
        <f t="shared" si="169"/>
        <v>0.38093653005454375</v>
      </c>
      <c r="EU70" s="438"/>
      <c r="EV70" s="508">
        <v>399571594.80000043</v>
      </c>
      <c r="EW70" s="245">
        <f t="shared" si="170"/>
        <v>0.36994357571600101</v>
      </c>
      <c r="EX70" s="438"/>
      <c r="EY70" s="508">
        <v>409725408.28000116</v>
      </c>
      <c r="EZ70" s="575">
        <f t="shared" si="171"/>
        <v>0.36083713584278276</v>
      </c>
      <c r="FA70" s="440"/>
      <c r="FB70" s="508">
        <v>425097642.47999913</v>
      </c>
      <c r="FC70" s="575">
        <f t="shared" si="187"/>
        <v>0.35332049107127428</v>
      </c>
      <c r="FD70" s="440"/>
      <c r="FE70" s="508">
        <v>447973690.12999988</v>
      </c>
      <c r="FF70" s="575">
        <f t="shared" si="188"/>
        <v>0.33892404370490953</v>
      </c>
      <c r="FG70" s="440"/>
      <c r="FH70" s="508">
        <v>449708786.79999918</v>
      </c>
      <c r="FI70" s="325">
        <f t="shared" si="189"/>
        <v>0.32903451696517738</v>
      </c>
      <c r="FJ70" s="440"/>
      <c r="FK70" s="508">
        <v>476032748.75000036</v>
      </c>
      <c r="FL70" s="325">
        <f t="shared" si="190"/>
        <v>0.32447675802075387</v>
      </c>
      <c r="FM70" s="440"/>
      <c r="FN70" s="508">
        <v>500859738.27999878</v>
      </c>
      <c r="FO70" s="325">
        <f t="shared" si="191"/>
        <v>0.31368258065823357</v>
      </c>
      <c r="FP70" s="440"/>
      <c r="FQ70" s="508">
        <v>506353717.5699991</v>
      </c>
      <c r="FR70" s="325">
        <f t="shared" si="192"/>
        <v>0.30398879227876902</v>
      </c>
      <c r="FS70" s="440"/>
      <c r="FT70" s="508">
        <v>518915083.43000031</v>
      </c>
      <c r="FU70" s="325">
        <f t="shared" si="193"/>
        <v>0.30334911781679147</v>
      </c>
      <c r="FV70" s="440"/>
      <c r="FW70" s="508">
        <v>534050892.39603704</v>
      </c>
      <c r="FX70" s="325">
        <f t="shared" si="194"/>
        <v>0.30366895504778019</v>
      </c>
      <c r="FY70" s="440"/>
      <c r="FZ70" s="508">
        <v>534050892.39603704</v>
      </c>
      <c r="GA70" s="325">
        <f t="shared" si="195"/>
        <v>0.30366895504778019</v>
      </c>
      <c r="GB70" s="440"/>
      <c r="GC70" s="508">
        <v>534050892.39603704</v>
      </c>
      <c r="GD70" s="325">
        <f t="shared" si="196"/>
        <v>0.30366895504778019</v>
      </c>
      <c r="GE70" s="508">
        <v>534050892.39603704</v>
      </c>
      <c r="GF70" s="325">
        <f t="shared" si="197"/>
        <v>0.30366895504778019</v>
      </c>
      <c r="GG70" s="973">
        <v>534050892.39603704</v>
      </c>
      <c r="GH70" s="325">
        <f t="shared" si="198"/>
        <v>0.30366895504778019</v>
      </c>
      <c r="GI70" s="973">
        <v>534050892.39603704</v>
      </c>
      <c r="GJ70" s="325">
        <f t="shared" si="199"/>
        <v>0.30366895504778019</v>
      </c>
      <c r="GK70" s="973">
        <v>534050892.39603704</v>
      </c>
      <c r="GL70" s="325">
        <f t="shared" si="200"/>
        <v>0.30366895504778019</v>
      </c>
      <c r="GM70" s="973">
        <v>534050892.39603704</v>
      </c>
      <c r="GN70" s="325">
        <f t="shared" si="201"/>
        <v>0.30366895504778019</v>
      </c>
      <c r="GO70" s="973">
        <v>534050892.39603704</v>
      </c>
      <c r="GP70" s="325">
        <f t="shared" si="202"/>
        <v>0.30366895504778019</v>
      </c>
      <c r="GQ70" s="973">
        <v>534050892.39603704</v>
      </c>
      <c r="GR70" s="325">
        <f t="shared" si="172"/>
        <v>0.30366895504778019</v>
      </c>
      <c r="GS70" s="440"/>
      <c r="GT70" s="973">
        <v>534050892.39603704</v>
      </c>
      <c r="GU70" s="325">
        <f t="shared" si="173"/>
        <v>0.30366895504778019</v>
      </c>
      <c r="GV70" s="440"/>
      <c r="GW70" s="1051">
        <v>534050892.39603704</v>
      </c>
      <c r="GX70" s="325">
        <f t="shared" si="174"/>
        <v>0.30366895504778019</v>
      </c>
      <c r="GY70" s="440"/>
      <c r="GZ70" s="1051">
        <v>534050892.39603704</v>
      </c>
      <c r="HA70" s="325">
        <f t="shared" si="175"/>
        <v>0.30366895504778019</v>
      </c>
      <c r="HB70" s="440"/>
      <c r="HC70" s="973">
        <v>534050892.39603704</v>
      </c>
      <c r="HD70" s="325">
        <f t="shared" si="176"/>
        <v>0.30366895504778019</v>
      </c>
      <c r="HE70" s="440"/>
      <c r="HF70" s="508">
        <v>534050892.39603704</v>
      </c>
      <c r="HG70" s="325">
        <f t="shared" si="177"/>
        <v>0.30366895504778019</v>
      </c>
      <c r="HH70" s="440"/>
      <c r="HI70" s="508">
        <v>534050892.39603704</v>
      </c>
      <c r="HJ70" s="325">
        <f t="shared" si="178"/>
        <v>0.30366895504778019</v>
      </c>
      <c r="HK70" s="440"/>
      <c r="HL70" s="508">
        <v>534050892.39603704</v>
      </c>
      <c r="HM70" s="325">
        <f t="shared" si="179"/>
        <v>0.30366895504778019</v>
      </c>
      <c r="HN70" s="440"/>
      <c r="HO70" s="508">
        <v>534050892.39603704</v>
      </c>
      <c r="HP70" s="325">
        <f t="shared" si="180"/>
        <v>0.30366895504778019</v>
      </c>
      <c r="HQ70" s="440"/>
      <c r="HR70" s="508">
        <v>534050892.39603704</v>
      </c>
      <c r="HS70" s="325">
        <f t="shared" si="181"/>
        <v>0.30366895504778019</v>
      </c>
      <c r="HT70" s="440"/>
      <c r="HU70" s="508">
        <v>534050892.39603704</v>
      </c>
      <c r="HV70" s="325">
        <f t="shared" si="182"/>
        <v>0.30366895504778019</v>
      </c>
      <c r="HW70" s="440"/>
      <c r="HX70" s="440"/>
      <c r="HY70" s="440"/>
      <c r="HZ70" s="440"/>
      <c r="IA70" s="508">
        <v>297191904.87000036</v>
      </c>
      <c r="IB70" s="325">
        <f t="shared" si="203"/>
        <v>0.40160279618887768</v>
      </c>
    </row>
    <row r="71" spans="1:236" ht="14.4" hidden="1" customHeight="1">
      <c r="A71" t="e">
        <f>VLOOKUP(B71,#REF!,4,FALSE)</f>
        <v>#REF!</v>
      </c>
      <c r="B71" s="242" t="s">
        <v>466</v>
      </c>
      <c r="D71" s="278"/>
      <c r="E71" s="279"/>
      <c r="F71" s="280"/>
      <c r="G71" s="279"/>
      <c r="H71" s="280"/>
      <c r="I71" s="281"/>
      <c r="J71" s="280"/>
      <c r="K71" s="281"/>
      <c r="L71" s="280"/>
      <c r="M71" s="279"/>
      <c r="N71" s="280"/>
      <c r="O71" s="248"/>
      <c r="P71" s="280"/>
      <c r="Q71" s="248"/>
      <c r="R71" s="280"/>
      <c r="S71" s="248"/>
      <c r="T71" s="280"/>
      <c r="U71" s="248"/>
      <c r="V71" s="280"/>
      <c r="W71" s="248"/>
      <c r="X71" s="280"/>
      <c r="Y71" s="248"/>
      <c r="Z71" s="280"/>
      <c r="AA71" s="248"/>
      <c r="AB71" s="280"/>
      <c r="AC71" s="248"/>
      <c r="AD71" s="280"/>
      <c r="AE71" s="248"/>
      <c r="AF71" s="280"/>
      <c r="AG71" s="248"/>
      <c r="AH71" s="280"/>
      <c r="AI71" s="248"/>
      <c r="AJ71" s="280"/>
      <c r="AK71" s="248"/>
      <c r="AL71" s="280"/>
      <c r="AM71" s="248"/>
      <c r="AN71" s="280"/>
      <c r="AO71" s="248"/>
      <c r="AP71" s="280"/>
      <c r="AQ71" s="248"/>
      <c r="AR71" s="280">
        <v>0</v>
      </c>
      <c r="AS71" s="248">
        <f>+AR71/$AR$77</f>
        <v>0</v>
      </c>
      <c r="AT71" s="280">
        <v>0</v>
      </c>
      <c r="AU71" s="248">
        <f>+AT71/$AT$77</f>
        <v>0</v>
      </c>
      <c r="AV71" s="280">
        <v>2444000</v>
      </c>
      <c r="AW71" s="248">
        <f>+AV71/$AV$77</f>
        <v>1.4318014501179165E-2</v>
      </c>
      <c r="AX71" s="280">
        <v>2245666.66</v>
      </c>
      <c r="AY71" s="245">
        <f>+AX71/$AX$77</f>
        <v>1.430292509297732E-2</v>
      </c>
      <c r="AZ71" s="280">
        <v>2691222.2199999997</v>
      </c>
      <c r="BA71" s="245">
        <f>+AZ71/$AZ$77</f>
        <v>1.7336957011397071E-2</v>
      </c>
      <c r="BB71" s="280">
        <v>4682273.47</v>
      </c>
      <c r="BC71" s="245">
        <f t="shared" si="136"/>
        <v>3.0307636280388208E-2</v>
      </c>
      <c r="BD71" s="280">
        <v>4663497.7899999991</v>
      </c>
      <c r="BE71" s="245">
        <f t="shared" si="137"/>
        <v>3.1481656558548662E-2</v>
      </c>
      <c r="BF71" s="280">
        <v>8217106.7400000002</v>
      </c>
      <c r="BG71" s="245">
        <f t="shared" si="138"/>
        <v>5.4199182352779249E-2</v>
      </c>
      <c r="BH71" s="280">
        <v>13113204.350000003</v>
      </c>
      <c r="BI71" s="245">
        <f t="shared" si="139"/>
        <v>8.4109024997102766E-2</v>
      </c>
      <c r="BJ71" s="280">
        <v>14525927.9</v>
      </c>
      <c r="BK71" s="245">
        <f t="shared" si="140"/>
        <v>8.7622028809833802E-2</v>
      </c>
      <c r="BL71" s="280">
        <v>19338109.34</v>
      </c>
      <c r="BM71" s="245">
        <f t="shared" si="141"/>
        <v>0.1032367512997827</v>
      </c>
      <c r="BN71" s="280">
        <v>21357313.609999996</v>
      </c>
      <c r="BO71" s="245">
        <f t="shared" si="142"/>
        <v>0.11541102829547584</v>
      </c>
      <c r="BP71" s="280">
        <v>26858229.630000003</v>
      </c>
      <c r="BQ71" s="245">
        <f t="shared" si="143"/>
        <v>0.14135316194480735</v>
      </c>
      <c r="BR71" s="280">
        <v>32514204.260000009</v>
      </c>
      <c r="BS71" s="245">
        <f t="shared" si="144"/>
        <v>0.1570413296771557</v>
      </c>
      <c r="BT71" s="280">
        <v>35634929.380000003</v>
      </c>
      <c r="BU71" s="245">
        <f t="shared" si="145"/>
        <v>0.1549537827930792</v>
      </c>
      <c r="BV71" s="280">
        <v>36230008.640000001</v>
      </c>
      <c r="BW71" s="245">
        <f t="shared" si="146"/>
        <v>0.153434329389179</v>
      </c>
      <c r="BX71" s="280">
        <v>40570520.780000009</v>
      </c>
      <c r="BY71" s="245">
        <f t="shared" si="147"/>
        <v>0.15522267849557769</v>
      </c>
      <c r="BZ71" s="280">
        <v>46027393.589999996</v>
      </c>
      <c r="CA71" s="245">
        <f t="shared" si="148"/>
        <v>0.16908570223231156</v>
      </c>
      <c r="CB71" s="280">
        <v>48547777.819999985</v>
      </c>
      <c r="CC71" s="245">
        <f t="shared" si="149"/>
        <v>0.17253998354502575</v>
      </c>
      <c r="CD71" s="280">
        <v>58565739.759999983</v>
      </c>
      <c r="CE71" s="245">
        <f t="shared" si="150"/>
        <v>0.18727466184544667</v>
      </c>
      <c r="CF71" s="280">
        <v>61481628.769999988</v>
      </c>
      <c r="CG71" s="245">
        <f t="shared" si="151"/>
        <v>0.18088672158391703</v>
      </c>
      <c r="CH71" s="280">
        <v>62448574.229999997</v>
      </c>
      <c r="CI71" s="245">
        <f t="shared" si="152"/>
        <v>0.17040825535889667</v>
      </c>
      <c r="CJ71" s="279"/>
      <c r="CK71" s="282">
        <v>69551302.290000007</v>
      </c>
      <c r="CL71" s="245">
        <f t="shared" si="153"/>
        <v>0.17243767484976186</v>
      </c>
      <c r="CM71" s="279"/>
      <c r="CN71" s="282">
        <v>53860950.730000012</v>
      </c>
      <c r="CO71" s="245">
        <f t="shared" si="154"/>
        <v>0.13522740607097367</v>
      </c>
      <c r="CP71" s="279"/>
      <c r="CQ71" s="280">
        <v>46347643.790000007</v>
      </c>
      <c r="CR71" s="245">
        <f t="shared" si="155"/>
        <v>0.11428803395581075</v>
      </c>
      <c r="CS71" s="279"/>
      <c r="CT71" s="424">
        <v>62900843.18999999</v>
      </c>
      <c r="CU71" s="245">
        <f t="shared" si="156"/>
        <v>0.14196316335781672</v>
      </c>
      <c r="CV71" s="198"/>
      <c r="CW71" s="424">
        <v>49370808.800000004</v>
      </c>
      <c r="CX71" s="245">
        <f t="shared" si="157"/>
        <v>0.10729621498131012</v>
      </c>
      <c r="CY71" s="438"/>
      <c r="CZ71" s="424">
        <v>51215580.539999999</v>
      </c>
      <c r="DA71" s="245">
        <f t="shared" si="158"/>
        <v>0.10801331158222982</v>
      </c>
      <c r="DB71" s="438"/>
      <c r="DC71" s="424">
        <v>47195020.430000015</v>
      </c>
      <c r="DD71" s="245">
        <f t="shared" si="159"/>
        <v>9.4147073410053753E-2</v>
      </c>
      <c r="DE71" s="438"/>
      <c r="DF71" s="508">
        <v>52620323.889999986</v>
      </c>
      <c r="DG71" s="245">
        <f t="shared" si="160"/>
        <v>9.8487838390717897E-2</v>
      </c>
      <c r="DH71" s="438"/>
      <c r="DI71" s="508">
        <v>54040568.369999997</v>
      </c>
      <c r="DJ71" s="245">
        <f t="shared" si="161"/>
        <v>9.7478426764211493E-2</v>
      </c>
      <c r="DK71" s="438"/>
      <c r="DL71" s="508">
        <v>87972896.850000009</v>
      </c>
      <c r="DM71" s="245">
        <f t="shared" si="162"/>
        <v>0.15244482124317876</v>
      </c>
      <c r="DN71" s="438"/>
      <c r="DO71" s="508">
        <v>84512100.259999961</v>
      </c>
      <c r="DP71" s="575">
        <f t="shared" si="163"/>
        <v>0.13816915176707861</v>
      </c>
      <c r="DQ71" s="440"/>
      <c r="DR71" s="508">
        <v>82567172.599999964</v>
      </c>
      <c r="DS71" s="575">
        <f t="shared" si="164"/>
        <v>0.13263632034379561</v>
      </c>
      <c r="DT71" s="440"/>
      <c r="DU71" s="508">
        <v>82717914.090000018</v>
      </c>
      <c r="DV71" s="575">
        <f t="shared" si="183"/>
        <v>0.12029976332440993</v>
      </c>
      <c r="DW71" s="440"/>
      <c r="DX71" s="508">
        <v>80220603.440000027</v>
      </c>
      <c r="DY71" s="325">
        <f t="shared" si="184"/>
        <v>0.11953583335114877</v>
      </c>
      <c r="DZ71" s="440"/>
      <c r="EA71" s="508">
        <v>82364476.159999982</v>
      </c>
      <c r="EB71" s="325">
        <f t="shared" si="185"/>
        <v>0.1178063832355149</v>
      </c>
      <c r="EC71" s="440"/>
      <c r="ED71" s="508">
        <v>100183228.43999994</v>
      </c>
      <c r="EE71" s="325">
        <f t="shared" si="186"/>
        <v>0.13538008274596991</v>
      </c>
      <c r="EF71" s="440"/>
      <c r="EG71" s="424">
        <v>108620259.17999995</v>
      </c>
      <c r="EH71" s="245">
        <f t="shared" si="165"/>
        <v>0.13586890668888291</v>
      </c>
      <c r="EI71" s="438"/>
      <c r="EJ71" s="424">
        <v>117111961.90000007</v>
      </c>
      <c r="EK71" s="245">
        <f t="shared" si="166"/>
        <v>0.13948213203593285</v>
      </c>
      <c r="EL71" s="438"/>
      <c r="EM71" s="424">
        <v>125693561.00000001</v>
      </c>
      <c r="EN71" s="245">
        <f t="shared" si="167"/>
        <v>0.14111044324915661</v>
      </c>
      <c r="EO71" s="438"/>
      <c r="EP71" s="508">
        <v>140415790.45999998</v>
      </c>
      <c r="EQ71" s="245">
        <f t="shared" si="168"/>
        <v>0.14836226672704003</v>
      </c>
      <c r="ER71" s="438"/>
      <c r="ES71" s="508">
        <v>142442848.0200001</v>
      </c>
      <c r="ET71" s="245">
        <f t="shared" si="169"/>
        <v>0.14312382886625888</v>
      </c>
      <c r="EU71" s="438"/>
      <c r="EV71" s="508">
        <v>150350652.79000026</v>
      </c>
      <c r="EW71" s="245">
        <f t="shared" si="170"/>
        <v>0.13920223266172868</v>
      </c>
      <c r="EX71" s="438"/>
      <c r="EY71" s="508">
        <v>157199991.49999976</v>
      </c>
      <c r="EZ71" s="575">
        <f t="shared" si="171"/>
        <v>0.13844295115963498</v>
      </c>
      <c r="FA71" s="440"/>
      <c r="FB71" s="508">
        <v>172849658.04999986</v>
      </c>
      <c r="FC71" s="575">
        <f t="shared" si="187"/>
        <v>0.14366423136915232</v>
      </c>
      <c r="FD71" s="440"/>
      <c r="FE71" s="508">
        <v>203622330.98000017</v>
      </c>
      <c r="FF71" s="575">
        <f t="shared" si="188"/>
        <v>0.15405481465738319</v>
      </c>
      <c r="FG71" s="440"/>
      <c r="FH71" s="508">
        <v>211881498.55999997</v>
      </c>
      <c r="FI71" s="325">
        <f t="shared" si="189"/>
        <v>0.15502549333898771</v>
      </c>
      <c r="FJ71" s="440"/>
      <c r="FK71" s="508">
        <v>236974892.33000001</v>
      </c>
      <c r="FL71" s="325">
        <f t="shared" si="190"/>
        <v>0.16152847676439522</v>
      </c>
      <c r="FM71" s="440"/>
      <c r="FN71" s="508">
        <v>250148453.21999994</v>
      </c>
      <c r="FO71" s="325">
        <f t="shared" si="191"/>
        <v>0.15666504283849816</v>
      </c>
      <c r="FP71" s="440"/>
      <c r="FQ71" s="508">
        <v>267683481.94999981</v>
      </c>
      <c r="FR71" s="325">
        <f t="shared" si="192"/>
        <v>0.1607034283888851</v>
      </c>
      <c r="FS71" s="440"/>
      <c r="FT71" s="508">
        <v>279988657.21999973</v>
      </c>
      <c r="FU71" s="325">
        <f t="shared" si="193"/>
        <v>0.16367670718874422</v>
      </c>
      <c r="FV71" s="440"/>
      <c r="FW71" s="508">
        <v>285237423.84782636</v>
      </c>
      <c r="FX71" s="325">
        <f t="shared" si="194"/>
        <v>0.16219006778881467</v>
      </c>
      <c r="FY71" s="440"/>
      <c r="FZ71" s="508">
        <v>285237423.84782636</v>
      </c>
      <c r="GA71" s="325">
        <f t="shared" si="195"/>
        <v>0.16219006778881467</v>
      </c>
      <c r="GB71" s="440"/>
      <c r="GC71" s="508">
        <v>285237423.84782636</v>
      </c>
      <c r="GD71" s="325">
        <f t="shared" si="196"/>
        <v>0.16219006778881467</v>
      </c>
      <c r="GE71" s="508">
        <v>285237423.84782636</v>
      </c>
      <c r="GF71" s="325">
        <f t="shared" si="197"/>
        <v>0.16219006778881467</v>
      </c>
      <c r="GG71" s="973">
        <v>285237423.84782636</v>
      </c>
      <c r="GH71" s="325">
        <f t="shared" si="198"/>
        <v>0.16219006778881467</v>
      </c>
      <c r="GI71" s="973">
        <v>285237423.84782636</v>
      </c>
      <c r="GJ71" s="325">
        <f t="shared" si="199"/>
        <v>0.16219006778881467</v>
      </c>
      <c r="GK71" s="973">
        <v>285237423.84782636</v>
      </c>
      <c r="GL71" s="325">
        <f t="shared" si="200"/>
        <v>0.16219006778881467</v>
      </c>
      <c r="GM71" s="973">
        <v>285237423.84782636</v>
      </c>
      <c r="GN71" s="325">
        <f t="shared" si="201"/>
        <v>0.16219006778881467</v>
      </c>
      <c r="GO71" s="973">
        <v>285237423.84782636</v>
      </c>
      <c r="GP71" s="325">
        <f t="shared" si="202"/>
        <v>0.16219006778881467</v>
      </c>
      <c r="GQ71" s="973">
        <v>285237423.84782636</v>
      </c>
      <c r="GR71" s="325">
        <f t="shared" si="172"/>
        <v>0.16219006778881467</v>
      </c>
      <c r="GS71" s="440"/>
      <c r="GT71" s="973">
        <v>285237423.84782636</v>
      </c>
      <c r="GU71" s="325">
        <f t="shared" si="173"/>
        <v>0.16219006778881467</v>
      </c>
      <c r="GV71" s="440"/>
      <c r="GW71" s="1051">
        <v>285237423.84782636</v>
      </c>
      <c r="GX71" s="325">
        <f t="shared" si="174"/>
        <v>0.16219006778881467</v>
      </c>
      <c r="GY71" s="440"/>
      <c r="GZ71" s="1051">
        <v>285237423.84782636</v>
      </c>
      <c r="HA71" s="325">
        <f t="shared" si="175"/>
        <v>0.16219006778881467</v>
      </c>
      <c r="HB71" s="440"/>
      <c r="HC71" s="973">
        <v>285237423.84782636</v>
      </c>
      <c r="HD71" s="325">
        <f t="shared" si="176"/>
        <v>0.16219006778881467</v>
      </c>
      <c r="HE71" s="440"/>
      <c r="HF71" s="508">
        <v>285237423.84782636</v>
      </c>
      <c r="HG71" s="325">
        <f t="shared" si="177"/>
        <v>0.16219006778881467</v>
      </c>
      <c r="HH71" s="440"/>
      <c r="HI71" s="508">
        <v>285237423.84782636</v>
      </c>
      <c r="HJ71" s="325">
        <f t="shared" si="178"/>
        <v>0.16219006778881467</v>
      </c>
      <c r="HK71" s="440"/>
      <c r="HL71" s="508">
        <v>285237423.84782636</v>
      </c>
      <c r="HM71" s="325">
        <f t="shared" si="179"/>
        <v>0.16219006778881467</v>
      </c>
      <c r="HN71" s="440"/>
      <c r="HO71" s="508">
        <v>285237423.84782636</v>
      </c>
      <c r="HP71" s="325">
        <f t="shared" si="180"/>
        <v>0.16219006778881467</v>
      </c>
      <c r="HQ71" s="440"/>
      <c r="HR71" s="508">
        <v>285237423.84782636</v>
      </c>
      <c r="HS71" s="325">
        <f t="shared" si="181"/>
        <v>0.16219006778881467</v>
      </c>
      <c r="HT71" s="440"/>
      <c r="HU71" s="508">
        <v>285237423.84782636</v>
      </c>
      <c r="HV71" s="325">
        <f t="shared" si="182"/>
        <v>0.16219006778881467</v>
      </c>
      <c r="HW71" s="440"/>
      <c r="HX71" s="440"/>
      <c r="HY71" s="440"/>
      <c r="HZ71" s="440"/>
      <c r="IA71" s="508">
        <v>100183228.43999994</v>
      </c>
      <c r="IB71" s="325">
        <f t="shared" si="203"/>
        <v>0.13538008274596991</v>
      </c>
    </row>
    <row r="72" spans="1:236" ht="14.4" hidden="1" customHeight="1">
      <c r="A72" t="e">
        <f>VLOOKUP(B72,#REF!,4,FALSE)</f>
        <v>#REF!</v>
      </c>
      <c r="B72" s="242" t="s">
        <v>467</v>
      </c>
      <c r="D72" s="278">
        <v>779166.64999999991</v>
      </c>
      <c r="E72" s="279">
        <v>3.0038176455436882E-2</v>
      </c>
      <c r="F72" s="280">
        <v>620833.31999999995</v>
      </c>
      <c r="G72" s="279">
        <v>2.3615594158240993E-2</v>
      </c>
      <c r="H72" s="280">
        <v>935000.04</v>
      </c>
      <c r="I72" s="281">
        <v>3.090638396372589E-2</v>
      </c>
      <c r="J72" s="280">
        <v>1285000.0399999998</v>
      </c>
      <c r="K72" s="281">
        <v>3.754616340823197E-2</v>
      </c>
      <c r="L72" s="280">
        <v>1692500</v>
      </c>
      <c r="M72" s="279">
        <v>4.5735389555968238E-2</v>
      </c>
      <c r="N72" s="280">
        <v>2913974.3400000003</v>
      </c>
      <c r="O72" s="248">
        <f>+N72/$N$77</f>
        <v>6.6959007157336908E-2</v>
      </c>
      <c r="P72" s="280">
        <v>3928397.41</v>
      </c>
      <c r="Q72" s="248">
        <f>+P72/$P$77</f>
        <v>7.8958869805967141E-2</v>
      </c>
      <c r="R72" s="280">
        <v>3475512.79</v>
      </c>
      <c r="S72" s="248">
        <f>+R72/$R$77</f>
        <v>6.7990084576961457E-2</v>
      </c>
      <c r="T72" s="280">
        <v>3011089.71</v>
      </c>
      <c r="U72" s="248">
        <f>+T72/$T$77</f>
        <v>5.293946572160544E-2</v>
      </c>
      <c r="V72" s="280">
        <v>4018888.83</v>
      </c>
      <c r="W72" s="248">
        <f>+V72/$V$77</f>
        <v>6.2807081034523718E-2</v>
      </c>
      <c r="X72" s="280">
        <v>4834006.33</v>
      </c>
      <c r="Y72" s="248">
        <f>+X72/$X$77</f>
        <v>7.5822013364550328E-2</v>
      </c>
      <c r="Z72" s="280">
        <v>4596399.41</v>
      </c>
      <c r="AA72" s="248">
        <f>+Z72/$Z$77</f>
        <v>6.9183220872711379E-2</v>
      </c>
      <c r="AB72" s="280">
        <v>6809032.8700000001</v>
      </c>
      <c r="AC72" s="248">
        <f>+AB72/$AB$77</f>
        <v>9.1094621963823619E-2</v>
      </c>
      <c r="AD72" s="280">
        <v>7947419.54</v>
      </c>
      <c r="AE72" s="248">
        <f>+AD72/$AD$77</f>
        <v>0.1013718352806065</v>
      </c>
      <c r="AF72" s="280">
        <v>9704323.3900000006</v>
      </c>
      <c r="AG72" s="248">
        <f>+AF72/$AF$77</f>
        <v>0.11207043033264334</v>
      </c>
      <c r="AH72" s="280">
        <v>10895763.52</v>
      </c>
      <c r="AI72" s="248">
        <f>+AH72/$AH$77</f>
        <v>0.11488623903415404</v>
      </c>
      <c r="AJ72" s="280">
        <v>13127184.439999999</v>
      </c>
      <c r="AK72" s="248">
        <f>+AJ72/$AJ$77</f>
        <v>0.12325694215842595</v>
      </c>
      <c r="AL72" s="280">
        <v>16926381.000000004</v>
      </c>
      <c r="AM72" s="248">
        <f>+AL72/$AL$77</f>
        <v>0.14336828205812588</v>
      </c>
      <c r="AN72" s="280">
        <v>24171208.180000003</v>
      </c>
      <c r="AO72" s="248">
        <f>+AN72/$AN$77</f>
        <v>0.16960503516178299</v>
      </c>
      <c r="AP72" s="280">
        <v>29573560.48</v>
      </c>
      <c r="AQ72" s="248">
        <f>+AP72/$AP$77</f>
        <v>0.19749506915569762</v>
      </c>
      <c r="AR72" s="280">
        <v>30699576.300000004</v>
      </c>
      <c r="AS72" s="248">
        <f>+AR72/$AR$77</f>
        <v>0.19563967961325032</v>
      </c>
      <c r="AT72" s="280">
        <v>37894710.680000007</v>
      </c>
      <c r="AU72" s="248">
        <f>+AT72/$AT$77</f>
        <v>0.21351349055917046</v>
      </c>
      <c r="AV72" s="280">
        <v>32110383.779999997</v>
      </c>
      <c r="AW72" s="248">
        <f>+AV72/$AV$77</f>
        <v>0.18811658780706556</v>
      </c>
      <c r="AX72" s="280">
        <v>29581038.309999999</v>
      </c>
      <c r="AY72" s="245">
        <f>+AX72/$AX$77</f>
        <v>0.18840524404473386</v>
      </c>
      <c r="AZ72" s="280">
        <v>31051664.550000004</v>
      </c>
      <c r="BA72" s="245">
        <f>+AZ72/$AZ$77</f>
        <v>0.20003601688294342</v>
      </c>
      <c r="BB72" s="280">
        <v>29605108.429999996</v>
      </c>
      <c r="BC72" s="245">
        <f t="shared" si="136"/>
        <v>0.19162931513649817</v>
      </c>
      <c r="BD72" s="280">
        <v>29682537.380000003</v>
      </c>
      <c r="BE72" s="245">
        <f t="shared" si="137"/>
        <v>0.20037651772607423</v>
      </c>
      <c r="BF72" s="280">
        <v>32457196.440000001</v>
      </c>
      <c r="BG72" s="245">
        <f t="shared" si="138"/>
        <v>0.21408429562538914</v>
      </c>
      <c r="BH72" s="280">
        <v>31037890.419999991</v>
      </c>
      <c r="BI72" s="245">
        <f t="shared" si="139"/>
        <v>0.19907923582332604</v>
      </c>
      <c r="BJ72" s="280">
        <v>33461143.73</v>
      </c>
      <c r="BK72" s="245">
        <f t="shared" si="140"/>
        <v>0.20184137771467595</v>
      </c>
      <c r="BL72" s="280">
        <v>36908541.380000003</v>
      </c>
      <c r="BM72" s="245">
        <f t="shared" si="141"/>
        <v>0.19703673406186248</v>
      </c>
      <c r="BN72" s="280">
        <v>34033130.050000004</v>
      </c>
      <c r="BO72" s="245">
        <f t="shared" si="142"/>
        <v>0.18390882893366664</v>
      </c>
      <c r="BP72" s="280">
        <v>31763277.84</v>
      </c>
      <c r="BQ72" s="245">
        <f t="shared" si="143"/>
        <v>0.16716812009829518</v>
      </c>
      <c r="BR72" s="280">
        <v>31025905.07</v>
      </c>
      <c r="BS72" s="245">
        <f t="shared" si="144"/>
        <v>0.14985294881179434</v>
      </c>
      <c r="BT72" s="280">
        <v>38685816.809999995</v>
      </c>
      <c r="BU72" s="245">
        <f t="shared" si="145"/>
        <v>0.16822016373951323</v>
      </c>
      <c r="BV72" s="280">
        <v>41428511.019999996</v>
      </c>
      <c r="BW72" s="245">
        <f t="shared" si="146"/>
        <v>0.17545002180672711</v>
      </c>
      <c r="BX72" s="280">
        <v>51340143.340000004</v>
      </c>
      <c r="BY72" s="245">
        <f t="shared" si="147"/>
        <v>0.19642721883694028</v>
      </c>
      <c r="BZ72" s="280">
        <v>52119314.149999984</v>
      </c>
      <c r="CA72" s="245">
        <f t="shared" si="148"/>
        <v>0.19146491133996885</v>
      </c>
      <c r="CB72" s="280">
        <v>54276347.529999994</v>
      </c>
      <c r="CC72" s="245">
        <f t="shared" si="149"/>
        <v>0.19289945967109356</v>
      </c>
      <c r="CD72" s="280">
        <v>70384803.909999996</v>
      </c>
      <c r="CE72" s="245">
        <f t="shared" si="150"/>
        <v>0.22506828062481088</v>
      </c>
      <c r="CF72" s="280">
        <v>74654690.910000026</v>
      </c>
      <c r="CG72" s="245">
        <f t="shared" si="151"/>
        <v>0.21964353514589816</v>
      </c>
      <c r="CH72" s="280">
        <v>78036987.989999995</v>
      </c>
      <c r="CI72" s="245">
        <f t="shared" si="152"/>
        <v>0.21294556586450786</v>
      </c>
      <c r="CJ72" s="279"/>
      <c r="CK72" s="282">
        <v>83824238.090000048</v>
      </c>
      <c r="CL72" s="245">
        <f t="shared" si="153"/>
        <v>0.20782438626416194</v>
      </c>
      <c r="CM72" s="279"/>
      <c r="CN72" s="282">
        <v>81859477.830000043</v>
      </c>
      <c r="CO72" s="245">
        <f t="shared" si="154"/>
        <v>0.20552264115734595</v>
      </c>
      <c r="CP72" s="279"/>
      <c r="CQ72" s="280">
        <v>80113871.500000402</v>
      </c>
      <c r="CR72" s="245">
        <f t="shared" si="155"/>
        <v>0.19755172253867673</v>
      </c>
      <c r="CS72" s="279"/>
      <c r="CT72" s="424">
        <v>86872311.980000407</v>
      </c>
      <c r="CU72" s="245">
        <f t="shared" si="156"/>
        <v>0.19606522888152111</v>
      </c>
      <c r="CV72" s="198"/>
      <c r="CW72" s="424">
        <v>88951259.010000035</v>
      </c>
      <c r="CX72" s="245">
        <f t="shared" si="157"/>
        <v>0.19331531408080074</v>
      </c>
      <c r="CY72" s="438"/>
      <c r="CZ72" s="424">
        <v>96950797.370000035</v>
      </c>
      <c r="DA72" s="245">
        <f t="shared" si="158"/>
        <v>0.20446857331418314</v>
      </c>
      <c r="DB72" s="438"/>
      <c r="DC72" s="424">
        <v>106835012.91000003</v>
      </c>
      <c r="DD72" s="245">
        <f t="shared" si="159"/>
        <v>0.21312002223031584</v>
      </c>
      <c r="DE72" s="438"/>
      <c r="DF72" s="508">
        <v>107224777.07000001</v>
      </c>
      <c r="DG72" s="245">
        <f t="shared" si="160"/>
        <v>0.20068931041980551</v>
      </c>
      <c r="DH72" s="438"/>
      <c r="DI72" s="508">
        <v>108782047.64000002</v>
      </c>
      <c r="DJ72" s="245">
        <f t="shared" si="161"/>
        <v>0.19622115725236047</v>
      </c>
      <c r="DK72" s="438"/>
      <c r="DL72" s="508">
        <v>126004916.75999998</v>
      </c>
      <c r="DM72" s="245">
        <f t="shared" si="162"/>
        <v>0.21834903361193359</v>
      </c>
      <c r="DN72" s="438"/>
      <c r="DO72" s="508">
        <v>139131648.78</v>
      </c>
      <c r="DP72" s="575">
        <f t="shared" si="163"/>
        <v>0.22746685784338957</v>
      </c>
      <c r="DQ72" s="440"/>
      <c r="DR72" s="508">
        <v>136644384.72827128</v>
      </c>
      <c r="DS72" s="575">
        <f t="shared" si="164"/>
        <v>0.21950622523799307</v>
      </c>
      <c r="DT72" s="440"/>
      <c r="DU72" s="508">
        <v>149909207.02000004</v>
      </c>
      <c r="DV72" s="575">
        <f t="shared" si="183"/>
        <v>0.21801857944621647</v>
      </c>
      <c r="DW72" s="440"/>
      <c r="DX72" s="508">
        <v>139252560.56999999</v>
      </c>
      <c r="DY72" s="325">
        <f t="shared" si="184"/>
        <v>0.20749869933933104</v>
      </c>
      <c r="DZ72" s="440"/>
      <c r="EA72" s="508">
        <v>136371973.06999999</v>
      </c>
      <c r="EB72" s="325">
        <f t="shared" si="185"/>
        <v>0.19505361620778311</v>
      </c>
      <c r="EC72" s="440"/>
      <c r="ED72" s="508">
        <v>144176842.29999998</v>
      </c>
      <c r="EE72" s="325">
        <f t="shared" si="186"/>
        <v>0.19482974490402302</v>
      </c>
      <c r="EF72" s="440"/>
      <c r="EG72" s="424">
        <v>171947569.70000008</v>
      </c>
      <c r="EH72" s="245">
        <f t="shared" si="165"/>
        <v>0.21508260502522503</v>
      </c>
      <c r="EI72" s="438"/>
      <c r="EJ72" s="424">
        <v>170723699.93000042</v>
      </c>
      <c r="EK72" s="245">
        <f t="shared" si="166"/>
        <v>0.20333452935945806</v>
      </c>
      <c r="EL72" s="438"/>
      <c r="EM72" s="424">
        <v>177527812.29000005</v>
      </c>
      <c r="EN72" s="245">
        <f t="shared" si="167"/>
        <v>0.19930239927958585</v>
      </c>
      <c r="EO72" s="438"/>
      <c r="EP72" s="508">
        <v>195655863.52999762</v>
      </c>
      <c r="EQ72" s="245">
        <f t="shared" si="168"/>
        <v>0.20672851191914912</v>
      </c>
      <c r="ER72" s="438"/>
      <c r="ES72" s="508">
        <v>209080385.9799999</v>
      </c>
      <c r="ET72" s="245">
        <f t="shared" si="169"/>
        <v>0.2100799429262411</v>
      </c>
      <c r="EU72" s="438"/>
      <c r="EV72" s="508">
        <v>240836495.54999983</v>
      </c>
      <c r="EW72" s="245">
        <f t="shared" si="170"/>
        <v>0.22297859879472495</v>
      </c>
      <c r="EX72" s="438"/>
      <c r="EY72" s="508">
        <v>256777434.87999997</v>
      </c>
      <c r="EZ72" s="575">
        <f t="shared" si="171"/>
        <v>0.22613885367791667</v>
      </c>
      <c r="FA72" s="440"/>
      <c r="FB72" s="508">
        <v>259990214.62000012</v>
      </c>
      <c r="FC72" s="575">
        <f t="shared" si="187"/>
        <v>0.21609122498858943</v>
      </c>
      <c r="FD72" s="440"/>
      <c r="FE72" s="508">
        <v>281068292.72999972</v>
      </c>
      <c r="FF72" s="575">
        <f t="shared" si="188"/>
        <v>0.2126482077589032</v>
      </c>
      <c r="FG72" s="440"/>
      <c r="FH72" s="508">
        <v>291292389.89999616</v>
      </c>
      <c r="FI72" s="325">
        <f t="shared" si="189"/>
        <v>0.21312736957706588</v>
      </c>
      <c r="FJ72" s="440"/>
      <c r="FK72" s="508">
        <v>309977241.48999965</v>
      </c>
      <c r="FL72" s="325">
        <f t="shared" si="190"/>
        <v>0.21128884649848648</v>
      </c>
      <c r="FM72" s="440"/>
      <c r="FN72" s="508">
        <v>363116623.50999999</v>
      </c>
      <c r="FO72" s="325">
        <f t="shared" si="191"/>
        <v>0.22741568314849234</v>
      </c>
      <c r="FP72" s="440"/>
      <c r="FQ72" s="508">
        <v>403493342.19000065</v>
      </c>
      <c r="FR72" s="325">
        <f t="shared" si="192"/>
        <v>0.24223670041072823</v>
      </c>
      <c r="FS72" s="440"/>
      <c r="FT72" s="508">
        <v>413675514.56000036</v>
      </c>
      <c r="FU72" s="325">
        <f t="shared" si="193"/>
        <v>0.24182781809831752</v>
      </c>
      <c r="FV72" s="440"/>
      <c r="FW72" s="508">
        <v>425652810.05814093</v>
      </c>
      <c r="FX72" s="325">
        <f t="shared" si="194"/>
        <v>0.24203225925452285</v>
      </c>
      <c r="FY72" s="440"/>
      <c r="FZ72" s="508">
        <v>425652810.05814093</v>
      </c>
      <c r="GA72" s="325">
        <f t="shared" si="195"/>
        <v>0.24203225925452285</v>
      </c>
      <c r="GB72" s="440"/>
      <c r="GC72" s="508">
        <v>425652810.05814093</v>
      </c>
      <c r="GD72" s="325">
        <f t="shared" si="196"/>
        <v>0.24203225925452285</v>
      </c>
      <c r="GE72" s="508">
        <v>425652810.05814093</v>
      </c>
      <c r="GF72" s="325">
        <f t="shared" si="197"/>
        <v>0.24203225925452285</v>
      </c>
      <c r="GG72" s="973">
        <v>425652810.05814093</v>
      </c>
      <c r="GH72" s="325">
        <f t="shared" si="198"/>
        <v>0.24203225925452285</v>
      </c>
      <c r="GI72" s="973">
        <v>425652810.05814093</v>
      </c>
      <c r="GJ72" s="325">
        <f t="shared" si="199"/>
        <v>0.24203225925452285</v>
      </c>
      <c r="GK72" s="973">
        <v>425652810.05814093</v>
      </c>
      <c r="GL72" s="325">
        <f t="shared" si="200"/>
        <v>0.24203225925452285</v>
      </c>
      <c r="GM72" s="973">
        <v>425652810.05814093</v>
      </c>
      <c r="GN72" s="325">
        <f t="shared" si="201"/>
        <v>0.24203225925452285</v>
      </c>
      <c r="GO72" s="973">
        <v>425652810.05814093</v>
      </c>
      <c r="GP72" s="325">
        <f t="shared" si="202"/>
        <v>0.24203225925452285</v>
      </c>
      <c r="GQ72" s="973">
        <v>425652810.05814093</v>
      </c>
      <c r="GR72" s="325">
        <f t="shared" si="172"/>
        <v>0.24203225925452285</v>
      </c>
      <c r="GS72" s="440"/>
      <c r="GT72" s="973">
        <v>425652810.05814093</v>
      </c>
      <c r="GU72" s="325">
        <f t="shared" si="173"/>
        <v>0.24203225925452285</v>
      </c>
      <c r="GV72" s="440"/>
      <c r="GW72" s="1051">
        <v>425652810.05814093</v>
      </c>
      <c r="GX72" s="325">
        <f t="shared" si="174"/>
        <v>0.24203225925452285</v>
      </c>
      <c r="GY72" s="440"/>
      <c r="GZ72" s="1051">
        <v>425652810.05814093</v>
      </c>
      <c r="HA72" s="325">
        <f t="shared" si="175"/>
        <v>0.24203225925452285</v>
      </c>
      <c r="HB72" s="440"/>
      <c r="HC72" s="973">
        <v>425652810.05814093</v>
      </c>
      <c r="HD72" s="325">
        <f t="shared" si="176"/>
        <v>0.24203225925452285</v>
      </c>
      <c r="HE72" s="440"/>
      <c r="HF72" s="508">
        <v>425652810.05814093</v>
      </c>
      <c r="HG72" s="325">
        <f t="shared" si="177"/>
        <v>0.24203225925452285</v>
      </c>
      <c r="HH72" s="440"/>
      <c r="HI72" s="508">
        <v>425652810.05814093</v>
      </c>
      <c r="HJ72" s="325">
        <f t="shared" si="178"/>
        <v>0.24203225925452285</v>
      </c>
      <c r="HK72" s="440"/>
      <c r="HL72" s="508">
        <v>425652810.05814093</v>
      </c>
      <c r="HM72" s="325">
        <f t="shared" si="179"/>
        <v>0.24203225925452285</v>
      </c>
      <c r="HN72" s="440"/>
      <c r="HO72" s="508">
        <v>425652810.05814093</v>
      </c>
      <c r="HP72" s="325">
        <f t="shared" si="180"/>
        <v>0.24203225925452285</v>
      </c>
      <c r="HQ72" s="440"/>
      <c r="HR72" s="508">
        <v>425652810.05814093</v>
      </c>
      <c r="HS72" s="325">
        <f t="shared" si="181"/>
        <v>0.24203225925452285</v>
      </c>
      <c r="HT72" s="440"/>
      <c r="HU72" s="508">
        <v>425652810.05814093</v>
      </c>
      <c r="HV72" s="325">
        <f t="shared" si="182"/>
        <v>0.24203225925452285</v>
      </c>
      <c r="HW72" s="440"/>
      <c r="HX72" s="440"/>
      <c r="HY72" s="440"/>
      <c r="HZ72" s="440"/>
      <c r="IA72" s="508">
        <v>144176842.29999998</v>
      </c>
      <c r="IB72" s="325">
        <f t="shared" si="203"/>
        <v>0.19482974490402302</v>
      </c>
    </row>
    <row r="73" spans="1:236" ht="14.4" hidden="1" customHeight="1">
      <c r="A73" t="e">
        <f>VLOOKUP(B73,#REF!,4,FALSE)</f>
        <v>#REF!</v>
      </c>
      <c r="B73" s="242" t="s">
        <v>468</v>
      </c>
      <c r="D73" s="278"/>
      <c r="E73" s="279"/>
      <c r="F73" s="280"/>
      <c r="G73" s="279"/>
      <c r="H73" s="280"/>
      <c r="I73" s="281"/>
      <c r="J73" s="280"/>
      <c r="K73" s="281"/>
      <c r="L73" s="280"/>
      <c r="M73" s="279"/>
      <c r="N73" s="280"/>
      <c r="O73" s="248"/>
      <c r="P73" s="280"/>
      <c r="Q73" s="248"/>
      <c r="R73" s="280"/>
      <c r="S73" s="248"/>
      <c r="T73" s="280"/>
      <c r="U73" s="248"/>
      <c r="V73" s="280"/>
      <c r="W73" s="248"/>
      <c r="X73" s="280"/>
      <c r="Y73" s="248"/>
      <c r="Z73" s="280"/>
      <c r="AA73" s="248"/>
      <c r="AB73" s="280"/>
      <c r="AC73" s="248"/>
      <c r="AD73" s="280"/>
      <c r="AE73" s="248"/>
      <c r="AF73" s="280"/>
      <c r="AG73" s="248"/>
      <c r="AH73" s="280"/>
      <c r="AI73" s="248"/>
      <c r="AJ73" s="280"/>
      <c r="AK73" s="248"/>
      <c r="AL73" s="280"/>
      <c r="AM73" s="248"/>
      <c r="AN73" s="280"/>
      <c r="AO73" s="248"/>
      <c r="AP73" s="280"/>
      <c r="AQ73" s="248"/>
      <c r="AR73" s="280"/>
      <c r="AS73" s="248"/>
      <c r="AT73" s="280"/>
      <c r="AU73" s="248"/>
      <c r="AV73" s="280"/>
      <c r="AW73" s="248"/>
      <c r="AX73" s="280"/>
      <c r="AY73" s="245"/>
      <c r="AZ73" s="280"/>
      <c r="BA73" s="245"/>
      <c r="BB73" s="280"/>
      <c r="BC73" s="245"/>
      <c r="BD73" s="280"/>
      <c r="BE73" s="245"/>
      <c r="BF73" s="280"/>
      <c r="BG73" s="245"/>
      <c r="BH73" s="280"/>
      <c r="BI73" s="245"/>
      <c r="BJ73" s="280"/>
      <c r="BK73" s="245"/>
      <c r="BL73" s="280"/>
      <c r="BM73" s="245"/>
      <c r="BN73" s="280">
        <v>353846.14</v>
      </c>
      <c r="BO73" s="245">
        <f t="shared" si="142"/>
        <v>1.9121200175973309E-3</v>
      </c>
      <c r="BP73" s="280">
        <v>292307.66000000003</v>
      </c>
      <c r="BQ73" s="245">
        <f t="shared" si="143"/>
        <v>1.5383967063687543E-3</v>
      </c>
      <c r="BR73" s="280">
        <v>2115384.56</v>
      </c>
      <c r="BS73" s="245">
        <f t="shared" si="144"/>
        <v>1.0217159289043751E-2</v>
      </c>
      <c r="BT73" s="280">
        <v>5378846.1500000004</v>
      </c>
      <c r="BU73" s="245">
        <f t="shared" si="145"/>
        <v>2.3389201901218706E-2</v>
      </c>
      <c r="BV73" s="280">
        <v>4947115.37</v>
      </c>
      <c r="BW73" s="245">
        <f t="shared" si="146"/>
        <v>2.0951066745504652E-2</v>
      </c>
      <c r="BX73" s="280">
        <v>4731730.76</v>
      </c>
      <c r="BY73" s="245">
        <f t="shared" si="147"/>
        <v>1.8103586258355033E-2</v>
      </c>
      <c r="BZ73" s="280">
        <v>4275961.5199999996</v>
      </c>
      <c r="CA73" s="245">
        <f t="shared" si="148"/>
        <v>1.5708122922794037E-2</v>
      </c>
      <c r="CB73" s="280">
        <v>5412500.0599999996</v>
      </c>
      <c r="CC73" s="245">
        <f t="shared" si="149"/>
        <v>1.9236156899958619E-2</v>
      </c>
      <c r="CD73" s="280">
        <v>3912500.05</v>
      </c>
      <c r="CE73" s="245">
        <f t="shared" si="150"/>
        <v>1.2510934325028037E-2</v>
      </c>
      <c r="CF73" s="280">
        <v>6039423.0600000005</v>
      </c>
      <c r="CG73" s="245">
        <f t="shared" si="151"/>
        <v>1.7768745874780254E-2</v>
      </c>
      <c r="CH73" s="280">
        <v>11284237.77</v>
      </c>
      <c r="CI73" s="245">
        <f t="shared" si="152"/>
        <v>3.0792172521961304E-2</v>
      </c>
      <c r="CJ73" s="279"/>
      <c r="CK73" s="282">
        <v>10781230.25</v>
      </c>
      <c r="CL73" s="245">
        <f t="shared" si="153"/>
        <v>2.6729769466835911E-2</v>
      </c>
      <c r="CM73" s="279"/>
      <c r="CN73" s="282">
        <v>9045604.2899999991</v>
      </c>
      <c r="CO73" s="245">
        <f t="shared" si="154"/>
        <v>2.2710583231496016E-2</v>
      </c>
      <c r="CP73" s="279"/>
      <c r="CQ73" s="280">
        <v>5345487.3599999994</v>
      </c>
      <c r="CR73" s="245">
        <f t="shared" si="155"/>
        <v>1.3181365673692578E-2</v>
      </c>
      <c r="CS73" s="279"/>
      <c r="CT73" s="424">
        <v>15096450.960000001</v>
      </c>
      <c r="CU73" s="245">
        <f t="shared" si="156"/>
        <v>3.4071720267471184E-2</v>
      </c>
      <c r="CV73" s="198"/>
      <c r="CW73" s="424">
        <v>13260542.16</v>
      </c>
      <c r="CX73" s="245">
        <f t="shared" si="157"/>
        <v>2.8818769976644301E-2</v>
      </c>
      <c r="CY73" s="438"/>
      <c r="CZ73" s="424">
        <v>10698087.760000002</v>
      </c>
      <c r="DA73" s="245">
        <f t="shared" si="158"/>
        <v>2.2562194441053566E-2</v>
      </c>
      <c r="DB73" s="438"/>
      <c r="DC73" s="424">
        <v>8043682.8700000001</v>
      </c>
      <c r="DD73" s="245">
        <f t="shared" si="159"/>
        <v>1.6045955584918087E-2</v>
      </c>
      <c r="DE73" s="438"/>
      <c r="DF73" s="508">
        <v>30225580.270000003</v>
      </c>
      <c r="DG73" s="245">
        <f t="shared" si="160"/>
        <v>5.6572286995427545E-2</v>
      </c>
      <c r="DH73" s="438"/>
      <c r="DI73" s="508">
        <v>22274587.010000002</v>
      </c>
      <c r="DJ73" s="245">
        <f t="shared" si="161"/>
        <v>4.0178920467511391E-2</v>
      </c>
      <c r="DK73" s="438"/>
      <c r="DL73" s="508">
        <v>54078737.880000018</v>
      </c>
      <c r="DM73" s="245">
        <f t="shared" si="162"/>
        <v>9.3710947625493854E-2</v>
      </c>
      <c r="DN73" s="438"/>
      <c r="DO73" s="508">
        <v>59512247.959999822</v>
      </c>
      <c r="DP73" s="575">
        <f t="shared" si="163"/>
        <v>9.7296798861796902E-2</v>
      </c>
      <c r="DQ73" s="440"/>
      <c r="DR73" s="508">
        <v>65662495.269999869</v>
      </c>
      <c r="DS73" s="575">
        <f t="shared" si="164"/>
        <v>0.10548056186199926</v>
      </c>
      <c r="DT73" s="440"/>
      <c r="DU73" s="508">
        <v>75994065.940000013</v>
      </c>
      <c r="DV73" s="575">
        <f t="shared" si="183"/>
        <v>0.11052101890159742</v>
      </c>
      <c r="DW73" s="440"/>
      <c r="DX73" s="508">
        <v>78053929.829999328</v>
      </c>
      <c r="DY73" s="325">
        <f t="shared" si="184"/>
        <v>0.11630729698436505</v>
      </c>
      <c r="DZ73" s="440"/>
      <c r="EA73" s="508">
        <v>80177912.169999987</v>
      </c>
      <c r="EB73" s="325">
        <f t="shared" si="185"/>
        <v>0.11467892820411857</v>
      </c>
      <c r="EC73" s="440"/>
      <c r="ED73" s="508">
        <v>85343422.10999833</v>
      </c>
      <c r="EE73" s="325">
        <f t="shared" si="186"/>
        <v>0.11532668418641968</v>
      </c>
      <c r="EF73" s="440"/>
      <c r="EG73" s="424">
        <v>92956450.079999968</v>
      </c>
      <c r="EH73" s="245">
        <f t="shared" si="165"/>
        <v>0.11627565002509989</v>
      </c>
      <c r="EI73" s="438"/>
      <c r="EJ73" s="424">
        <v>105440567.75999998</v>
      </c>
      <c r="EK73" s="245">
        <f t="shared" si="166"/>
        <v>0.1255813236806857</v>
      </c>
      <c r="EL73" s="438"/>
      <c r="EM73" s="424">
        <v>116709893.63999978</v>
      </c>
      <c r="EN73" s="245">
        <f t="shared" si="167"/>
        <v>0.1310248885629256</v>
      </c>
      <c r="EO73" s="438"/>
      <c r="EP73" s="508">
        <v>126624048.01999998</v>
      </c>
      <c r="EQ73" s="245">
        <f t="shared" si="168"/>
        <v>0.13379001553071315</v>
      </c>
      <c r="ER73" s="438"/>
      <c r="ES73" s="508">
        <v>138352229.24000001</v>
      </c>
      <c r="ET73" s="245">
        <f t="shared" si="169"/>
        <v>0.13901365394091875</v>
      </c>
      <c r="EU73" s="438"/>
      <c r="EV73" s="508">
        <v>138600259.60000002</v>
      </c>
      <c r="EW73" s="245">
        <f t="shared" si="170"/>
        <v>0.12832312481385114</v>
      </c>
      <c r="EX73" s="438"/>
      <c r="EY73" s="508">
        <v>142442735.22000012</v>
      </c>
      <c r="EZ73" s="575">
        <f t="shared" si="171"/>
        <v>0.12544652481808388</v>
      </c>
      <c r="FA73" s="440"/>
      <c r="FB73" s="508">
        <v>159118662.23999995</v>
      </c>
      <c r="FC73" s="575">
        <f t="shared" si="187"/>
        <v>0.13225169528877395</v>
      </c>
      <c r="FD73" s="440"/>
      <c r="FE73" s="508">
        <v>182328988.76000023</v>
      </c>
      <c r="FF73" s="575">
        <f t="shared" si="188"/>
        <v>0.13794488273905878</v>
      </c>
      <c r="FG73" s="440"/>
      <c r="FH73" s="508">
        <v>193534443.49999994</v>
      </c>
      <c r="FI73" s="325">
        <f t="shared" si="189"/>
        <v>0.14160166312575817</v>
      </c>
      <c r="FJ73" s="440"/>
      <c r="FK73" s="508">
        <v>213597943.06999996</v>
      </c>
      <c r="FL73" s="325">
        <f t="shared" si="190"/>
        <v>0.14559411777708095</v>
      </c>
      <c r="FM73" s="440"/>
      <c r="FN73" s="508">
        <v>256968877.92000002</v>
      </c>
      <c r="FO73" s="325">
        <f t="shared" si="191"/>
        <v>0.16093659484710693</v>
      </c>
      <c r="FP73" s="440"/>
      <c r="FQ73" s="508">
        <v>265140074.83999997</v>
      </c>
      <c r="FR73" s="325">
        <f t="shared" si="192"/>
        <v>0.15917649725593613</v>
      </c>
      <c r="FS73" s="440"/>
      <c r="FT73" s="508">
        <v>266075692.30999994</v>
      </c>
      <c r="FU73" s="325">
        <f t="shared" si="193"/>
        <v>0.15554341955376697</v>
      </c>
      <c r="FV73" s="440"/>
      <c r="FW73" s="508">
        <v>276742896.55421442</v>
      </c>
      <c r="FX73" s="325">
        <f t="shared" si="194"/>
        <v>0.15735995840485154</v>
      </c>
      <c r="FY73" s="440"/>
      <c r="FZ73" s="508">
        <v>276742896.55421442</v>
      </c>
      <c r="GA73" s="325">
        <f t="shared" si="195"/>
        <v>0.15735995840485154</v>
      </c>
      <c r="GB73" s="440"/>
      <c r="GC73" s="508">
        <v>276742896.55421442</v>
      </c>
      <c r="GD73" s="325">
        <f t="shared" si="196"/>
        <v>0.15735995840485154</v>
      </c>
      <c r="GE73" s="508">
        <v>276742896.55421442</v>
      </c>
      <c r="GF73" s="325">
        <f t="shared" si="197"/>
        <v>0.15735995840485154</v>
      </c>
      <c r="GG73" s="973">
        <v>276742896.55421442</v>
      </c>
      <c r="GH73" s="325">
        <f t="shared" si="198"/>
        <v>0.15735995840485154</v>
      </c>
      <c r="GI73" s="973">
        <v>276742896.55421442</v>
      </c>
      <c r="GJ73" s="325">
        <f t="shared" si="199"/>
        <v>0.15735995840485154</v>
      </c>
      <c r="GK73" s="973">
        <v>276742896.55421442</v>
      </c>
      <c r="GL73" s="325">
        <f t="shared" si="200"/>
        <v>0.15735995840485154</v>
      </c>
      <c r="GM73" s="973">
        <v>276742896.55421442</v>
      </c>
      <c r="GN73" s="325">
        <f t="shared" si="201"/>
        <v>0.15735995840485154</v>
      </c>
      <c r="GO73" s="973">
        <v>276742896.55421442</v>
      </c>
      <c r="GP73" s="325">
        <f t="shared" si="202"/>
        <v>0.15735995840485154</v>
      </c>
      <c r="GQ73" s="973">
        <v>276742896.55421442</v>
      </c>
      <c r="GR73" s="325">
        <f t="shared" si="172"/>
        <v>0.15735995840485154</v>
      </c>
      <c r="GS73" s="440"/>
      <c r="GT73" s="973">
        <v>276742896.55421442</v>
      </c>
      <c r="GU73" s="325">
        <f t="shared" si="173"/>
        <v>0.15735995840485154</v>
      </c>
      <c r="GV73" s="440"/>
      <c r="GW73" s="1051">
        <v>276742896.55421442</v>
      </c>
      <c r="GX73" s="325">
        <f t="shared" si="174"/>
        <v>0.15735995840485154</v>
      </c>
      <c r="GY73" s="440"/>
      <c r="GZ73" s="1051">
        <v>276742896.55421442</v>
      </c>
      <c r="HA73" s="325">
        <f t="shared" si="175"/>
        <v>0.15735995840485154</v>
      </c>
      <c r="HB73" s="440"/>
      <c r="HC73" s="973">
        <v>276742896.55421442</v>
      </c>
      <c r="HD73" s="325">
        <f t="shared" si="176"/>
        <v>0.15735995840485154</v>
      </c>
      <c r="HE73" s="440"/>
      <c r="HF73" s="508">
        <v>276742896.55421442</v>
      </c>
      <c r="HG73" s="325">
        <f t="shared" si="177"/>
        <v>0.15735995840485154</v>
      </c>
      <c r="HH73" s="440"/>
      <c r="HI73" s="508">
        <v>276742896.55421442</v>
      </c>
      <c r="HJ73" s="325">
        <f t="shared" si="178"/>
        <v>0.15735995840485154</v>
      </c>
      <c r="HK73" s="440"/>
      <c r="HL73" s="508">
        <v>276742896.55421442</v>
      </c>
      <c r="HM73" s="325">
        <f t="shared" si="179"/>
        <v>0.15735995840485154</v>
      </c>
      <c r="HN73" s="440"/>
      <c r="HO73" s="508">
        <v>276742896.55421442</v>
      </c>
      <c r="HP73" s="325">
        <f t="shared" si="180"/>
        <v>0.15735995840485154</v>
      </c>
      <c r="HQ73" s="440"/>
      <c r="HR73" s="508">
        <v>276742896.55421442</v>
      </c>
      <c r="HS73" s="325">
        <f t="shared" si="181"/>
        <v>0.15735995840485154</v>
      </c>
      <c r="HT73" s="440"/>
      <c r="HU73" s="508">
        <v>276742896.55421442</v>
      </c>
      <c r="HV73" s="325">
        <f t="shared" si="182"/>
        <v>0.15735995840485154</v>
      </c>
      <c r="HW73" s="440"/>
      <c r="HX73" s="440"/>
      <c r="HY73" s="440"/>
      <c r="HZ73" s="440"/>
      <c r="IA73" s="508">
        <v>85343422.10999833</v>
      </c>
      <c r="IB73" s="325">
        <f t="shared" si="203"/>
        <v>0.11532668418641968</v>
      </c>
    </row>
    <row r="74" spans="1:236" ht="14.4" hidden="1" customHeight="1">
      <c r="A74" t="e">
        <f>VLOOKUP(B74,#REF!,4,FALSE)</f>
        <v>#REF!</v>
      </c>
      <c r="B74" s="242" t="s">
        <v>469</v>
      </c>
      <c r="D74" s="278">
        <v>161538.45000000001</v>
      </c>
      <c r="E74" s="279">
        <v>6.2275772011517296E-3</v>
      </c>
      <c r="F74" s="280">
        <v>153372.76999999999</v>
      </c>
      <c r="G74" s="279">
        <v>5.8340765138785392E-3</v>
      </c>
      <c r="H74" s="280">
        <v>350000</v>
      </c>
      <c r="I74" s="281">
        <v>1.1569234143887375E-2</v>
      </c>
      <c r="J74" s="280">
        <v>296153.83999999997</v>
      </c>
      <c r="K74" s="281">
        <v>8.6532607972645559E-3</v>
      </c>
      <c r="L74" s="280">
        <v>353846.14</v>
      </c>
      <c r="M74" s="279">
        <v>9.561767241226397E-3</v>
      </c>
      <c r="N74" s="280">
        <v>353846.14</v>
      </c>
      <c r="O74" s="248">
        <f>+N74/$N$77</f>
        <v>8.1308836167912294E-3</v>
      </c>
      <c r="P74" s="280">
        <v>276923.03999999998</v>
      </c>
      <c r="Q74" s="248">
        <f>+P74/$P$77</f>
        <v>5.5660178896291016E-3</v>
      </c>
      <c r="R74" s="280">
        <v>415612.51</v>
      </c>
      <c r="S74" s="248">
        <f>+R74/$R$77</f>
        <v>8.1304634491485318E-3</v>
      </c>
      <c r="T74" s="280">
        <v>500000</v>
      </c>
      <c r="U74" s="248">
        <f>+T74/$T$77</f>
        <v>8.7907486691264081E-3</v>
      </c>
      <c r="V74" s="280">
        <v>500000</v>
      </c>
      <c r="W74" s="248">
        <f>+V74/$V$77</f>
        <v>7.8139858666510711E-3</v>
      </c>
      <c r="X74" s="280">
        <v>528846.15</v>
      </c>
      <c r="Y74" s="248">
        <f>+X74/$X$77</f>
        <v>8.2950201376941497E-3</v>
      </c>
      <c r="Z74" s="280">
        <v>986923.08</v>
      </c>
      <c r="AA74" s="248">
        <f>+Z74/$Z$77</f>
        <v>1.485478335052188E-2</v>
      </c>
      <c r="AB74" s="280">
        <v>1585833.33</v>
      </c>
      <c r="AC74" s="248">
        <f>+AB74/$AB$77</f>
        <v>2.1216065548818764E-2</v>
      </c>
      <c r="AD74" s="280">
        <v>1603680.55</v>
      </c>
      <c r="AE74" s="248">
        <f>+AD74/$AD$77</f>
        <v>2.0455449688932925E-2</v>
      </c>
      <c r="AF74" s="280">
        <v>1503579.05</v>
      </c>
      <c r="AG74" s="248">
        <f>+AF74/$AF$77</f>
        <v>1.7364090663578663E-2</v>
      </c>
      <c r="AH74" s="280">
        <v>2380181.62</v>
      </c>
      <c r="AI74" s="248">
        <f>+AH74/$AH$77</f>
        <v>2.5096920838827089E-2</v>
      </c>
      <c r="AJ74" s="280">
        <v>2267650.46</v>
      </c>
      <c r="AK74" s="248">
        <f>+AJ74/$AJ$77</f>
        <v>2.1291973374889826E-2</v>
      </c>
      <c r="AL74" s="280">
        <v>1938773.15</v>
      </c>
      <c r="AM74" s="248">
        <f>+AL74/$AL$77</f>
        <v>1.6421618762801161E-2</v>
      </c>
      <c r="AN74" s="280">
        <v>1813549.69</v>
      </c>
      <c r="AO74" s="248">
        <f>+AN74/$AN$77</f>
        <v>1.2725353099833778E-2</v>
      </c>
      <c r="AP74" s="280">
        <v>1807703.92</v>
      </c>
      <c r="AQ74" s="248">
        <f>+AP74/$AP$77</f>
        <v>1.2072019902198318E-2</v>
      </c>
      <c r="AR74" s="280">
        <v>2050077.1</v>
      </c>
      <c r="AS74" s="248">
        <f>+AR74/$AR$77</f>
        <v>1.3064559038440582E-2</v>
      </c>
      <c r="AT74" s="280">
        <v>2386263.89</v>
      </c>
      <c r="AU74" s="248">
        <f>+AT74/$AT$77</f>
        <v>1.3445135835754171E-2</v>
      </c>
      <c r="AV74" s="280">
        <v>2874443.37</v>
      </c>
      <c r="AW74" s="248">
        <f>+AV74/$AV$77</f>
        <v>1.6839738892994397E-2</v>
      </c>
      <c r="AX74" s="280">
        <v>2847413.0700000003</v>
      </c>
      <c r="AY74" s="245">
        <f>+AX74/$AX$77</f>
        <v>1.8135521435302684E-2</v>
      </c>
      <c r="AZ74" s="280">
        <v>3020382.77</v>
      </c>
      <c r="BA74" s="245">
        <f>+AZ74/$AZ$77</f>
        <v>1.9457421929822805E-2</v>
      </c>
      <c r="BB74" s="280">
        <v>4398827.9800000004</v>
      </c>
      <c r="BC74" s="245">
        <f>+BB74/$BB$77</f>
        <v>2.8472937202840227E-2</v>
      </c>
      <c r="BD74" s="280">
        <v>2190075.2400000002</v>
      </c>
      <c r="BE74" s="245">
        <f>+BD74/$BD$77</f>
        <v>1.4784438558308195E-2</v>
      </c>
      <c r="BF74" s="280">
        <v>1248553.25</v>
      </c>
      <c r="BG74" s="245">
        <f>+BF74/$BF$77</f>
        <v>8.235327520390124E-3</v>
      </c>
      <c r="BH74" s="280">
        <v>1123697.93</v>
      </c>
      <c r="BI74" s="245">
        <f>+BH74/$BH$77</f>
        <v>7.2074784134331434E-3</v>
      </c>
      <c r="BJ74" s="280">
        <v>998842.61</v>
      </c>
      <c r="BK74" s="245">
        <f>+BJ74/$BJ$77</f>
        <v>6.025130824854885E-3</v>
      </c>
      <c r="BL74" s="280">
        <v>873987.2899999998</v>
      </c>
      <c r="BM74" s="245">
        <f>+BL74/$BL$77</f>
        <v>4.6657926537973047E-3</v>
      </c>
      <c r="BN74" s="280">
        <v>749131.96999999974</v>
      </c>
      <c r="BO74" s="245">
        <f t="shared" si="142"/>
        <v>4.0481725635303596E-3</v>
      </c>
      <c r="BP74" s="280">
        <v>624276.64999999967</v>
      </c>
      <c r="BQ74" s="245">
        <f t="shared" si="143"/>
        <v>3.2855284812683969E-3</v>
      </c>
      <c r="BR74" s="280">
        <v>875276.65</v>
      </c>
      <c r="BS74" s="245">
        <f t="shared" si="144"/>
        <v>4.2275249257896609E-3</v>
      </c>
      <c r="BT74" s="280">
        <v>1375276.65</v>
      </c>
      <c r="BU74" s="245">
        <f t="shared" si="145"/>
        <v>5.9802088291522684E-3</v>
      </c>
      <c r="BV74" s="280">
        <v>1760670.26</v>
      </c>
      <c r="BW74" s="245">
        <f t="shared" si="146"/>
        <v>7.4564503503958164E-3</v>
      </c>
      <c r="BX74" s="280">
        <v>1760670.26</v>
      </c>
      <c r="BY74" s="245">
        <f t="shared" si="147"/>
        <v>6.7363185990807267E-3</v>
      </c>
      <c r="BZ74" s="280">
        <v>1613947.74</v>
      </c>
      <c r="CA74" s="245">
        <f t="shared" si="148"/>
        <v>5.9289798030936515E-3</v>
      </c>
      <c r="CB74" s="280">
        <v>2215225.2199999997</v>
      </c>
      <c r="CC74" s="245">
        <f t="shared" si="149"/>
        <v>7.8729643285519613E-3</v>
      </c>
      <c r="CD74" s="280">
        <v>2006169.37</v>
      </c>
      <c r="CE74" s="245">
        <f t="shared" si="150"/>
        <v>6.4150933960889986E-3</v>
      </c>
      <c r="CF74" s="280">
        <v>2398113.52</v>
      </c>
      <c r="CG74" s="245">
        <f t="shared" si="151"/>
        <v>7.0555530375040086E-3</v>
      </c>
      <c r="CH74" s="280">
        <v>1586881.84</v>
      </c>
      <c r="CI74" s="245">
        <f t="shared" si="152"/>
        <v>4.3302472338144823E-3</v>
      </c>
      <c r="CJ74" s="279"/>
      <c r="CK74" s="282">
        <v>2133613.34</v>
      </c>
      <c r="CL74" s="245">
        <f t="shared" si="153"/>
        <v>5.2898408982189936E-3</v>
      </c>
      <c r="CM74" s="279"/>
      <c r="CN74" s="282">
        <v>1884920</v>
      </c>
      <c r="CO74" s="245">
        <f t="shared" si="154"/>
        <v>4.7324237466407539E-3</v>
      </c>
      <c r="CP74" s="279"/>
      <c r="CQ74" s="280">
        <v>2012615.62</v>
      </c>
      <c r="CR74" s="245">
        <f t="shared" si="155"/>
        <v>4.9628818966668568E-3</v>
      </c>
      <c r="CS74" s="279"/>
      <c r="CT74" s="424">
        <v>1937726.73</v>
      </c>
      <c r="CU74" s="245">
        <f t="shared" si="156"/>
        <v>4.3733247817182097E-3</v>
      </c>
      <c r="CV74" s="198"/>
      <c r="CW74" s="424">
        <v>1696171.1700000002</v>
      </c>
      <c r="CX74" s="245">
        <f t="shared" si="157"/>
        <v>3.6862419499479682E-3</v>
      </c>
      <c r="CY74" s="438"/>
      <c r="CZ74" s="424">
        <v>1.7462298274040222E-10</v>
      </c>
      <c r="DA74" s="245">
        <f t="shared" si="158"/>
        <v>3.682786848315867E-19</v>
      </c>
      <c r="DB74" s="438"/>
      <c r="DC74" s="424">
        <v>1.7462298274040222E-10</v>
      </c>
      <c r="DD74" s="245">
        <f t="shared" si="159"/>
        <v>3.4834697867177492E-19</v>
      </c>
      <c r="DE74" s="438"/>
      <c r="DF74" s="508">
        <v>2500000</v>
      </c>
      <c r="DG74" s="245">
        <f t="shared" si="160"/>
        <v>4.6791729463981219E-3</v>
      </c>
      <c r="DH74" s="438"/>
      <c r="DI74" s="508">
        <v>0</v>
      </c>
      <c r="DJ74" s="245">
        <f t="shared" si="161"/>
        <v>0</v>
      </c>
      <c r="DK74" s="438"/>
      <c r="DL74" s="508">
        <v>5000000</v>
      </c>
      <c r="DM74" s="245">
        <f t="shared" si="162"/>
        <v>8.6643060932225496E-3</v>
      </c>
      <c r="DN74" s="438"/>
      <c r="DO74" s="508">
        <v>5000000.0000000009</v>
      </c>
      <c r="DP74" s="575">
        <f t="shared" si="163"/>
        <v>8.1745188761138173E-3</v>
      </c>
      <c r="DQ74" s="440"/>
      <c r="DR74" s="508">
        <v>5166666.66</v>
      </c>
      <c r="DS74" s="575">
        <f t="shared" si="164"/>
        <v>8.2997592462717897E-3</v>
      </c>
      <c r="DT74" s="440"/>
      <c r="DU74" s="508">
        <v>6210000.0099999998</v>
      </c>
      <c r="DV74" s="575">
        <f t="shared" si="183"/>
        <v>9.0314358100804376E-3</v>
      </c>
      <c r="DW74" s="440"/>
      <c r="DX74" s="508">
        <v>5869166.6899999995</v>
      </c>
      <c r="DY74" s="325">
        <f t="shared" si="184"/>
        <v>8.7455803282592854E-3</v>
      </c>
      <c r="DZ74" s="440"/>
      <c r="EA74" s="508">
        <v>12227697.83</v>
      </c>
      <c r="EB74" s="325">
        <f t="shared" si="185"/>
        <v>1.7489346424674139E-2</v>
      </c>
      <c r="EC74" s="440"/>
      <c r="ED74" s="508">
        <v>8769166.6899999995</v>
      </c>
      <c r="EE74" s="325">
        <f t="shared" si="186"/>
        <v>1.1849992564537918E-2</v>
      </c>
      <c r="EF74" s="440"/>
      <c r="EG74" s="424">
        <v>18844362.82</v>
      </c>
      <c r="EH74" s="245">
        <f t="shared" si="165"/>
        <v>2.3571689047060102E-2</v>
      </c>
      <c r="EI74" s="438"/>
      <c r="EJ74" s="424">
        <v>21497372.829999998</v>
      </c>
      <c r="EK74" s="245">
        <f t="shared" si="166"/>
        <v>2.5603698775536723E-2</v>
      </c>
      <c r="EL74" s="438"/>
      <c r="EM74" s="424">
        <v>20036789.900000002</v>
      </c>
      <c r="EN74" s="245">
        <f t="shared" si="167"/>
        <v>2.2494392565417291E-2</v>
      </c>
      <c r="EO74" s="438"/>
      <c r="EP74" s="508">
        <v>21917204.300000012</v>
      </c>
      <c r="EQ74" s="245">
        <f t="shared" si="168"/>
        <v>2.3157553004652515E-2</v>
      </c>
      <c r="ER74" s="438"/>
      <c r="ES74" s="508">
        <v>32175053.429998457</v>
      </c>
      <c r="ET74" s="245">
        <f t="shared" si="169"/>
        <v>3.2328873684351313E-2</v>
      </c>
      <c r="EU74" s="438"/>
      <c r="EV74" s="508">
        <v>49207452.399998456</v>
      </c>
      <c r="EW74" s="245">
        <f t="shared" si="170"/>
        <v>4.5558746241313959E-2</v>
      </c>
      <c r="EX74" s="438"/>
      <c r="EY74" s="508">
        <v>68132467.989999846</v>
      </c>
      <c r="EZ74" s="575">
        <f t="shared" si="171"/>
        <v>6.0002929060749707E-2</v>
      </c>
      <c r="FA74" s="440"/>
      <c r="FB74" s="508">
        <v>68990452.839998618</v>
      </c>
      <c r="FC74" s="575">
        <f t="shared" si="187"/>
        <v>5.734150990452689E-2</v>
      </c>
      <c r="FD74" s="440"/>
      <c r="FE74" s="508">
        <v>68403208.099997148</v>
      </c>
      <c r="FF74" s="575">
        <f t="shared" si="188"/>
        <v>5.1751905083782301E-2</v>
      </c>
      <c r="FG74" s="440"/>
      <c r="FH74" s="508">
        <v>83787041.510000005</v>
      </c>
      <c r="FI74" s="325">
        <f t="shared" si="189"/>
        <v>6.1303735974020258E-2</v>
      </c>
      <c r="FJ74" s="440"/>
      <c r="FK74" s="508">
        <v>91787814.320000008</v>
      </c>
      <c r="FL74" s="325">
        <f t="shared" si="190"/>
        <v>6.2565049347068705E-2</v>
      </c>
      <c r="FM74" s="440"/>
      <c r="FN74" s="508">
        <v>89502756.950000018</v>
      </c>
      <c r="FO74" s="325">
        <f t="shared" si="191"/>
        <v>5.605452710676348E-2</v>
      </c>
      <c r="FP74" s="440"/>
      <c r="FQ74" s="508">
        <v>88334507.280000016</v>
      </c>
      <c r="FR74" s="325">
        <f t="shared" si="192"/>
        <v>5.3031505946977031E-2</v>
      </c>
      <c r="FS74" s="440"/>
      <c r="FT74" s="508">
        <v>92002073.859999999</v>
      </c>
      <c r="FU74" s="325">
        <f t="shared" si="193"/>
        <v>5.3782880540436388E-2</v>
      </c>
      <c r="FV74" s="440"/>
      <c r="FW74" s="508">
        <v>93925173.245587125</v>
      </c>
      <c r="FX74" s="325">
        <f t="shared" si="194"/>
        <v>5.3407193243706706E-2</v>
      </c>
      <c r="FY74" s="440"/>
      <c r="FZ74" s="508">
        <v>93925173.245587125</v>
      </c>
      <c r="GA74" s="325">
        <f t="shared" si="195"/>
        <v>5.3407193243706706E-2</v>
      </c>
      <c r="GB74" s="440"/>
      <c r="GC74" s="508">
        <v>93925173.245587125</v>
      </c>
      <c r="GD74" s="325">
        <f t="shared" si="196"/>
        <v>5.3407193243706706E-2</v>
      </c>
      <c r="GE74" s="508">
        <v>93925173.245587125</v>
      </c>
      <c r="GF74" s="325">
        <f t="shared" si="197"/>
        <v>5.3407193243706706E-2</v>
      </c>
      <c r="GG74" s="973">
        <v>93925173.245587125</v>
      </c>
      <c r="GH74" s="325">
        <f t="shared" si="198"/>
        <v>5.3407193243706706E-2</v>
      </c>
      <c r="GI74" s="973">
        <v>93925173.245587125</v>
      </c>
      <c r="GJ74" s="325">
        <f t="shared" si="199"/>
        <v>5.3407193243706706E-2</v>
      </c>
      <c r="GK74" s="973">
        <v>93925173.245587125</v>
      </c>
      <c r="GL74" s="325">
        <f t="shared" si="200"/>
        <v>5.3407193243706706E-2</v>
      </c>
      <c r="GM74" s="973">
        <v>93925173.245587125</v>
      </c>
      <c r="GN74" s="325">
        <f t="shared" si="201"/>
        <v>5.3407193243706706E-2</v>
      </c>
      <c r="GO74" s="973">
        <v>93925173.245587125</v>
      </c>
      <c r="GP74" s="325">
        <f t="shared" si="202"/>
        <v>5.3407193243706706E-2</v>
      </c>
      <c r="GQ74" s="973">
        <v>93925173.245587125</v>
      </c>
      <c r="GR74" s="325">
        <f t="shared" si="172"/>
        <v>5.3407193243706706E-2</v>
      </c>
      <c r="GS74" s="440"/>
      <c r="GT74" s="973">
        <v>93925173.245587125</v>
      </c>
      <c r="GU74" s="325">
        <f t="shared" si="173"/>
        <v>5.3407193243706706E-2</v>
      </c>
      <c r="GV74" s="440"/>
      <c r="GW74" s="1051">
        <v>93925173.245587125</v>
      </c>
      <c r="GX74" s="325">
        <f t="shared" si="174"/>
        <v>5.3407193243706706E-2</v>
      </c>
      <c r="GY74" s="440"/>
      <c r="GZ74" s="1051">
        <v>93925173.245587125</v>
      </c>
      <c r="HA74" s="325">
        <f t="shared" si="175"/>
        <v>5.3407193243706706E-2</v>
      </c>
      <c r="HB74" s="440"/>
      <c r="HC74" s="973">
        <v>93925173.245587125</v>
      </c>
      <c r="HD74" s="325">
        <f t="shared" si="176"/>
        <v>5.3407193243706706E-2</v>
      </c>
      <c r="HE74" s="440"/>
      <c r="HF74" s="508">
        <v>93925173.245587125</v>
      </c>
      <c r="HG74" s="325">
        <f t="shared" si="177"/>
        <v>5.3407193243706706E-2</v>
      </c>
      <c r="HH74" s="440"/>
      <c r="HI74" s="508">
        <v>93925173.245587125</v>
      </c>
      <c r="HJ74" s="325">
        <f t="shared" si="178"/>
        <v>5.3407193243706706E-2</v>
      </c>
      <c r="HK74" s="440"/>
      <c r="HL74" s="508">
        <v>93925173.245587125</v>
      </c>
      <c r="HM74" s="325">
        <f t="shared" si="179"/>
        <v>5.3407193243706706E-2</v>
      </c>
      <c r="HN74" s="440"/>
      <c r="HO74" s="508">
        <v>93925173.245587125</v>
      </c>
      <c r="HP74" s="325">
        <f t="shared" si="180"/>
        <v>5.3407193243706706E-2</v>
      </c>
      <c r="HQ74" s="440"/>
      <c r="HR74" s="508">
        <v>93925173.245587125</v>
      </c>
      <c r="HS74" s="325">
        <f t="shared" si="181"/>
        <v>5.3407193243706706E-2</v>
      </c>
      <c r="HT74" s="440"/>
      <c r="HU74" s="508">
        <v>93925173.245587125</v>
      </c>
      <c r="HV74" s="325">
        <f t="shared" si="182"/>
        <v>5.3407193243706706E-2</v>
      </c>
      <c r="HW74" s="440"/>
      <c r="HX74" s="440"/>
      <c r="HY74" s="440"/>
      <c r="HZ74" s="440"/>
      <c r="IA74" s="508">
        <v>8769166.6899999995</v>
      </c>
      <c r="IB74" s="325">
        <f t="shared" si="203"/>
        <v>1.1849992564537918E-2</v>
      </c>
    </row>
    <row r="75" spans="1:236" ht="14.4" hidden="1" customHeight="1">
      <c r="A75" t="e">
        <f>VLOOKUP(B75,#REF!,4,FALSE)</f>
        <v>#REF!</v>
      </c>
      <c r="B75" s="242" t="s">
        <v>470</v>
      </c>
      <c r="D75" s="278"/>
      <c r="E75" s="279"/>
      <c r="F75" s="280"/>
      <c r="G75" s="279"/>
      <c r="H75" s="280"/>
      <c r="I75" s="281"/>
      <c r="J75" s="280"/>
      <c r="K75" s="281"/>
      <c r="L75" s="280"/>
      <c r="M75" s="279"/>
      <c r="N75" s="280"/>
      <c r="O75" s="279"/>
      <c r="P75" s="280"/>
      <c r="Q75" s="279"/>
      <c r="R75" s="280"/>
      <c r="S75" s="279"/>
      <c r="T75" s="280"/>
      <c r="U75" s="279"/>
      <c r="V75" s="280"/>
      <c r="W75" s="279"/>
      <c r="X75" s="280"/>
      <c r="Y75" s="279"/>
      <c r="Z75" s="280"/>
      <c r="AA75" s="279"/>
      <c r="AB75" s="280"/>
      <c r="AC75" s="279"/>
      <c r="AD75" s="280"/>
      <c r="AE75" s="279"/>
      <c r="AF75" s="280"/>
      <c r="AG75" s="279"/>
      <c r="AH75" s="280"/>
      <c r="AI75" s="279"/>
      <c r="AJ75" s="280"/>
      <c r="AK75" s="279"/>
      <c r="AL75" s="280"/>
      <c r="AM75" s="279"/>
      <c r="AN75" s="280"/>
      <c r="AO75" s="279"/>
      <c r="AP75" s="280"/>
      <c r="AQ75" s="279"/>
      <c r="AR75" s="280"/>
      <c r="AS75" s="279"/>
      <c r="AT75" s="280"/>
      <c r="AU75" s="279"/>
      <c r="AV75" s="280"/>
      <c r="AW75" s="279"/>
      <c r="AX75" s="280"/>
      <c r="AY75" s="279"/>
      <c r="AZ75" s="280"/>
      <c r="BA75" s="279"/>
      <c r="BB75" s="280"/>
      <c r="BC75" s="279"/>
      <c r="BD75" s="280">
        <v>999615.35</v>
      </c>
      <c r="BE75" s="245">
        <f>+BD75/$BD$77</f>
        <v>6.7480566211125881E-3</v>
      </c>
      <c r="BF75" s="280">
        <v>922721.87</v>
      </c>
      <c r="BG75" s="245">
        <f>+BF75/$BF$77</f>
        <v>6.0861775896837713E-3</v>
      </c>
      <c r="BH75" s="280">
        <v>845828.39</v>
      </c>
      <c r="BI75" s="245">
        <f>+BH75/$BH$77</f>
        <v>5.4252034284640099E-3</v>
      </c>
      <c r="BJ75" s="280">
        <v>749711.54</v>
      </c>
      <c r="BK75" s="245">
        <f>+BJ75/$BJ$77</f>
        <v>4.5223442253864458E-3</v>
      </c>
      <c r="BL75" s="280">
        <v>672818.06</v>
      </c>
      <c r="BM75" s="245">
        <f>+BL75/$BL$77</f>
        <v>3.5918480710287618E-3</v>
      </c>
      <c r="BN75" s="280">
        <v>1471153.85</v>
      </c>
      <c r="BO75" s="245">
        <f t="shared" si="142"/>
        <v>7.9498471441581398E-3</v>
      </c>
      <c r="BP75" s="280">
        <v>1610724.8599999999</v>
      </c>
      <c r="BQ75" s="245">
        <f t="shared" si="143"/>
        <v>8.4771429509930465E-3</v>
      </c>
      <c r="BR75" s="280">
        <v>1651114.59</v>
      </c>
      <c r="BS75" s="245">
        <f t="shared" si="144"/>
        <v>7.9747678457547985E-3</v>
      </c>
      <c r="BT75" s="280">
        <v>1644105.79</v>
      </c>
      <c r="BU75" s="245">
        <f t="shared" si="145"/>
        <v>7.1491768302896479E-3</v>
      </c>
      <c r="BV75" s="280">
        <v>1730452.8299999998</v>
      </c>
      <c r="BW75" s="245">
        <f t="shared" si="146"/>
        <v>7.328479331840893E-3</v>
      </c>
      <c r="BX75" s="280">
        <v>1608121.0899999999</v>
      </c>
      <c r="BY75" s="245">
        <f t="shared" si="147"/>
        <v>6.1526659785466993E-3</v>
      </c>
      <c r="BZ75" s="280">
        <v>1624268.76</v>
      </c>
      <c r="CA75" s="245">
        <f t="shared" si="148"/>
        <v>5.9668949831275016E-3</v>
      </c>
      <c r="CB75" s="280">
        <v>1747108.48</v>
      </c>
      <c r="CC75" s="245">
        <f t="shared" si="149"/>
        <v>6.2092660452604627E-3</v>
      </c>
      <c r="CD75" s="280">
        <v>1649541.6</v>
      </c>
      <c r="CE75" s="245">
        <f t="shared" si="150"/>
        <v>5.274710890802844E-3</v>
      </c>
      <c r="CF75" s="280">
        <v>1600653.8</v>
      </c>
      <c r="CG75" s="245">
        <f t="shared" si="151"/>
        <v>4.7093257622693079E-3</v>
      </c>
      <c r="CH75" s="280">
        <v>1846744.8</v>
      </c>
      <c r="CI75" s="245">
        <f t="shared" si="152"/>
        <v>5.0393553950817656E-3</v>
      </c>
      <c r="CJ75" s="279"/>
      <c r="CK75" s="282">
        <v>1719771.4500000002</v>
      </c>
      <c r="CL75" s="245">
        <f t="shared" si="153"/>
        <v>4.2638078705485513E-3</v>
      </c>
      <c r="CM75" s="279"/>
      <c r="CN75" s="282">
        <v>180513.85</v>
      </c>
      <c r="CO75" s="245">
        <f t="shared" si="154"/>
        <v>4.532118234925339E-4</v>
      </c>
      <c r="CP75" s="279"/>
      <c r="CQ75" s="280">
        <v>0</v>
      </c>
      <c r="CR75" s="245">
        <f t="shared" si="155"/>
        <v>0</v>
      </c>
      <c r="CS75" s="279"/>
      <c r="CT75" s="424">
        <v>1634819.83</v>
      </c>
      <c r="CU75" s="245">
        <f t="shared" si="156"/>
        <v>3.6896833622062646E-3</v>
      </c>
      <c r="CV75" s="198"/>
      <c r="CW75" s="424">
        <v>1682109.9100000001</v>
      </c>
      <c r="CX75" s="245">
        <f t="shared" si="157"/>
        <v>3.6556830020081058E-3</v>
      </c>
      <c r="CY75" s="438"/>
      <c r="CZ75" s="424">
        <v>1700179.7100000002</v>
      </c>
      <c r="DA75" s="245">
        <f t="shared" si="158"/>
        <v>3.5856674634116167E-3</v>
      </c>
      <c r="DB75" s="438"/>
      <c r="DC75" s="424">
        <v>1634704.2600000002</v>
      </c>
      <c r="DD75" s="245">
        <f t="shared" si="159"/>
        <v>3.2609928032178112E-3</v>
      </c>
      <c r="DE75" s="438"/>
      <c r="DF75" s="508">
        <v>1962259.0200000003</v>
      </c>
      <c r="DG75" s="245">
        <f t="shared" si="160"/>
        <v>3.6726997280838772E-3</v>
      </c>
      <c r="DH75" s="438"/>
      <c r="DI75" s="508">
        <v>0</v>
      </c>
      <c r="DJ75" s="245">
        <f t="shared" si="161"/>
        <v>0</v>
      </c>
      <c r="DK75" s="438"/>
      <c r="DL75" s="508">
        <v>1725722.2300000002</v>
      </c>
      <c r="DM75" s="245">
        <f t="shared" si="162"/>
        <v>2.9904371265197217E-3</v>
      </c>
      <c r="DN75" s="438"/>
      <c r="DO75" s="508">
        <v>6975796.3000000007</v>
      </c>
      <c r="DP75" s="575">
        <f t="shared" si="163"/>
        <v>1.1404755706054984E-2</v>
      </c>
      <c r="DQ75" s="440"/>
      <c r="DR75" s="508">
        <v>6677912.0300000003</v>
      </c>
      <c r="DS75" s="575">
        <f t="shared" si="164"/>
        <v>1.0727431391283548E-2</v>
      </c>
      <c r="DT75" s="440"/>
      <c r="DU75" s="508">
        <v>6163212.9500000002</v>
      </c>
      <c r="DV75" s="575">
        <f t="shared" si="183"/>
        <v>8.9633916348063735E-3</v>
      </c>
      <c r="DW75" s="440"/>
      <c r="DX75" s="508">
        <v>5548587.9400000004</v>
      </c>
      <c r="DY75" s="325">
        <f t="shared" si="184"/>
        <v>8.2678894808626956E-3</v>
      </c>
      <c r="DZ75" s="440"/>
      <c r="EA75" s="508">
        <v>5833962.9300000006</v>
      </c>
      <c r="EB75" s="325">
        <f t="shared" si="185"/>
        <v>8.3443506807263802E-3</v>
      </c>
      <c r="EC75" s="440"/>
      <c r="ED75" s="508">
        <v>4877237.6400000006</v>
      </c>
      <c r="EE75" s="325">
        <f t="shared" si="186"/>
        <v>6.5907322568507908E-3</v>
      </c>
      <c r="EF75" s="440"/>
      <c r="EG75" s="424">
        <v>4765570.9700000007</v>
      </c>
      <c r="EH75" s="245">
        <f t="shared" si="165"/>
        <v>5.9610695309535869E-3</v>
      </c>
      <c r="EI75" s="438"/>
      <c r="EJ75" s="424">
        <v>4574828.9400000004</v>
      </c>
      <c r="EK75" s="245">
        <f t="shared" si="166"/>
        <v>5.4486910124155845E-3</v>
      </c>
      <c r="EL75" s="438"/>
      <c r="EM75" s="424">
        <v>3985259.8600000003</v>
      </c>
      <c r="EN75" s="245">
        <f t="shared" si="167"/>
        <v>4.4740699589827983E-3</v>
      </c>
      <c r="EO75" s="438"/>
      <c r="EP75" s="508">
        <v>7118593.1900000004</v>
      </c>
      <c r="EQ75" s="245">
        <f t="shared" si="168"/>
        <v>7.5214519543436182E-3</v>
      </c>
      <c r="ER75" s="438"/>
      <c r="ES75" s="508">
        <v>8247599.3100000005</v>
      </c>
      <c r="ET75" s="245">
        <f t="shared" si="169"/>
        <v>8.2870288583121662E-3</v>
      </c>
      <c r="EU75" s="438"/>
      <c r="EV75" s="508">
        <v>7154383.2100000009</v>
      </c>
      <c r="EW75" s="245">
        <f t="shared" si="170"/>
        <v>6.6238895386812888E-3</v>
      </c>
      <c r="EX75" s="438"/>
      <c r="EY75" s="508">
        <v>6186167.1100000013</v>
      </c>
      <c r="EZ75" s="575">
        <f t="shared" si="171"/>
        <v>5.4480361156703482E-3</v>
      </c>
      <c r="FA75" s="440"/>
      <c r="FB75" s="508">
        <v>11241848.190000001</v>
      </c>
      <c r="FC75" s="575">
        <f t="shared" si="187"/>
        <v>9.3436776074955485E-3</v>
      </c>
      <c r="FD75" s="440"/>
      <c r="FE75" s="872">
        <v>15864650.26</v>
      </c>
      <c r="FF75" s="575">
        <f t="shared" si="188"/>
        <v>1.2002739304897548E-2</v>
      </c>
      <c r="FG75" s="440"/>
      <c r="FH75" s="508">
        <v>18411803.84</v>
      </c>
      <c r="FI75" s="325">
        <f t="shared" si="189"/>
        <v>1.3471204389978375E-2</v>
      </c>
      <c r="FJ75" s="440"/>
      <c r="FK75" s="508">
        <v>17281287.740000002</v>
      </c>
      <c r="FL75" s="325">
        <f t="shared" si="190"/>
        <v>1.1779391722572105E-2</v>
      </c>
      <c r="FM75" s="440"/>
      <c r="FN75" s="508">
        <v>17352429.140000001</v>
      </c>
      <c r="FO75" s="325">
        <f t="shared" si="191"/>
        <v>1.0867622883837014E-2</v>
      </c>
      <c r="FP75" s="440"/>
      <c r="FQ75" s="508">
        <v>16218809.640000001</v>
      </c>
      <c r="FR75" s="325">
        <f t="shared" si="192"/>
        <v>9.7369411610595692E-3</v>
      </c>
      <c r="FS75" s="440"/>
      <c r="FT75" s="508">
        <v>15590885.109999999</v>
      </c>
      <c r="FU75" s="325">
        <f t="shared" si="193"/>
        <v>9.114171846460576E-3</v>
      </c>
      <c r="FV75" s="440"/>
      <c r="FW75" s="508">
        <v>16576363.103598507</v>
      </c>
      <c r="FX75" s="325">
        <f t="shared" si="194"/>
        <v>9.4255565037600717E-3</v>
      </c>
      <c r="FY75" s="440"/>
      <c r="FZ75" s="508">
        <v>16576363.103598507</v>
      </c>
      <c r="GA75" s="325">
        <f t="shared" si="195"/>
        <v>9.4255565037600717E-3</v>
      </c>
      <c r="GB75" s="440"/>
      <c r="GC75" s="508">
        <v>16576363.103598507</v>
      </c>
      <c r="GD75" s="325">
        <f t="shared" si="196"/>
        <v>9.4255565037600717E-3</v>
      </c>
      <c r="GE75" s="508">
        <v>16576363.103598507</v>
      </c>
      <c r="GF75" s="325">
        <f t="shared" si="197"/>
        <v>9.4255565037600717E-3</v>
      </c>
      <c r="GG75" s="973">
        <v>16576363.103598507</v>
      </c>
      <c r="GH75" s="325">
        <f t="shared" si="198"/>
        <v>9.4255565037600717E-3</v>
      </c>
      <c r="GI75" s="973">
        <v>16576363.103598507</v>
      </c>
      <c r="GJ75" s="325">
        <f t="shared" si="199"/>
        <v>9.4255565037600717E-3</v>
      </c>
      <c r="GK75" s="973">
        <v>16576363.103598507</v>
      </c>
      <c r="GL75" s="325">
        <f t="shared" si="200"/>
        <v>9.4255565037600717E-3</v>
      </c>
      <c r="GM75" s="973">
        <v>16576363.103598507</v>
      </c>
      <c r="GN75" s="325">
        <f t="shared" si="201"/>
        <v>9.4255565037600717E-3</v>
      </c>
      <c r="GO75" s="973">
        <v>16576363.103598507</v>
      </c>
      <c r="GP75" s="325">
        <f t="shared" si="202"/>
        <v>9.4255565037600717E-3</v>
      </c>
      <c r="GQ75" s="973">
        <v>16576363.103598507</v>
      </c>
      <c r="GR75" s="325">
        <f t="shared" si="172"/>
        <v>9.4255565037600717E-3</v>
      </c>
      <c r="GS75" s="440"/>
      <c r="GT75" s="973">
        <v>16576363.103598507</v>
      </c>
      <c r="GU75" s="325">
        <f t="shared" si="173"/>
        <v>9.4255565037600717E-3</v>
      </c>
      <c r="GV75" s="440"/>
      <c r="GW75" s="1051">
        <v>16576363.103598507</v>
      </c>
      <c r="GX75" s="325">
        <f t="shared" si="174"/>
        <v>9.4255565037600717E-3</v>
      </c>
      <c r="GY75" s="440"/>
      <c r="GZ75" s="1051">
        <v>16576363.103598507</v>
      </c>
      <c r="HA75" s="325">
        <f t="shared" si="175"/>
        <v>9.4255565037600717E-3</v>
      </c>
      <c r="HB75" s="440"/>
      <c r="HC75" s="973">
        <v>16576363.103598507</v>
      </c>
      <c r="HD75" s="325">
        <f t="shared" si="176"/>
        <v>9.4255565037600717E-3</v>
      </c>
      <c r="HE75" s="440"/>
      <c r="HF75" s="508">
        <v>16576363.103598507</v>
      </c>
      <c r="HG75" s="325">
        <f t="shared" si="177"/>
        <v>9.4255565037600717E-3</v>
      </c>
      <c r="HH75" s="440"/>
      <c r="HI75" s="508">
        <v>16576363.103598507</v>
      </c>
      <c r="HJ75" s="325">
        <f t="shared" si="178"/>
        <v>9.4255565037600717E-3</v>
      </c>
      <c r="HK75" s="440"/>
      <c r="HL75" s="508">
        <v>16576363.103598507</v>
      </c>
      <c r="HM75" s="325">
        <f t="shared" si="179"/>
        <v>9.4255565037600717E-3</v>
      </c>
      <c r="HN75" s="440"/>
      <c r="HO75" s="508">
        <v>16576363.103598507</v>
      </c>
      <c r="HP75" s="325">
        <f t="shared" si="180"/>
        <v>9.4255565037600717E-3</v>
      </c>
      <c r="HQ75" s="440"/>
      <c r="HR75" s="508">
        <v>16576363.103598507</v>
      </c>
      <c r="HS75" s="325">
        <f t="shared" si="181"/>
        <v>9.4255565037600717E-3</v>
      </c>
      <c r="HT75" s="440"/>
      <c r="HU75" s="508">
        <v>16576363.103598507</v>
      </c>
      <c r="HV75" s="325">
        <f t="shared" si="182"/>
        <v>9.4255565037600717E-3</v>
      </c>
      <c r="HW75" s="440"/>
      <c r="HX75" s="440"/>
      <c r="HY75" s="440"/>
      <c r="HZ75" s="440"/>
      <c r="IA75" s="508">
        <v>4877237.6400000006</v>
      </c>
      <c r="IB75" s="325">
        <f t="shared" si="203"/>
        <v>6.5907322568507908E-3</v>
      </c>
    </row>
    <row r="76" spans="1:236" ht="14.4" hidden="1" customHeight="1">
      <c r="A76" t="e">
        <f>VLOOKUP(B76,#REF!,4,FALSE)</f>
        <v>#REF!</v>
      </c>
      <c r="B76" s="567" t="s">
        <v>593</v>
      </c>
      <c r="D76" s="278"/>
      <c r="E76" s="438"/>
      <c r="F76" s="565"/>
      <c r="G76" s="438"/>
      <c r="H76" s="565"/>
      <c r="I76" s="281"/>
      <c r="J76" s="565"/>
      <c r="K76" s="281"/>
      <c r="L76" s="565"/>
      <c r="M76" s="438"/>
      <c r="N76" s="565"/>
      <c r="O76" s="438"/>
      <c r="P76" s="565"/>
      <c r="Q76" s="438"/>
      <c r="R76" s="565"/>
      <c r="S76" s="438"/>
      <c r="T76" s="565"/>
      <c r="U76" s="438"/>
      <c r="V76" s="565"/>
      <c r="W76" s="438"/>
      <c r="X76" s="565"/>
      <c r="Y76" s="438"/>
      <c r="Z76" s="565"/>
      <c r="AA76" s="438"/>
      <c r="AB76" s="565"/>
      <c r="AC76" s="438"/>
      <c r="AD76" s="565"/>
      <c r="AE76" s="438"/>
      <c r="AF76" s="565"/>
      <c r="AG76" s="438"/>
      <c r="AH76" s="565"/>
      <c r="AI76" s="438"/>
      <c r="AJ76" s="565"/>
      <c r="AK76" s="438"/>
      <c r="AL76" s="565"/>
      <c r="AM76" s="438"/>
      <c r="AN76" s="565"/>
      <c r="AO76" s="438"/>
      <c r="AP76" s="565"/>
      <c r="AQ76" s="438"/>
      <c r="AR76" s="565"/>
      <c r="AS76" s="438"/>
      <c r="AT76" s="565"/>
      <c r="AU76" s="438"/>
      <c r="AV76" s="565"/>
      <c r="AW76" s="438"/>
      <c r="AX76" s="565"/>
      <c r="AY76" s="438"/>
      <c r="AZ76" s="565"/>
      <c r="BA76" s="438"/>
      <c r="BB76" s="565"/>
      <c r="BC76" s="438"/>
      <c r="BD76" s="565"/>
      <c r="BE76" s="438"/>
      <c r="BF76" s="565"/>
      <c r="BG76" s="438"/>
      <c r="BH76" s="565"/>
      <c r="BI76" s="438"/>
      <c r="BJ76" s="565"/>
      <c r="BK76" s="438"/>
      <c r="BL76" s="565"/>
      <c r="BM76" s="438"/>
      <c r="BN76" s="565"/>
      <c r="BO76" s="438"/>
      <c r="BP76" s="565"/>
      <c r="BQ76" s="438"/>
      <c r="BR76" s="565"/>
      <c r="BS76" s="438"/>
      <c r="BT76" s="565"/>
      <c r="BU76" s="438"/>
      <c r="BV76" s="565"/>
      <c r="BW76" s="438"/>
      <c r="BX76" s="565"/>
      <c r="BY76" s="438"/>
      <c r="BZ76" s="565"/>
      <c r="CA76" s="438"/>
      <c r="CB76" s="565"/>
      <c r="CC76" s="438"/>
      <c r="CD76" s="565"/>
      <c r="CE76" s="438"/>
      <c r="CF76" s="565"/>
      <c r="CG76" s="438"/>
      <c r="CH76" s="565"/>
      <c r="CI76" s="438"/>
      <c r="CJ76" s="438"/>
      <c r="CK76" s="282"/>
      <c r="CL76" s="438"/>
      <c r="CM76" s="438"/>
      <c r="CN76" s="282"/>
      <c r="CO76" s="438"/>
      <c r="CP76" s="438"/>
      <c r="CQ76" s="565"/>
      <c r="CR76" s="438"/>
      <c r="CS76" s="438"/>
      <c r="CT76" s="566"/>
      <c r="CU76" s="438"/>
      <c r="CV76" s="198"/>
      <c r="CW76" s="566"/>
      <c r="CX76" s="438"/>
      <c r="CY76" s="438"/>
      <c r="CZ76" s="566"/>
      <c r="DA76" s="438"/>
      <c r="DB76" s="438"/>
      <c r="DC76" s="566"/>
      <c r="DD76" s="438"/>
      <c r="DE76" s="438"/>
      <c r="DF76" s="508"/>
      <c r="DG76" s="438"/>
      <c r="DH76" s="438"/>
      <c r="DI76" s="508">
        <v>3210000</v>
      </c>
      <c r="DJ76" s="245">
        <f t="shared" si="161"/>
        <v>5.7902009425723384E-3</v>
      </c>
      <c r="DK76" s="438"/>
      <c r="DL76" s="508">
        <v>3187435.91</v>
      </c>
      <c r="DM76" s="245">
        <f t="shared" si="162"/>
        <v>5.5233840753538726E-3</v>
      </c>
      <c r="DN76" s="438"/>
      <c r="DO76" s="508">
        <v>2203333.34</v>
      </c>
      <c r="DP76" s="575">
        <f t="shared" si="163"/>
        <v>3.60223799564018E-3</v>
      </c>
      <c r="DQ76" s="440"/>
      <c r="DR76" s="508">
        <v>2130769.2400000002</v>
      </c>
      <c r="DS76" s="575">
        <f t="shared" si="164"/>
        <v>3.4228783982285238E-3</v>
      </c>
      <c r="DT76" s="440"/>
      <c r="DU76" s="508">
        <v>2141863.92</v>
      </c>
      <c r="DV76" s="575">
        <f t="shared" si="183"/>
        <v>3.1149929913457859E-3</v>
      </c>
      <c r="DW76" s="440"/>
      <c r="DX76" s="508">
        <v>2157692.31</v>
      </c>
      <c r="DY76" s="325">
        <f t="shared" si="184"/>
        <v>3.2151534310524647E-3</v>
      </c>
      <c r="DZ76" s="440"/>
      <c r="EA76" s="508">
        <v>2200000.0000000005</v>
      </c>
      <c r="EB76" s="325">
        <f t="shared" si="185"/>
        <v>3.1466726336565934E-3</v>
      </c>
      <c r="EC76" s="440"/>
      <c r="ED76" s="508">
        <v>3149777.75</v>
      </c>
      <c r="EE76" s="325">
        <f t="shared" si="186"/>
        <v>4.2563728387111973E-3</v>
      </c>
      <c r="EF76" s="440"/>
      <c r="EG76" s="566">
        <v>3470629.6000000006</v>
      </c>
      <c r="EH76" s="245">
        <f t="shared" si="165"/>
        <v>4.3412771506339846E-3</v>
      </c>
      <c r="EI76" s="438"/>
      <c r="EJ76" s="566">
        <v>3922981.67</v>
      </c>
      <c r="EK76" s="438">
        <f t="shared" si="166"/>
        <v>4.6723309762047799E-3</v>
      </c>
      <c r="EL76" s="438"/>
      <c r="EM76" s="566">
        <v>3785396.4499999997</v>
      </c>
      <c r="EN76" s="245">
        <f t="shared" si="167"/>
        <v>4.24969240018018E-3</v>
      </c>
      <c r="EO76" s="438"/>
      <c r="EP76" s="508">
        <v>3612547.080000001</v>
      </c>
      <c r="EQ76" s="245">
        <f>+EP76/EP$77</f>
        <v>3.816990038592771E-3</v>
      </c>
      <c r="ER76" s="438"/>
      <c r="ES76" s="508">
        <v>3906509.74</v>
      </c>
      <c r="ET76" s="245">
        <f t="shared" si="169"/>
        <v>3.9251857096653199E-3</v>
      </c>
      <c r="EU76" s="438"/>
      <c r="EV76" s="508">
        <v>3906562.1799999997</v>
      </c>
      <c r="EW76" s="245">
        <f t="shared" si="170"/>
        <v>3.6168926931592145E-3</v>
      </c>
      <c r="EX76" s="438"/>
      <c r="EY76" s="508">
        <v>3935011.3000000003</v>
      </c>
      <c r="EZ76" s="575">
        <f t="shared" si="171"/>
        <v>3.4654873198165068E-3</v>
      </c>
      <c r="FA76" s="440"/>
      <c r="FB76" s="508">
        <v>3962225.9400000004</v>
      </c>
      <c r="FC76" s="575">
        <f t="shared" si="187"/>
        <v>3.293209547550028E-3</v>
      </c>
      <c r="FD76" s="440"/>
      <c r="FE76" s="508">
        <v>3927301.02</v>
      </c>
      <c r="FF76" s="575">
        <f t="shared" si="188"/>
        <v>2.971283296031402E-3</v>
      </c>
      <c r="FG76" s="440"/>
      <c r="FH76" s="508">
        <v>3779435.34</v>
      </c>
      <c r="FI76" s="325">
        <f t="shared" si="189"/>
        <v>2.7652665858429767E-3</v>
      </c>
      <c r="FJ76" s="440"/>
      <c r="FK76" s="508">
        <v>3814194.94</v>
      </c>
      <c r="FL76" s="325">
        <f t="shared" si="190"/>
        <v>2.5998581228711373E-3</v>
      </c>
      <c r="FM76" s="440"/>
      <c r="FN76" s="508">
        <v>3683595.6599999992</v>
      </c>
      <c r="FO76" s="325">
        <f t="shared" si="191"/>
        <v>2.306992765476217E-3</v>
      </c>
      <c r="FP76" s="440"/>
      <c r="FQ76" s="508">
        <v>3807058.0099999993</v>
      </c>
      <c r="FR76" s="325">
        <f t="shared" si="192"/>
        <v>2.2855622985233168E-3</v>
      </c>
      <c r="FS76" s="440"/>
      <c r="FT76" s="508">
        <v>3720625.2699999991</v>
      </c>
      <c r="FU76" s="325">
        <f t="shared" si="193"/>
        <v>2.1750155842860785E-3</v>
      </c>
      <c r="FV76" s="440"/>
      <c r="FW76" s="508">
        <v>3922323.2393669677</v>
      </c>
      <c r="FX76" s="325">
        <f t="shared" si="194"/>
        <v>2.2302889414046972E-3</v>
      </c>
      <c r="FY76" s="440"/>
      <c r="FZ76" s="508">
        <v>3922323.2393669677</v>
      </c>
      <c r="GA76" s="325">
        <f t="shared" si="195"/>
        <v>2.2302889414046972E-3</v>
      </c>
      <c r="GB76" s="440"/>
      <c r="GC76" s="508">
        <v>3922323.2393669677</v>
      </c>
      <c r="GD76" s="325">
        <f t="shared" si="196"/>
        <v>2.2302889414046972E-3</v>
      </c>
      <c r="GE76" s="508">
        <v>3922323.2393669677</v>
      </c>
      <c r="GF76" s="325">
        <f t="shared" si="197"/>
        <v>2.2302889414046972E-3</v>
      </c>
      <c r="GG76" s="508">
        <v>3922323.2393669677</v>
      </c>
      <c r="GH76" s="325">
        <f t="shared" si="198"/>
        <v>2.2302889414046972E-3</v>
      </c>
      <c r="GI76" s="508">
        <v>3922323.2393669677</v>
      </c>
      <c r="GJ76" s="325">
        <f t="shared" si="199"/>
        <v>2.2302889414046972E-3</v>
      </c>
      <c r="GK76" s="508">
        <v>3922323.2393669677</v>
      </c>
      <c r="GL76" s="325">
        <f t="shared" si="200"/>
        <v>2.2302889414046972E-3</v>
      </c>
      <c r="GM76" s="508">
        <v>3922323.2393669677</v>
      </c>
      <c r="GN76" s="325">
        <f t="shared" si="201"/>
        <v>2.2302889414046972E-3</v>
      </c>
      <c r="GO76" s="508">
        <v>3922323.2393669677</v>
      </c>
      <c r="GP76" s="325">
        <f t="shared" si="202"/>
        <v>2.2302889414046972E-3</v>
      </c>
      <c r="GQ76" s="508">
        <v>3922323.2393669677</v>
      </c>
      <c r="GR76" s="325">
        <f t="shared" si="172"/>
        <v>2.2302889414046972E-3</v>
      </c>
      <c r="GS76" s="440"/>
      <c r="GT76" s="508">
        <v>3922323.2393669677</v>
      </c>
      <c r="GU76" s="325">
        <f t="shared" si="173"/>
        <v>2.2302889414046972E-3</v>
      </c>
      <c r="GV76" s="440"/>
      <c r="GW76" s="1051">
        <v>3922323.2393669677</v>
      </c>
      <c r="GX76" s="325">
        <f t="shared" si="174"/>
        <v>2.2302889414046972E-3</v>
      </c>
      <c r="GY76" s="440"/>
      <c r="GZ76" s="1051">
        <v>3922323.2393669677</v>
      </c>
      <c r="HA76" s="325">
        <f t="shared" si="175"/>
        <v>2.2302889414046972E-3</v>
      </c>
      <c r="HB76" s="440"/>
      <c r="HC76" s="973">
        <v>3922323.2393669677</v>
      </c>
      <c r="HD76" s="325">
        <f t="shared" si="176"/>
        <v>2.2302889414046972E-3</v>
      </c>
      <c r="HE76" s="440"/>
      <c r="HF76" s="508">
        <v>3922323.2393669677</v>
      </c>
      <c r="HG76" s="325">
        <f t="shared" si="177"/>
        <v>2.2302889414046972E-3</v>
      </c>
      <c r="HH76" s="440"/>
      <c r="HI76" s="508">
        <v>3922323.2393669677</v>
      </c>
      <c r="HJ76" s="325">
        <f t="shared" si="178"/>
        <v>2.2302889414046972E-3</v>
      </c>
      <c r="HK76" s="440"/>
      <c r="HL76" s="508">
        <v>3922323.2393669677</v>
      </c>
      <c r="HM76" s="325">
        <f t="shared" si="179"/>
        <v>2.2302889414046972E-3</v>
      </c>
      <c r="HN76" s="440"/>
      <c r="HO76" s="508">
        <v>3922323.2393669677</v>
      </c>
      <c r="HP76" s="325">
        <f t="shared" si="180"/>
        <v>2.2302889414046972E-3</v>
      </c>
      <c r="HQ76" s="440"/>
      <c r="HR76" s="508">
        <v>3922323.2393669677</v>
      </c>
      <c r="HS76" s="325">
        <f t="shared" si="181"/>
        <v>2.2302889414046972E-3</v>
      </c>
      <c r="HT76" s="440"/>
      <c r="HU76" s="508">
        <v>3922323.2393669677</v>
      </c>
      <c r="HV76" s="325">
        <f t="shared" si="182"/>
        <v>2.2302889414046972E-3</v>
      </c>
      <c r="HW76" s="440"/>
      <c r="HX76" s="440"/>
      <c r="HY76" s="440"/>
      <c r="HZ76" s="440"/>
      <c r="IA76" s="508">
        <v>3149777.75</v>
      </c>
      <c r="IB76" s="325">
        <f t="shared" si="203"/>
        <v>4.2563728387111973E-3</v>
      </c>
    </row>
    <row r="77" spans="1:236" ht="15" hidden="1" customHeight="1" thickBot="1">
      <c r="A77" s="212"/>
      <c r="B77" s="212" t="s">
        <v>399</v>
      </c>
      <c r="C77" s="212"/>
      <c r="D77" s="264">
        <v>25939212.759999998</v>
      </c>
      <c r="E77" s="212"/>
      <c r="F77" s="264">
        <v>26289125.559999999</v>
      </c>
      <c r="G77" s="212"/>
      <c r="H77" s="264">
        <v>30252650.75</v>
      </c>
      <c r="I77" s="284"/>
      <c r="J77" s="264">
        <v>34224536.500000007</v>
      </c>
      <c r="K77" s="284"/>
      <c r="L77" s="264">
        <v>37006353.644999996</v>
      </c>
      <c r="M77" s="285"/>
      <c r="N77" s="264">
        <f>SUM(N65:N74)</f>
        <v>43518780.57500001</v>
      </c>
      <c r="O77" s="285"/>
      <c r="P77" s="264">
        <f>SUM(P65:P74)</f>
        <v>49752452.380000003</v>
      </c>
      <c r="Q77" s="285"/>
      <c r="R77" s="264">
        <f>SUM(R65:R74)</f>
        <v>51117935.969999999</v>
      </c>
      <c r="S77" s="285"/>
      <c r="T77" s="264">
        <f>SUM(T65:T74)</f>
        <v>56877976.93</v>
      </c>
      <c r="U77" s="285"/>
      <c r="V77" s="264">
        <f>SUM(V65:V74)</f>
        <v>63987830.094999999</v>
      </c>
      <c r="W77" s="285"/>
      <c r="X77" s="264">
        <f>SUM(X65:X74)</f>
        <v>63754655.350000001</v>
      </c>
      <c r="Y77" s="285"/>
      <c r="Z77" s="264">
        <f>SUM(Z65:Z74)</f>
        <v>66438066.224999994</v>
      </c>
      <c r="AA77" s="285"/>
      <c r="AB77" s="264">
        <f>SUM(AB65:AB74)</f>
        <v>74746815.159999996</v>
      </c>
      <c r="AC77" s="285"/>
      <c r="AD77" s="264">
        <f>SUM(AD65:AD74)</f>
        <v>78398694.450000003</v>
      </c>
      <c r="AE77" s="285"/>
      <c r="AF77" s="264">
        <f>SUM(AF65:AF74)</f>
        <v>86591292.289999992</v>
      </c>
      <c r="AG77" s="285"/>
      <c r="AH77" s="264">
        <f>SUM(AH65:AH74)</f>
        <v>94839587.50500001</v>
      </c>
      <c r="AI77" s="285"/>
      <c r="AJ77" s="264">
        <f>SUM(AJ65:AJ74)</f>
        <v>106502597.01499997</v>
      </c>
      <c r="AK77" s="285"/>
      <c r="AL77" s="264">
        <f>SUM(AL65:AL74)</f>
        <v>118062243.31499998</v>
      </c>
      <c r="AM77" s="285"/>
      <c r="AN77" s="264">
        <f>SUM(AN65:AN74)</f>
        <v>142514685.11499998</v>
      </c>
      <c r="AO77" s="285"/>
      <c r="AP77" s="264">
        <f>SUM(AP65:AP74)</f>
        <v>149743285.26999998</v>
      </c>
      <c r="AQ77" s="285"/>
      <c r="AR77" s="264">
        <f>SUM(AR65:AR74)</f>
        <v>156918966.33999997</v>
      </c>
      <c r="AS77" s="285"/>
      <c r="AT77" s="264">
        <f>SUM(AT65:AT74)</f>
        <v>177481575.43000001</v>
      </c>
      <c r="AU77" s="285"/>
      <c r="AV77" s="264">
        <f>SUM(AV65:AV74)</f>
        <v>170694058.16000003</v>
      </c>
      <c r="AW77" s="285"/>
      <c r="AX77" s="264">
        <f>SUM(AX65:AX74)</f>
        <v>157007510.38000008</v>
      </c>
      <c r="AY77" s="285"/>
      <c r="AZ77" s="264">
        <f>SUM(AZ65:AZ74)</f>
        <v>155230368.18000001</v>
      </c>
      <c r="BA77" s="285"/>
      <c r="BB77" s="264">
        <f>SUM(BB65:BB74)</f>
        <v>154491542.22000003</v>
      </c>
      <c r="BC77" s="285"/>
      <c r="BD77" s="264">
        <f>SUM(BD65:BD75)</f>
        <v>148133811.87</v>
      </c>
      <c r="BE77" s="285"/>
      <c r="BF77" s="264">
        <f>SUM(BF65:BF75)</f>
        <v>151609422.565</v>
      </c>
      <c r="BG77" s="285"/>
      <c r="BH77" s="264">
        <f>SUM(BH65:BH75)</f>
        <v>155907221.01999998</v>
      </c>
      <c r="BI77" s="285"/>
      <c r="BJ77" s="264">
        <f>SUM(BJ65:BJ75)</f>
        <v>165779406.13000003</v>
      </c>
      <c r="BK77" s="285"/>
      <c r="BL77" s="264">
        <f>SUM(BL65:BL75)</f>
        <v>187318073.23000005</v>
      </c>
      <c r="BM77" s="285"/>
      <c r="BN77" s="264">
        <f>SUM(BN65:BN75)</f>
        <v>185054356.81000003</v>
      </c>
      <c r="BO77" s="285"/>
      <c r="BP77" s="264">
        <f>SUM(BP65:BP75)</f>
        <v>190007986.09999999</v>
      </c>
      <c r="BQ77" s="285"/>
      <c r="BR77" s="264">
        <f>SUM(BR65:BR75)</f>
        <v>207042339.28000003</v>
      </c>
      <c r="BS77" s="285"/>
      <c r="BT77" s="264">
        <f>SUM(BT65:BT75)</f>
        <v>229971342.01999998</v>
      </c>
      <c r="BU77" s="285"/>
      <c r="BV77" s="264">
        <f>SUM(BV65:BV75)</f>
        <v>236127135.19999996</v>
      </c>
      <c r="BW77" s="285"/>
      <c r="BX77" s="264">
        <f>SUM(BX65:BX75)</f>
        <v>261369802.22999996</v>
      </c>
      <c r="BY77" s="285"/>
      <c r="BZ77" s="264">
        <f>SUM(BZ65:BZ75)</f>
        <v>272213398.19</v>
      </c>
      <c r="CA77" s="285"/>
      <c r="CB77" s="264">
        <f>SUM(CB65:CB75)</f>
        <v>281371174.51000011</v>
      </c>
      <c r="CC77" s="285"/>
      <c r="CD77" s="264">
        <f>SUM(CD65:CD75)</f>
        <v>312726447.79000002</v>
      </c>
      <c r="CE77" s="285"/>
      <c r="CF77" s="264">
        <f>SUM(CF65:CF75)</f>
        <v>339890226.49999994</v>
      </c>
      <c r="CG77" s="285"/>
      <c r="CH77" s="264">
        <f>SUM(CH65:CH75)</f>
        <v>366464489.05000001</v>
      </c>
      <c r="CI77" s="285"/>
      <c r="CJ77" s="285"/>
      <c r="CK77" s="264">
        <f>SUM(CK65:CK75)</f>
        <v>403341684.75999987</v>
      </c>
      <c r="CL77" s="285"/>
      <c r="CM77" s="285"/>
      <c r="CN77" s="264">
        <f>SUM(CN65:CN75)</f>
        <v>398299074.83200014</v>
      </c>
      <c r="CO77" s="285"/>
      <c r="CP77" s="285"/>
      <c r="CQ77" s="264">
        <f>SUM(CQ65:CQ75)</f>
        <v>405533652.0000006</v>
      </c>
      <c r="CR77" s="285"/>
      <c r="CS77" s="285"/>
      <c r="CT77" s="264">
        <f>SUM(CT65:CT75)</f>
        <v>443078624.78000045</v>
      </c>
      <c r="CU77" s="285"/>
      <c r="CV77" s="200"/>
      <c r="CW77" s="264">
        <f>SUM(CW65:CW75)</f>
        <v>460135605.05000001</v>
      </c>
      <c r="CX77" s="285"/>
      <c r="CY77" s="443"/>
      <c r="CZ77" s="264">
        <f>SUM(CZ65:CZ75)</f>
        <v>474159895.57000035</v>
      </c>
      <c r="DA77" s="285"/>
      <c r="DB77" s="443"/>
      <c r="DC77" s="264">
        <f>SUM(DC65:DC75)</f>
        <v>501290361.14000082</v>
      </c>
      <c r="DD77" s="285"/>
      <c r="DE77" s="443"/>
      <c r="DF77" s="507">
        <f>SUM(DF65:DF75)</f>
        <v>534282453.04000145</v>
      </c>
      <c r="DG77" s="285"/>
      <c r="DH77" s="443"/>
      <c r="DI77" s="507">
        <f>SUM(DI65:DI76)</f>
        <v>554384905.09000099</v>
      </c>
      <c r="DJ77" s="285"/>
      <c r="DK77" s="443"/>
      <c r="DL77" s="507">
        <f>SUM(DL65:DL76)</f>
        <v>577080258.50000072</v>
      </c>
      <c r="DM77" s="285"/>
      <c r="DN77" s="443"/>
      <c r="DO77" s="507">
        <f>SUM(DO65:DO76)</f>
        <v>611656792.99000049</v>
      </c>
      <c r="DP77" s="548"/>
      <c r="DQ77" s="563"/>
      <c r="DR77" s="507">
        <f>SUM(DR65:DR76)</f>
        <v>622508015.79827034</v>
      </c>
      <c r="DS77" s="548"/>
      <c r="DT77" s="563"/>
      <c r="DU77" s="507">
        <f>SUM(DU65:DU76)</f>
        <v>687598311.12000024</v>
      </c>
      <c r="DV77" s="548"/>
      <c r="DW77" s="563"/>
      <c r="DX77" s="328">
        <f>SUM(DX65:DX76)</f>
        <v>671100884.0699991</v>
      </c>
      <c r="DY77" s="563"/>
      <c r="DZ77" s="563"/>
      <c r="EA77" s="328">
        <f>SUM(EA65:EA76)</f>
        <v>699151216.58000016</v>
      </c>
      <c r="EB77" s="563"/>
      <c r="EC77" s="563"/>
      <c r="ED77" s="328">
        <f>SUM(ED65:ED76)</f>
        <v>740014530.99999869</v>
      </c>
      <c r="EE77" s="563"/>
      <c r="EF77" s="563"/>
      <c r="EG77" s="264">
        <f>SUM(EG65:EG76)</f>
        <v>799448982.31000113</v>
      </c>
      <c r="EH77" s="285"/>
      <c r="EI77" s="443"/>
      <c r="EJ77" s="264">
        <f>SUM(EJ65:EJ76)</f>
        <v>839619815.03000069</v>
      </c>
      <c r="EK77" s="285"/>
      <c r="EL77" s="443"/>
      <c r="EM77" s="264">
        <f>SUM(EM65:EM76)</f>
        <v>890745986.66000044</v>
      </c>
      <c r="EN77" s="285"/>
      <c r="EO77" s="443"/>
      <c r="EP77" s="264">
        <f>SUM(EP65:EP76)</f>
        <v>946438697.3699981</v>
      </c>
      <c r="EQ77" s="285"/>
      <c r="ER77" s="443"/>
      <c r="ES77" s="507">
        <f>SUM(ES65:ES76)</f>
        <v>995242016.28999805</v>
      </c>
      <c r="ET77" s="285"/>
      <c r="EU77" s="443"/>
      <c r="EV77" s="507">
        <f>SUM(EV65:EV76)</f>
        <v>1080087940.509999</v>
      </c>
      <c r="EW77" s="285"/>
      <c r="EX77" s="443"/>
      <c r="EY77" s="507">
        <f>SUM(EY65:EY76)</f>
        <v>1135485701.3900008</v>
      </c>
      <c r="EZ77" s="548"/>
      <c r="FA77" s="563"/>
      <c r="FB77" s="507">
        <f>SUM(FB65:FB76)</f>
        <v>1203150265.049998</v>
      </c>
      <c r="FC77" s="548"/>
      <c r="FD77" s="563"/>
      <c r="FE77" s="507">
        <f>SUM(FE65:FE76)</f>
        <v>1321752464.7499969</v>
      </c>
      <c r="FF77" s="548"/>
      <c r="FG77" s="563"/>
      <c r="FH77" s="328">
        <f>SUM(FH65:FH76)</f>
        <v>1366752615.949995</v>
      </c>
      <c r="FI77" s="563"/>
      <c r="FJ77" s="563"/>
      <c r="FK77" s="328">
        <f>SUM(FK65:FK76)</f>
        <v>1467078109.55</v>
      </c>
      <c r="FL77" s="893"/>
      <c r="FM77" s="563"/>
      <c r="FN77" s="328">
        <f>SUM(FN65:FN76)</f>
        <v>1596708804.259999</v>
      </c>
      <c r="FO77" s="563"/>
      <c r="FP77" s="563"/>
      <c r="FQ77" s="328">
        <f>SUM(FQ65:FQ76)</f>
        <v>1665698638.9999995</v>
      </c>
      <c r="FR77" s="563"/>
      <c r="FS77" s="563"/>
      <c r="FT77" s="328">
        <f>SUM(FT65:FT76)</f>
        <v>1710620051.1300004</v>
      </c>
      <c r="FU77" s="893"/>
      <c r="FV77" s="893"/>
      <c r="FW77" s="328">
        <f>SUM(FW65:FW76)</f>
        <v>1758661474.9999974</v>
      </c>
      <c r="FX77" s="893"/>
      <c r="FY77" s="893"/>
      <c r="FZ77" s="328">
        <f>SUM(FZ65:FZ76)</f>
        <v>1758661474.9999974</v>
      </c>
      <c r="GA77" s="893"/>
      <c r="GB77" s="893"/>
      <c r="GC77" s="328">
        <f>SUM(GC65:GC76)</f>
        <v>1758661474.9999974</v>
      </c>
      <c r="GD77" s="893"/>
      <c r="GE77" s="328">
        <v>1758661474.9999974</v>
      </c>
      <c r="GF77" s="893"/>
      <c r="GG77" s="328">
        <f>SUM(GG65:GG76)</f>
        <v>1758661474.9999974</v>
      </c>
      <c r="GH77" s="893"/>
      <c r="GI77" s="328">
        <f>SUM(GI65:GI76)</f>
        <v>1758661474.9999974</v>
      </c>
      <c r="GJ77" s="893"/>
      <c r="GK77" s="328">
        <f>SUM(GK65:GK76)</f>
        <v>1758661474.9999974</v>
      </c>
      <c r="GL77" s="893"/>
      <c r="GM77" s="328">
        <f>SUM(GM65:GM76)</f>
        <v>1758661474.9999974</v>
      </c>
      <c r="GN77" s="893"/>
      <c r="GO77" s="328">
        <f>SUM(GO65:GO76)</f>
        <v>1758661474.9999974</v>
      </c>
      <c r="GP77" s="893"/>
      <c r="GQ77" s="328">
        <f>SUM(GQ65:GQ76)</f>
        <v>1758661474.9999974</v>
      </c>
      <c r="GR77" s="893"/>
      <c r="GS77" s="893"/>
      <c r="GT77" s="328">
        <f>SUM(GT65:GT76)</f>
        <v>1758661474.9999974</v>
      </c>
      <c r="GU77" s="893"/>
      <c r="GV77" s="893"/>
      <c r="GW77" s="1050">
        <f>SUM(GW65:GW76)</f>
        <v>1758661474.9999974</v>
      </c>
      <c r="GX77" s="893"/>
      <c r="GY77" s="893"/>
      <c r="GZ77" s="1050">
        <f>SUM(GZ65:GZ76)</f>
        <v>1758661474.9999974</v>
      </c>
      <c r="HA77" s="893"/>
      <c r="HB77" s="893"/>
      <c r="HC77" s="1069">
        <f>SUM(HC65:HC76)</f>
        <v>1758661474.9999974</v>
      </c>
      <c r="HD77" s="893"/>
      <c r="HE77" s="893"/>
      <c r="HF77" s="328">
        <f>SUM(HF65:HF76)</f>
        <v>1758661474.9999974</v>
      </c>
      <c r="HG77" s="893"/>
      <c r="HH77" s="893"/>
      <c r="HI77" s="328">
        <f>SUM(HI65:HI76)</f>
        <v>1758661474.9999974</v>
      </c>
      <c r="HJ77" s="893"/>
      <c r="HK77" s="893"/>
      <c r="HL77" s="328">
        <f>SUM(HL65:HL76)</f>
        <v>1758661474.9999974</v>
      </c>
      <c r="HM77" s="893"/>
      <c r="HN77" s="893"/>
      <c r="HO77" s="328">
        <f>SUM(HO65:HO76)</f>
        <v>1758661474.9999974</v>
      </c>
      <c r="HP77" s="893"/>
      <c r="HQ77" s="563"/>
      <c r="HR77" s="328">
        <f>SUM(HR65:HR76)</f>
        <v>1758661474.9999974</v>
      </c>
      <c r="HS77" s="893"/>
      <c r="HT77" s="563"/>
      <c r="HU77" s="328">
        <f>SUM(HU65:HU76)</f>
        <v>1758661474.9999974</v>
      </c>
      <c r="HV77" s="893"/>
      <c r="HW77" s="563"/>
      <c r="HX77" s="563"/>
      <c r="HY77" s="563"/>
      <c r="HZ77" s="563"/>
      <c r="IA77" s="328">
        <f>SUM(IA65:IA76)</f>
        <v>740014530.99999869</v>
      </c>
      <c r="IB77" s="563"/>
    </row>
    <row r="78" spans="1:236" ht="14.4" hidden="1" customHeight="1">
      <c r="D78" s="267"/>
      <c r="E78" s="234"/>
      <c r="F78" s="240"/>
      <c r="G78" s="234"/>
      <c r="H78" s="157"/>
      <c r="I78" s="268"/>
      <c r="J78" s="157"/>
      <c r="K78" s="268"/>
      <c r="L78" s="157"/>
      <c r="M78" s="234"/>
      <c r="N78" s="157"/>
      <c r="O78" s="234"/>
      <c r="P78" s="157"/>
      <c r="Q78" s="234"/>
      <c r="R78" s="157"/>
      <c r="S78" s="234"/>
      <c r="T78" s="157"/>
      <c r="U78" s="234"/>
      <c r="V78" s="157"/>
      <c r="W78" s="234"/>
      <c r="X78" s="157"/>
      <c r="Y78" s="234"/>
      <c r="Z78" s="157"/>
      <c r="AA78" s="234"/>
      <c r="AB78" s="157"/>
      <c r="AC78" s="234"/>
      <c r="AD78" s="157"/>
      <c r="AE78" s="234"/>
      <c r="AF78" s="157"/>
      <c r="AG78" s="234"/>
      <c r="AH78" s="157"/>
      <c r="AI78" s="234"/>
      <c r="AJ78" s="157"/>
      <c r="AK78" s="234"/>
      <c r="AL78" s="157"/>
      <c r="AM78" s="234"/>
      <c r="AN78" s="157"/>
      <c r="AO78" s="234"/>
      <c r="AP78" s="157"/>
      <c r="AQ78" s="234"/>
      <c r="AR78" s="157"/>
      <c r="AS78" s="234"/>
      <c r="AT78" s="157"/>
      <c r="AU78" s="234"/>
      <c r="AV78" s="157"/>
      <c r="AW78" s="234"/>
      <c r="AX78" s="157"/>
      <c r="AY78" s="234"/>
      <c r="AZ78" s="157"/>
      <c r="BA78" s="234"/>
      <c r="BB78" s="157"/>
      <c r="BC78" s="234"/>
      <c r="BD78" s="157"/>
      <c r="BE78" s="234"/>
      <c r="BF78" s="157"/>
      <c r="BG78" s="234"/>
      <c r="BH78" s="157"/>
      <c r="BI78" s="234"/>
      <c r="BJ78" s="157"/>
      <c r="BK78" s="234"/>
      <c r="BL78" s="157"/>
      <c r="BM78" s="234"/>
      <c r="BN78" s="157"/>
      <c r="BO78" s="234"/>
      <c r="BP78" s="157"/>
      <c r="BQ78" s="234"/>
      <c r="BR78" s="157"/>
      <c r="BS78" s="234"/>
      <c r="BT78" s="157"/>
      <c r="BU78" s="234"/>
      <c r="BV78" s="157"/>
      <c r="BW78" s="234"/>
      <c r="BX78" s="157"/>
      <c r="BY78" s="234"/>
      <c r="BZ78" s="157"/>
      <c r="CA78" s="234"/>
      <c r="CB78" s="157"/>
      <c r="CC78" s="234"/>
      <c r="CD78" s="157"/>
      <c r="CE78" s="234"/>
      <c r="CF78" s="157"/>
      <c r="CG78" s="234"/>
      <c r="CH78" s="157"/>
      <c r="CI78" s="234"/>
      <c r="CJ78" s="234"/>
      <c r="CK78" s="234"/>
      <c r="CL78" s="234"/>
      <c r="CM78" s="234"/>
      <c r="CN78" s="234"/>
      <c r="CO78" s="234"/>
      <c r="CP78" s="234"/>
      <c r="CQ78" s="234"/>
      <c r="CR78" s="234"/>
      <c r="CS78" s="234"/>
      <c r="CT78" s="234"/>
      <c r="CU78" s="234"/>
      <c r="CV78" s="198"/>
      <c r="CW78" s="234"/>
      <c r="CX78" s="234"/>
      <c r="CY78" s="436"/>
      <c r="CZ78" s="234"/>
      <c r="DA78" s="234"/>
      <c r="DB78" s="436"/>
      <c r="DC78" s="234"/>
      <c r="DD78" s="234"/>
      <c r="DE78" s="436"/>
      <c r="DF78" s="425"/>
      <c r="DG78" s="234"/>
      <c r="DH78" s="436"/>
      <c r="DI78" s="425"/>
      <c r="DJ78" s="234"/>
      <c r="DK78" s="436"/>
      <c r="DL78" s="425"/>
      <c r="DM78" s="234"/>
      <c r="DN78" s="436"/>
      <c r="DO78" s="425"/>
      <c r="DP78" s="425"/>
      <c r="DQ78" s="580"/>
      <c r="DR78" s="425"/>
      <c r="DS78" s="425"/>
      <c r="DT78" s="580"/>
      <c r="DU78" s="425"/>
      <c r="DV78" s="425"/>
      <c r="DW78" s="580"/>
      <c r="DX78" s="580"/>
      <c r="DY78" s="580"/>
      <c r="DZ78" s="580"/>
      <c r="EA78" s="580"/>
      <c r="EB78" s="580"/>
      <c r="EC78" s="580"/>
      <c r="ED78" s="580"/>
      <c r="EE78" s="580"/>
      <c r="EF78" s="580"/>
      <c r="EG78" s="234"/>
      <c r="EH78" s="234"/>
      <c r="EI78" s="436"/>
      <c r="EJ78" s="234"/>
      <c r="EK78" s="234"/>
      <c r="EL78" s="436"/>
      <c r="EM78" s="234"/>
      <c r="EN78" s="234"/>
      <c r="EO78" s="436"/>
      <c r="EP78" s="425"/>
      <c r="EQ78" s="234"/>
      <c r="ER78" s="436"/>
      <c r="ES78" s="425"/>
      <c r="ET78" s="234"/>
      <c r="EU78" s="436"/>
      <c r="EV78" s="425"/>
      <c r="EW78" s="234"/>
      <c r="EX78" s="436"/>
      <c r="EY78" s="425"/>
      <c r="EZ78" s="425"/>
      <c r="FA78" s="580"/>
      <c r="FB78" s="425"/>
      <c r="FC78" s="425"/>
      <c r="FD78" s="580"/>
      <c r="FE78" s="425"/>
      <c r="FF78" s="425"/>
      <c r="FG78" s="580"/>
      <c r="FH78" s="580"/>
      <c r="FI78" s="580"/>
      <c r="FJ78" s="580"/>
      <c r="FK78" s="580"/>
      <c r="FL78" s="580"/>
      <c r="FM78" s="580"/>
      <c r="FN78" s="580"/>
      <c r="FO78" s="580"/>
      <c r="FP78" s="580"/>
      <c r="FQ78" s="580"/>
      <c r="FR78" s="580"/>
      <c r="FS78" s="580"/>
      <c r="FT78" s="580"/>
      <c r="FU78" s="580"/>
      <c r="FV78" s="580"/>
      <c r="FW78" s="580"/>
      <c r="FX78" s="580"/>
      <c r="FY78" s="580"/>
      <c r="FZ78" s="580"/>
      <c r="GA78" s="580"/>
      <c r="GB78" s="580"/>
      <c r="GC78" s="580"/>
      <c r="GD78" s="580"/>
      <c r="GE78" s="580"/>
      <c r="GF78" s="580"/>
      <c r="GG78" s="580"/>
      <c r="GH78" s="580"/>
      <c r="GI78" s="580"/>
      <c r="GJ78" s="580"/>
      <c r="GK78" s="580"/>
      <c r="GL78" s="580"/>
      <c r="GM78" s="580"/>
      <c r="GN78" s="580"/>
      <c r="GO78" s="580"/>
      <c r="GP78" s="580"/>
      <c r="GQ78" s="580"/>
      <c r="GR78" s="580"/>
      <c r="GS78" s="580"/>
      <c r="GT78" s="580"/>
      <c r="GU78" s="580"/>
      <c r="GV78" s="580"/>
      <c r="GW78" s="1036"/>
      <c r="GX78" s="580"/>
      <c r="GY78" s="580"/>
      <c r="GZ78" s="1036"/>
      <c r="HA78" s="580"/>
      <c r="HB78" s="580"/>
      <c r="HC78" s="1070"/>
      <c r="HD78" s="580"/>
      <c r="HE78" s="580"/>
      <c r="HF78" s="580"/>
      <c r="HG78" s="580"/>
      <c r="HH78" s="580"/>
      <c r="HI78" s="580"/>
      <c r="HJ78" s="580"/>
      <c r="HK78" s="580"/>
      <c r="HL78" s="580"/>
      <c r="HM78" s="580"/>
      <c r="HN78" s="580"/>
      <c r="HO78" s="580"/>
      <c r="HP78" s="580"/>
      <c r="HQ78" s="580"/>
      <c r="HR78" s="580"/>
      <c r="HS78" s="580"/>
      <c r="HT78" s="580"/>
      <c r="HU78" s="580"/>
      <c r="HV78" s="580"/>
      <c r="HW78" s="580"/>
      <c r="HX78" s="580"/>
      <c r="HY78" s="580"/>
      <c r="HZ78" s="580"/>
      <c r="IA78" s="580"/>
      <c r="IB78" s="580"/>
    </row>
    <row r="79" spans="1:236" ht="14.25" hidden="1" customHeight="1">
      <c r="D79" s="267"/>
      <c r="E79" s="436"/>
      <c r="F79" s="946"/>
      <c r="G79" s="436"/>
      <c r="H79" s="410"/>
      <c r="I79" s="436"/>
      <c r="J79" s="410"/>
      <c r="K79" s="436"/>
      <c r="L79" s="410"/>
      <c r="M79" s="436"/>
      <c r="N79" s="410"/>
      <c r="O79" s="436"/>
      <c r="P79" s="410"/>
      <c r="Q79" s="436"/>
      <c r="R79" s="410"/>
      <c r="S79" s="436"/>
      <c r="T79" s="410"/>
      <c r="U79" s="436"/>
      <c r="V79" s="410"/>
      <c r="W79" s="436"/>
      <c r="X79" s="410"/>
      <c r="Y79" s="436"/>
      <c r="Z79" s="410"/>
      <c r="AA79" s="436"/>
      <c r="AB79" s="410"/>
      <c r="AC79" s="436"/>
      <c r="AD79" s="410"/>
      <c r="AE79" s="436"/>
      <c r="AF79" s="410"/>
      <c r="AG79" s="436"/>
      <c r="AH79" s="410"/>
      <c r="AI79" s="436"/>
      <c r="AJ79" s="410"/>
      <c r="AK79" s="436"/>
      <c r="AL79" s="410"/>
      <c r="AM79" s="436"/>
      <c r="AN79" s="410"/>
      <c r="AO79" s="436"/>
      <c r="AP79" s="410"/>
      <c r="AQ79" s="436"/>
      <c r="AR79" s="410"/>
      <c r="AS79" s="436"/>
      <c r="AT79" s="410"/>
      <c r="AU79" s="436"/>
      <c r="AV79" s="410"/>
      <c r="AW79" s="436"/>
      <c r="AX79" s="410"/>
      <c r="AY79" s="436"/>
      <c r="AZ79" s="410"/>
      <c r="BA79" s="436"/>
      <c r="BB79" s="410"/>
      <c r="BC79" s="436"/>
      <c r="BD79" s="410"/>
      <c r="BE79" s="436"/>
      <c r="BF79" s="410"/>
      <c r="BG79" s="436"/>
      <c r="BH79" s="410"/>
      <c r="BI79" s="436"/>
      <c r="BJ79" s="410"/>
      <c r="BK79" s="436"/>
      <c r="BL79" s="410"/>
      <c r="BM79" s="436"/>
      <c r="BN79" s="410"/>
      <c r="BO79" s="436"/>
      <c r="BP79" s="410"/>
      <c r="BQ79" s="436"/>
      <c r="BR79" s="410"/>
      <c r="BS79" s="436"/>
      <c r="BT79" s="410"/>
      <c r="BU79" s="436"/>
      <c r="BV79" s="410"/>
      <c r="BW79" s="436"/>
      <c r="BX79" s="410"/>
      <c r="BY79" s="436"/>
      <c r="BZ79" s="410"/>
      <c r="CA79" s="436"/>
      <c r="CB79" s="410"/>
      <c r="CC79" s="436"/>
      <c r="CD79" s="410"/>
      <c r="CE79" s="436"/>
      <c r="CF79" s="410"/>
      <c r="CG79" s="436"/>
      <c r="CH79" s="410"/>
      <c r="CI79" s="436"/>
      <c r="CJ79" s="436"/>
      <c r="CK79" s="436"/>
      <c r="CL79" s="436"/>
      <c r="CM79" s="436"/>
      <c r="CN79" s="436"/>
      <c r="CO79" s="436"/>
      <c r="CP79" s="436"/>
      <c r="CQ79" s="436"/>
      <c r="CR79" s="436"/>
      <c r="CS79" s="436"/>
      <c r="CT79" s="436"/>
      <c r="CU79" s="436"/>
      <c r="CV79" s="198"/>
      <c r="CW79" s="436"/>
      <c r="CX79" s="436"/>
      <c r="CY79" s="436"/>
      <c r="CZ79" s="436"/>
      <c r="DA79" s="436"/>
      <c r="DB79" s="436"/>
      <c r="DC79" s="436"/>
      <c r="DD79" s="436"/>
      <c r="DE79" s="436"/>
      <c r="DF79" s="580"/>
      <c r="DG79" s="436"/>
      <c r="DH79" s="436"/>
      <c r="DI79" s="580"/>
      <c r="DJ79" s="436"/>
      <c r="DK79" s="436"/>
      <c r="DL79" s="580"/>
      <c r="DM79" s="436"/>
      <c r="DN79" s="436"/>
      <c r="DO79" s="580"/>
      <c r="DP79" s="580"/>
      <c r="DQ79" s="580"/>
      <c r="DR79" s="580"/>
      <c r="DS79" s="580"/>
      <c r="DT79" s="580"/>
      <c r="DU79" s="580"/>
      <c r="DV79" s="580"/>
      <c r="DW79" s="580"/>
      <c r="DX79" s="580"/>
      <c r="DY79" s="580"/>
      <c r="DZ79" s="580"/>
      <c r="EA79" s="580"/>
      <c r="EB79" s="580"/>
      <c r="EC79" s="580"/>
      <c r="ED79" s="580"/>
      <c r="EE79" s="580"/>
      <c r="EF79" s="580"/>
      <c r="EG79" s="436"/>
      <c r="EH79" s="436"/>
      <c r="EI79" s="436"/>
      <c r="EJ79" s="436"/>
      <c r="EK79" s="436"/>
      <c r="EL79" s="436"/>
      <c r="EM79" s="436"/>
      <c r="EN79" s="436"/>
      <c r="EO79" s="436"/>
      <c r="EP79" s="580"/>
      <c r="EQ79" s="436"/>
      <c r="ER79" s="436"/>
      <c r="ES79" s="580"/>
      <c r="ET79" s="436"/>
      <c r="EU79" s="436"/>
      <c r="EV79" s="580"/>
      <c r="EW79" s="436"/>
      <c r="EX79" s="436"/>
      <c r="EY79" s="580"/>
      <c r="EZ79" s="580"/>
      <c r="FA79" s="580"/>
      <c r="FB79" s="580"/>
      <c r="FC79" s="580"/>
      <c r="FD79" s="580"/>
      <c r="FE79" s="580"/>
      <c r="FF79" s="580"/>
      <c r="FG79" s="580"/>
      <c r="FH79" s="580"/>
      <c r="FI79" s="580"/>
      <c r="FJ79" s="580"/>
      <c r="FK79" s="580"/>
      <c r="FL79" s="580"/>
      <c r="FM79" s="580"/>
      <c r="FN79" s="580"/>
      <c r="FO79" s="580"/>
      <c r="FP79" s="580"/>
      <c r="FQ79" s="580"/>
      <c r="FR79" s="580"/>
      <c r="FS79" s="580"/>
      <c r="FT79" s="580"/>
      <c r="FU79" s="580"/>
      <c r="FV79" s="580"/>
      <c r="FW79" s="580"/>
      <c r="FX79" s="580"/>
      <c r="FY79" s="580"/>
      <c r="FZ79" s="580"/>
      <c r="GA79" s="580"/>
      <c r="GB79" s="580"/>
      <c r="GC79" s="580"/>
      <c r="GD79" s="580"/>
      <c r="GE79" s="580"/>
      <c r="GF79" s="580"/>
      <c r="GG79" s="580"/>
      <c r="GH79" s="580"/>
      <c r="GI79" s="580"/>
      <c r="GJ79" s="580"/>
      <c r="GK79" s="580"/>
      <c r="GL79" s="580"/>
      <c r="GM79" s="580"/>
      <c r="GN79" s="580"/>
      <c r="GO79" s="580"/>
      <c r="GP79" s="580"/>
      <c r="GQ79" s="580"/>
      <c r="GR79" s="580"/>
      <c r="GS79" s="580"/>
      <c r="GT79" s="580"/>
      <c r="GU79" s="580"/>
      <c r="GV79" s="580"/>
      <c r="GW79" s="1036"/>
      <c r="GX79" s="580"/>
      <c r="GY79" s="580"/>
      <c r="GZ79" s="1036"/>
      <c r="HA79" s="580"/>
      <c r="HB79" s="580"/>
      <c r="HC79" s="1070"/>
      <c r="HD79" s="580"/>
      <c r="HE79" s="580"/>
      <c r="HF79" s="580"/>
      <c r="HG79" s="580"/>
      <c r="HH79" s="580"/>
      <c r="HI79" s="580"/>
      <c r="HJ79" s="580"/>
      <c r="HK79" s="580"/>
      <c r="HL79" s="580"/>
      <c r="HM79" s="580"/>
      <c r="HN79" s="580"/>
      <c r="HO79" s="580"/>
      <c r="HP79" s="580"/>
      <c r="HQ79" s="580"/>
      <c r="HR79" s="580"/>
      <c r="HS79" s="580"/>
      <c r="HT79" s="580"/>
      <c r="HU79" s="580"/>
      <c r="HV79" s="580"/>
      <c r="HW79" s="580"/>
      <c r="HX79" s="580"/>
      <c r="HY79" s="580"/>
      <c r="HZ79" s="580"/>
      <c r="IA79" s="580"/>
      <c r="IB79" s="580"/>
    </row>
    <row r="80" spans="1:236" ht="14.25" hidden="1" customHeight="1">
      <c r="D80" s="267"/>
      <c r="E80" s="436"/>
      <c r="F80" s="946"/>
      <c r="G80" s="436"/>
      <c r="H80" s="410"/>
      <c r="I80" s="436"/>
      <c r="J80" s="410"/>
      <c r="K80" s="436"/>
      <c r="L80" s="410"/>
      <c r="M80" s="436"/>
      <c r="N80" s="410"/>
      <c r="O80" s="436"/>
      <c r="P80" s="410"/>
      <c r="Q80" s="436"/>
      <c r="R80" s="410"/>
      <c r="S80" s="436"/>
      <c r="T80" s="410"/>
      <c r="U80" s="436"/>
      <c r="V80" s="410"/>
      <c r="W80" s="436"/>
      <c r="X80" s="410"/>
      <c r="Y80" s="436"/>
      <c r="Z80" s="410"/>
      <c r="AA80" s="436"/>
      <c r="AB80" s="410"/>
      <c r="AC80" s="436"/>
      <c r="AD80" s="410"/>
      <c r="AE80" s="436"/>
      <c r="AF80" s="410"/>
      <c r="AG80" s="436"/>
      <c r="AH80" s="410"/>
      <c r="AI80" s="436"/>
      <c r="AJ80" s="410"/>
      <c r="AK80" s="436"/>
      <c r="AL80" s="410"/>
      <c r="AM80" s="436"/>
      <c r="AN80" s="410"/>
      <c r="AO80" s="436"/>
      <c r="AP80" s="410"/>
      <c r="AQ80" s="436"/>
      <c r="AR80" s="410"/>
      <c r="AS80" s="436"/>
      <c r="AT80" s="410"/>
      <c r="AU80" s="436"/>
      <c r="AV80" s="410"/>
      <c r="AW80" s="436"/>
      <c r="AX80" s="410"/>
      <c r="AY80" s="436"/>
      <c r="AZ80" s="410"/>
      <c r="BA80" s="436"/>
      <c r="BB80" s="410"/>
      <c r="BC80" s="436"/>
      <c r="BD80" s="410"/>
      <c r="BE80" s="436"/>
      <c r="BF80" s="410"/>
      <c r="BG80" s="436"/>
      <c r="BH80" s="410"/>
      <c r="BI80" s="436"/>
      <c r="BJ80" s="410"/>
      <c r="BK80" s="436"/>
      <c r="BL80" s="410"/>
      <c r="BM80" s="436"/>
      <c r="BN80" s="410"/>
      <c r="BO80" s="436"/>
      <c r="BP80" s="410"/>
      <c r="BQ80" s="436"/>
      <c r="BR80" s="410"/>
      <c r="BS80" s="436"/>
      <c r="BT80" s="410"/>
      <c r="BU80" s="436"/>
      <c r="BV80" s="410"/>
      <c r="BW80" s="436"/>
      <c r="BX80" s="410"/>
      <c r="BY80" s="436"/>
      <c r="BZ80" s="410"/>
      <c r="CA80" s="436"/>
      <c r="CB80" s="410"/>
      <c r="CC80" s="436"/>
      <c r="CD80" s="410"/>
      <c r="CE80" s="436"/>
      <c r="CF80" s="410"/>
      <c r="CG80" s="436"/>
      <c r="CH80" s="410"/>
      <c r="CI80" s="436"/>
      <c r="CJ80" s="436"/>
      <c r="CK80" s="436"/>
      <c r="CL80" s="436"/>
      <c r="CM80" s="436"/>
      <c r="CN80" s="436"/>
      <c r="CO80" s="436"/>
      <c r="CP80" s="436"/>
      <c r="CQ80" s="436"/>
      <c r="CR80" s="436"/>
      <c r="CS80" s="436"/>
      <c r="CT80" s="436"/>
      <c r="CU80" s="436"/>
      <c r="CV80" s="198"/>
      <c r="CW80" s="436"/>
      <c r="CX80" s="436"/>
      <c r="CY80" s="436"/>
      <c r="CZ80" s="436"/>
      <c r="DA80" s="436"/>
      <c r="DB80" s="436"/>
      <c r="DC80" s="436"/>
      <c r="DD80" s="436"/>
      <c r="DE80" s="436"/>
      <c r="DF80" s="580"/>
      <c r="DG80" s="436"/>
      <c r="DH80" s="436"/>
      <c r="DI80" s="580"/>
      <c r="DJ80" s="436"/>
      <c r="DK80" s="436"/>
      <c r="DL80" s="580"/>
      <c r="DM80" s="436"/>
      <c r="DN80" s="436"/>
      <c r="DO80" s="580"/>
      <c r="DP80" s="580"/>
      <c r="DQ80" s="580"/>
      <c r="DR80" s="580"/>
      <c r="DS80" s="580"/>
      <c r="DT80" s="580"/>
      <c r="DU80" s="580"/>
      <c r="DV80" s="580"/>
      <c r="DW80" s="580"/>
      <c r="DX80" s="580"/>
      <c r="DY80" s="580"/>
      <c r="DZ80" s="580"/>
      <c r="EA80" s="580"/>
      <c r="EB80" s="580"/>
      <c r="EC80" s="580"/>
      <c r="ED80" s="580"/>
      <c r="EE80" s="580"/>
      <c r="EF80" s="580"/>
      <c r="EG80" s="436"/>
      <c r="EH80" s="436"/>
      <c r="EI80" s="436"/>
      <c r="EJ80" s="436"/>
      <c r="EK80" s="436"/>
      <c r="EL80" s="436"/>
      <c r="EM80" s="436"/>
      <c r="EN80" s="436"/>
      <c r="EO80" s="436"/>
      <c r="EP80" s="580"/>
      <c r="EQ80" s="436"/>
      <c r="ER80" s="436"/>
      <c r="ES80" s="580"/>
      <c r="ET80" s="436"/>
      <c r="EU80" s="436"/>
      <c r="EV80" s="580"/>
      <c r="EW80" s="436"/>
      <c r="EX80" s="436"/>
      <c r="EY80" s="580"/>
      <c r="EZ80" s="580"/>
      <c r="FA80" s="580"/>
      <c r="FB80" s="580"/>
      <c r="FC80" s="580"/>
      <c r="FD80" s="580"/>
      <c r="FE80" s="580"/>
      <c r="FF80" s="580"/>
      <c r="FG80" s="580"/>
      <c r="FH80" s="580"/>
      <c r="FI80" s="580"/>
      <c r="FJ80" s="580"/>
      <c r="FK80" s="580"/>
      <c r="FL80" s="580"/>
      <c r="FM80" s="580"/>
      <c r="FN80" s="580"/>
      <c r="FO80" s="580"/>
      <c r="FP80" s="580"/>
      <c r="FQ80" s="580"/>
      <c r="FR80" s="580"/>
      <c r="FS80" s="580"/>
      <c r="FT80" s="580"/>
      <c r="FU80" s="580"/>
      <c r="FV80" s="580"/>
      <c r="FW80" s="580"/>
      <c r="FX80" s="580"/>
      <c r="FY80" s="580"/>
      <c r="FZ80" s="580"/>
      <c r="GA80" s="580"/>
      <c r="GB80" s="580"/>
      <c r="GC80" s="580"/>
      <c r="GD80" s="580"/>
      <c r="GE80" s="580"/>
      <c r="GF80" s="580"/>
      <c r="GG80" s="580"/>
      <c r="GH80" s="580"/>
      <c r="GI80" s="580"/>
      <c r="GJ80" s="580"/>
      <c r="GK80" s="580"/>
      <c r="GL80" s="580"/>
      <c r="GM80" s="580"/>
      <c r="GN80" s="580"/>
      <c r="GO80" s="580"/>
      <c r="GP80" s="580"/>
      <c r="GQ80" s="580"/>
      <c r="GR80" s="580"/>
      <c r="GS80" s="580"/>
      <c r="GT80" s="580"/>
      <c r="GU80" s="580"/>
      <c r="GV80" s="580"/>
      <c r="GW80" s="1036"/>
      <c r="GX80" s="580"/>
      <c r="GY80" s="580"/>
      <c r="GZ80" s="1036"/>
      <c r="HA80" s="580"/>
      <c r="HB80" s="580"/>
      <c r="HC80" s="1070"/>
      <c r="HD80" s="580"/>
      <c r="HE80" s="580"/>
      <c r="HF80" s="580"/>
      <c r="HG80" s="580"/>
      <c r="HH80" s="580"/>
      <c r="HI80" s="580"/>
      <c r="HJ80" s="580"/>
      <c r="HK80" s="580"/>
      <c r="HL80" s="580"/>
      <c r="HM80" s="580"/>
      <c r="HN80" s="580"/>
      <c r="HO80" s="580"/>
      <c r="HP80" s="580"/>
      <c r="HQ80" s="580"/>
      <c r="HR80" s="580"/>
      <c r="HS80" s="580"/>
      <c r="HT80" s="580"/>
      <c r="HU80" s="580"/>
      <c r="HV80" s="580"/>
      <c r="HW80" s="580"/>
      <c r="HX80" s="580"/>
      <c r="HY80" s="580"/>
      <c r="HZ80" s="580"/>
      <c r="IA80" s="580"/>
      <c r="IB80" s="580"/>
    </row>
    <row r="81" spans="2:265" ht="14.25" hidden="1" customHeight="1">
      <c r="D81" s="267"/>
      <c r="E81" s="436"/>
      <c r="F81" s="946"/>
      <c r="G81" s="436"/>
      <c r="H81" s="410"/>
      <c r="I81" s="436"/>
      <c r="J81" s="410"/>
      <c r="K81" s="436"/>
      <c r="L81" s="410"/>
      <c r="M81" s="436"/>
      <c r="N81" s="410"/>
      <c r="O81" s="436"/>
      <c r="P81" s="410"/>
      <c r="Q81" s="436"/>
      <c r="R81" s="410"/>
      <c r="S81" s="436"/>
      <c r="T81" s="410"/>
      <c r="U81" s="436"/>
      <c r="V81" s="410"/>
      <c r="W81" s="436"/>
      <c r="X81" s="410"/>
      <c r="Y81" s="436"/>
      <c r="Z81" s="410"/>
      <c r="AA81" s="436"/>
      <c r="AB81" s="410"/>
      <c r="AC81" s="436"/>
      <c r="AD81" s="410"/>
      <c r="AE81" s="436"/>
      <c r="AF81" s="410"/>
      <c r="AG81" s="436"/>
      <c r="AH81" s="410"/>
      <c r="AI81" s="436"/>
      <c r="AJ81" s="410"/>
      <c r="AK81" s="436"/>
      <c r="AL81" s="410"/>
      <c r="AM81" s="436"/>
      <c r="AN81" s="410"/>
      <c r="AO81" s="436"/>
      <c r="AP81" s="410"/>
      <c r="AQ81" s="436"/>
      <c r="AR81" s="410"/>
      <c r="AS81" s="436"/>
      <c r="AT81" s="410"/>
      <c r="AU81" s="436"/>
      <c r="AV81" s="410"/>
      <c r="AW81" s="436"/>
      <c r="AX81" s="410"/>
      <c r="AY81" s="436"/>
      <c r="AZ81" s="410"/>
      <c r="BA81" s="436"/>
      <c r="BB81" s="410"/>
      <c r="BC81" s="436"/>
      <c r="BD81" s="410"/>
      <c r="BE81" s="436"/>
      <c r="BF81" s="410"/>
      <c r="BG81" s="436"/>
      <c r="BH81" s="410"/>
      <c r="BI81" s="436"/>
      <c r="BJ81" s="410"/>
      <c r="BK81" s="436"/>
      <c r="BL81" s="410"/>
      <c r="BM81" s="436"/>
      <c r="BN81" s="410"/>
      <c r="BO81" s="436"/>
      <c r="BP81" s="410"/>
      <c r="BQ81" s="436"/>
      <c r="BR81" s="410"/>
      <c r="BS81" s="436"/>
      <c r="BT81" s="410"/>
      <c r="BU81" s="436"/>
      <c r="BV81" s="410"/>
      <c r="BW81" s="436"/>
      <c r="BX81" s="410"/>
      <c r="BY81" s="436"/>
      <c r="BZ81" s="410"/>
      <c r="CA81" s="436"/>
      <c r="CB81" s="410"/>
      <c r="CC81" s="436"/>
      <c r="CD81" s="410"/>
      <c r="CE81" s="436"/>
      <c r="CF81" s="410"/>
      <c r="CG81" s="436"/>
      <c r="CH81" s="410"/>
      <c r="CI81" s="436"/>
      <c r="CJ81" s="436"/>
      <c r="CK81" s="436"/>
      <c r="CL81" s="436"/>
      <c r="CM81" s="436"/>
      <c r="CN81" s="436"/>
      <c r="CO81" s="436"/>
      <c r="CP81" s="436"/>
      <c r="CQ81" s="436"/>
      <c r="CR81" s="436"/>
      <c r="CS81" s="436"/>
      <c r="CT81" s="436"/>
      <c r="CU81" s="436"/>
      <c r="CV81" s="198"/>
      <c r="CW81" s="436"/>
      <c r="CX81" s="436"/>
      <c r="CY81" s="436"/>
      <c r="CZ81" s="436"/>
      <c r="DA81" s="436"/>
      <c r="DB81" s="436"/>
      <c r="DC81" s="436"/>
      <c r="DD81" s="436"/>
      <c r="DE81" s="436"/>
      <c r="DF81" s="580"/>
      <c r="DG81" s="436"/>
      <c r="DH81" s="436"/>
      <c r="DI81" s="580"/>
      <c r="DJ81" s="436"/>
      <c r="DK81" s="436"/>
      <c r="DL81" s="580"/>
      <c r="DM81" s="436"/>
      <c r="DN81" s="436"/>
      <c r="DO81" s="580"/>
      <c r="DP81" s="580"/>
      <c r="DQ81" s="580"/>
      <c r="DR81" s="580"/>
      <c r="DS81" s="580"/>
      <c r="DT81" s="580"/>
      <c r="DU81" s="580"/>
      <c r="DV81" s="580"/>
      <c r="DW81" s="580"/>
      <c r="DX81" s="580"/>
      <c r="DY81" s="580"/>
      <c r="DZ81" s="580"/>
      <c r="EA81" s="580"/>
      <c r="EB81" s="580"/>
      <c r="EC81" s="580"/>
      <c r="ED81" s="580"/>
      <c r="EE81" s="580"/>
      <c r="EF81" s="580"/>
      <c r="EG81" s="436"/>
      <c r="EH81" s="436"/>
      <c r="EI81" s="436"/>
      <c r="EJ81" s="436"/>
      <c r="EK81" s="436"/>
      <c r="EL81" s="436"/>
      <c r="EM81" s="436"/>
      <c r="EN81" s="436"/>
      <c r="EO81" s="436"/>
      <c r="EP81" s="580"/>
      <c r="EQ81" s="436"/>
      <c r="ER81" s="436"/>
      <c r="ES81" s="580"/>
      <c r="ET81" s="436"/>
      <c r="EU81" s="436"/>
      <c r="EV81" s="580"/>
      <c r="EW81" s="436"/>
      <c r="EX81" s="436"/>
      <c r="EY81" s="580"/>
      <c r="EZ81" s="580"/>
      <c r="FA81" s="580"/>
      <c r="FB81" s="580"/>
      <c r="FC81" s="580"/>
      <c r="FD81" s="580"/>
      <c r="FE81" s="580"/>
      <c r="FF81" s="580"/>
      <c r="FG81" s="580"/>
      <c r="FH81" s="580"/>
      <c r="FI81" s="580"/>
      <c r="FJ81" s="580"/>
      <c r="FK81" s="580"/>
      <c r="FL81" s="580"/>
      <c r="FM81" s="580"/>
      <c r="FN81" s="580"/>
      <c r="FO81" s="580"/>
      <c r="FP81" s="580"/>
      <c r="FQ81" s="580"/>
      <c r="FR81" s="580"/>
      <c r="FS81" s="580"/>
      <c r="FT81" s="580"/>
      <c r="FU81" s="580"/>
      <c r="FV81" s="580"/>
      <c r="FW81" s="580"/>
      <c r="FX81" s="580"/>
      <c r="FY81" s="580"/>
      <c r="FZ81" s="580"/>
      <c r="GA81" s="580"/>
      <c r="GB81" s="580"/>
      <c r="GC81" s="580"/>
      <c r="GD81" s="580"/>
      <c r="GE81" s="580"/>
      <c r="GF81" s="580"/>
      <c r="GG81" s="580"/>
      <c r="GH81" s="580"/>
      <c r="GI81" s="580"/>
      <c r="GJ81" s="580"/>
      <c r="GK81" s="580"/>
      <c r="GL81" s="580"/>
      <c r="GM81" s="580"/>
      <c r="GN81" s="580"/>
      <c r="GO81" s="580"/>
      <c r="GP81" s="580"/>
      <c r="GQ81" s="580"/>
      <c r="GR81" s="580"/>
      <c r="GS81" s="580"/>
      <c r="GT81" s="580"/>
      <c r="GU81" s="580"/>
      <c r="GV81" s="580"/>
      <c r="GW81" s="1036"/>
      <c r="GX81" s="580"/>
      <c r="GY81" s="580"/>
      <c r="GZ81" s="1036"/>
      <c r="HA81" s="580"/>
      <c r="HB81" s="580"/>
      <c r="HC81" s="1070"/>
      <c r="HD81" s="580"/>
      <c r="HE81" s="580"/>
      <c r="HF81" s="580"/>
      <c r="HG81" s="580"/>
      <c r="HH81" s="580"/>
      <c r="HI81" s="580"/>
      <c r="HJ81" s="580"/>
      <c r="HK81" s="580"/>
      <c r="HL81" s="580"/>
      <c r="HM81" s="580"/>
      <c r="HN81" s="580"/>
      <c r="HO81" s="580"/>
      <c r="HP81" s="580"/>
      <c r="HQ81" s="580"/>
      <c r="HR81" s="580"/>
      <c r="HS81" s="580"/>
      <c r="HT81" s="580"/>
      <c r="HU81" s="580"/>
      <c r="HV81" s="580"/>
      <c r="HW81" s="580"/>
      <c r="HX81" s="580"/>
      <c r="HY81" s="580"/>
      <c r="HZ81" s="580"/>
      <c r="IA81" s="580"/>
      <c r="IB81" s="580"/>
    </row>
    <row r="82" spans="2:265" ht="14.25" hidden="1" customHeight="1">
      <c r="D82" s="267"/>
      <c r="E82" s="436"/>
      <c r="F82" s="946"/>
      <c r="G82" s="436"/>
      <c r="H82" s="410"/>
      <c r="I82" s="436"/>
      <c r="J82" s="410"/>
      <c r="K82" s="436"/>
      <c r="L82" s="410"/>
      <c r="M82" s="436"/>
      <c r="N82" s="410"/>
      <c r="O82" s="436"/>
      <c r="P82" s="410"/>
      <c r="Q82" s="436"/>
      <c r="R82" s="410"/>
      <c r="S82" s="436"/>
      <c r="T82" s="410"/>
      <c r="U82" s="436"/>
      <c r="V82" s="410"/>
      <c r="W82" s="436"/>
      <c r="X82" s="410"/>
      <c r="Y82" s="436"/>
      <c r="Z82" s="410"/>
      <c r="AA82" s="436"/>
      <c r="AB82" s="410"/>
      <c r="AC82" s="436"/>
      <c r="AD82" s="410"/>
      <c r="AE82" s="436"/>
      <c r="AF82" s="410"/>
      <c r="AG82" s="436"/>
      <c r="AH82" s="410"/>
      <c r="AI82" s="436"/>
      <c r="AJ82" s="410"/>
      <c r="AK82" s="436"/>
      <c r="AL82" s="410"/>
      <c r="AM82" s="436"/>
      <c r="AN82" s="410"/>
      <c r="AO82" s="436"/>
      <c r="AP82" s="410"/>
      <c r="AQ82" s="436"/>
      <c r="AR82" s="410"/>
      <c r="AS82" s="436"/>
      <c r="AT82" s="410"/>
      <c r="AU82" s="436"/>
      <c r="AV82" s="410"/>
      <c r="AW82" s="436"/>
      <c r="AX82" s="410"/>
      <c r="AY82" s="436"/>
      <c r="AZ82" s="410"/>
      <c r="BA82" s="436"/>
      <c r="BB82" s="410"/>
      <c r="BC82" s="436"/>
      <c r="BD82" s="410"/>
      <c r="BE82" s="436"/>
      <c r="BF82" s="410"/>
      <c r="BG82" s="436"/>
      <c r="BH82" s="410"/>
      <c r="BI82" s="436"/>
      <c r="BJ82" s="410"/>
      <c r="BK82" s="436"/>
      <c r="BL82" s="410"/>
      <c r="BM82" s="436"/>
      <c r="BN82" s="410"/>
      <c r="BO82" s="436"/>
      <c r="BP82" s="410"/>
      <c r="BQ82" s="436"/>
      <c r="BR82" s="410"/>
      <c r="BS82" s="436"/>
      <c r="BT82" s="410"/>
      <c r="BU82" s="436"/>
      <c r="BV82" s="410"/>
      <c r="BW82" s="436"/>
      <c r="BX82" s="410"/>
      <c r="BY82" s="436"/>
      <c r="BZ82" s="410"/>
      <c r="CA82" s="436"/>
      <c r="CB82" s="410"/>
      <c r="CC82" s="436"/>
      <c r="CD82" s="410"/>
      <c r="CE82" s="436"/>
      <c r="CF82" s="410"/>
      <c r="CG82" s="436"/>
      <c r="CH82" s="410"/>
      <c r="CI82" s="436"/>
      <c r="CJ82" s="436"/>
      <c r="CK82" s="436"/>
      <c r="CL82" s="436"/>
      <c r="CM82" s="436"/>
      <c r="CN82" s="436"/>
      <c r="CO82" s="436"/>
      <c r="CP82" s="436"/>
      <c r="CQ82" s="436"/>
      <c r="CR82" s="436"/>
      <c r="CS82" s="436"/>
      <c r="CT82" s="436"/>
      <c r="CU82" s="436"/>
      <c r="CV82" s="198"/>
      <c r="CW82" s="436"/>
      <c r="CX82" s="436"/>
      <c r="CY82" s="436"/>
      <c r="CZ82" s="436"/>
      <c r="DA82" s="436"/>
      <c r="DB82" s="436"/>
      <c r="DC82" s="436"/>
      <c r="DD82" s="436"/>
      <c r="DE82" s="436"/>
      <c r="DF82" s="580"/>
      <c r="DG82" s="436"/>
      <c r="DH82" s="436"/>
      <c r="DI82" s="580"/>
      <c r="DJ82" s="436"/>
      <c r="DK82" s="436"/>
      <c r="DL82" s="580"/>
      <c r="DM82" s="436"/>
      <c r="DN82" s="436"/>
      <c r="DO82" s="580"/>
      <c r="DP82" s="580"/>
      <c r="DQ82" s="580"/>
      <c r="DR82" s="580"/>
      <c r="DS82" s="580"/>
      <c r="DT82" s="580"/>
      <c r="DU82" s="580"/>
      <c r="DV82" s="580"/>
      <c r="DW82" s="580"/>
      <c r="DX82" s="580"/>
      <c r="DY82" s="580"/>
      <c r="DZ82" s="580"/>
      <c r="EA82" s="580"/>
      <c r="EB82" s="580"/>
      <c r="EC82" s="580"/>
      <c r="ED82" s="580"/>
      <c r="EE82" s="580"/>
      <c r="EF82" s="580"/>
      <c r="EG82" s="436"/>
      <c r="EH82" s="436"/>
      <c r="EI82" s="436"/>
      <c r="EJ82" s="436"/>
      <c r="EK82" s="436"/>
      <c r="EL82" s="436"/>
      <c r="EM82" s="436"/>
      <c r="EN82" s="436"/>
      <c r="EO82" s="436"/>
      <c r="EP82" s="580"/>
      <c r="EQ82" s="436"/>
      <c r="ER82" s="436"/>
      <c r="ES82" s="580"/>
      <c r="ET82" s="436"/>
      <c r="EU82" s="436"/>
      <c r="EV82" s="580"/>
      <c r="EW82" s="436"/>
      <c r="EX82" s="436"/>
      <c r="EY82" s="580"/>
      <c r="EZ82" s="580"/>
      <c r="FA82" s="580"/>
      <c r="FB82" s="580"/>
      <c r="FC82" s="580"/>
      <c r="FD82" s="580"/>
      <c r="FE82" s="580"/>
      <c r="FF82" s="580"/>
      <c r="FG82" s="580"/>
      <c r="FH82" s="580"/>
      <c r="FI82" s="580"/>
      <c r="FJ82" s="580"/>
      <c r="FK82" s="580"/>
      <c r="FL82" s="580"/>
      <c r="FM82" s="580"/>
      <c r="FN82" s="580"/>
      <c r="FO82" s="580"/>
      <c r="FP82" s="580"/>
      <c r="FQ82" s="580"/>
      <c r="FR82" s="580"/>
      <c r="FS82" s="580"/>
      <c r="FT82" s="580"/>
      <c r="FU82" s="580"/>
      <c r="FV82" s="580"/>
      <c r="FW82" s="580"/>
      <c r="FX82" s="580"/>
      <c r="FY82" s="580"/>
      <c r="FZ82" s="580"/>
      <c r="GA82" s="580"/>
      <c r="GB82" s="580"/>
      <c r="GC82" s="580"/>
      <c r="GD82" s="580"/>
      <c r="GE82" s="580"/>
      <c r="GF82" s="580"/>
      <c r="GG82" s="580"/>
      <c r="GH82" s="580"/>
      <c r="GI82" s="580"/>
      <c r="GJ82" s="580"/>
      <c r="GK82" s="580"/>
      <c r="GL82" s="580"/>
      <c r="GM82" s="580"/>
      <c r="GN82" s="580"/>
      <c r="GO82" s="580"/>
      <c r="GP82" s="580"/>
      <c r="GQ82" s="580"/>
      <c r="GR82" s="580"/>
      <c r="GS82" s="580"/>
      <c r="GT82" s="580"/>
      <c r="GU82" s="580"/>
      <c r="GV82" s="580"/>
      <c r="GW82" s="1036"/>
      <c r="GX82" s="580"/>
      <c r="GY82" s="580"/>
      <c r="GZ82" s="1036"/>
      <c r="HA82" s="580"/>
      <c r="HB82" s="580"/>
      <c r="HC82" s="1070"/>
      <c r="HD82" s="580"/>
      <c r="HE82" s="580"/>
      <c r="HF82" s="580"/>
      <c r="HG82" s="580"/>
      <c r="HH82" s="580"/>
      <c r="HI82" s="580"/>
      <c r="HJ82" s="580"/>
      <c r="HK82" s="580"/>
      <c r="HL82" s="580"/>
      <c r="HM82" s="580"/>
      <c r="HN82" s="580"/>
      <c r="HO82" s="580"/>
      <c r="HP82" s="580"/>
      <c r="HQ82" s="580"/>
      <c r="HR82" s="580"/>
      <c r="HS82" s="580"/>
      <c r="HT82" s="580"/>
      <c r="HU82" s="580"/>
      <c r="HV82" s="580"/>
      <c r="HW82" s="580"/>
      <c r="HX82" s="580"/>
      <c r="HY82" s="580"/>
      <c r="HZ82" s="580"/>
      <c r="IA82" s="580"/>
      <c r="IB82" s="580"/>
    </row>
    <row r="83" spans="2:265" ht="14.25" hidden="1" customHeight="1">
      <c r="D83" s="267"/>
      <c r="E83" s="436"/>
      <c r="F83" s="946"/>
      <c r="G83" s="436"/>
      <c r="H83" s="410"/>
      <c r="I83" s="436"/>
      <c r="J83" s="410"/>
      <c r="K83" s="436"/>
      <c r="L83" s="410"/>
      <c r="M83" s="436"/>
      <c r="N83" s="410"/>
      <c r="O83" s="436"/>
      <c r="P83" s="410"/>
      <c r="Q83" s="436"/>
      <c r="R83" s="410"/>
      <c r="S83" s="436"/>
      <c r="T83" s="410"/>
      <c r="U83" s="436"/>
      <c r="V83" s="410"/>
      <c r="W83" s="436"/>
      <c r="X83" s="410"/>
      <c r="Y83" s="436"/>
      <c r="Z83" s="410"/>
      <c r="AA83" s="436"/>
      <c r="AB83" s="410"/>
      <c r="AC83" s="436"/>
      <c r="AD83" s="410"/>
      <c r="AE83" s="436"/>
      <c r="AF83" s="410"/>
      <c r="AG83" s="436"/>
      <c r="AH83" s="410"/>
      <c r="AI83" s="436"/>
      <c r="AJ83" s="410"/>
      <c r="AK83" s="436"/>
      <c r="AL83" s="410"/>
      <c r="AM83" s="436"/>
      <c r="AN83" s="410"/>
      <c r="AO83" s="436"/>
      <c r="AP83" s="410"/>
      <c r="AQ83" s="436"/>
      <c r="AR83" s="410"/>
      <c r="AS83" s="436"/>
      <c r="AT83" s="410"/>
      <c r="AU83" s="436"/>
      <c r="AV83" s="410"/>
      <c r="AW83" s="436"/>
      <c r="AX83" s="410"/>
      <c r="AY83" s="436"/>
      <c r="AZ83" s="410"/>
      <c r="BA83" s="436"/>
      <c r="BB83" s="410"/>
      <c r="BC83" s="436"/>
      <c r="BD83" s="410"/>
      <c r="BE83" s="436"/>
      <c r="BF83" s="410"/>
      <c r="BG83" s="436"/>
      <c r="BH83" s="410"/>
      <c r="BI83" s="436"/>
      <c r="BJ83" s="410"/>
      <c r="BK83" s="436"/>
      <c r="BL83" s="410"/>
      <c r="BM83" s="436"/>
      <c r="BN83" s="410"/>
      <c r="BO83" s="436"/>
      <c r="BP83" s="410"/>
      <c r="BQ83" s="436"/>
      <c r="BR83" s="410"/>
      <c r="BS83" s="436"/>
      <c r="BT83" s="410"/>
      <c r="BU83" s="436"/>
      <c r="BV83" s="410"/>
      <c r="BW83" s="436"/>
      <c r="BX83" s="410"/>
      <c r="BY83" s="436"/>
      <c r="BZ83" s="410"/>
      <c r="CA83" s="436"/>
      <c r="CB83" s="410"/>
      <c r="CC83" s="436"/>
      <c r="CD83" s="410"/>
      <c r="CE83" s="436"/>
      <c r="CF83" s="410"/>
      <c r="CG83" s="436"/>
      <c r="CH83" s="410"/>
      <c r="CI83" s="436"/>
      <c r="CJ83" s="436"/>
      <c r="CK83" s="436"/>
      <c r="CL83" s="436"/>
      <c r="CM83" s="436"/>
      <c r="CN83" s="436"/>
      <c r="CO83" s="436"/>
      <c r="CP83" s="436"/>
      <c r="CQ83" s="436"/>
      <c r="CR83" s="436"/>
      <c r="CS83" s="436"/>
      <c r="CT83" s="436"/>
      <c r="CU83" s="436"/>
      <c r="CV83" s="198"/>
      <c r="CW83" s="436"/>
      <c r="CX83" s="436"/>
      <c r="CY83" s="436"/>
      <c r="CZ83" s="436"/>
      <c r="DA83" s="436"/>
      <c r="DB83" s="436"/>
      <c r="DC83" s="436"/>
      <c r="DD83" s="436"/>
      <c r="DE83" s="436"/>
      <c r="DF83" s="580"/>
      <c r="DG83" s="436"/>
      <c r="DH83" s="436"/>
      <c r="DI83" s="580"/>
      <c r="DJ83" s="436"/>
      <c r="DK83" s="436"/>
      <c r="DL83" s="580"/>
      <c r="DM83" s="436"/>
      <c r="DN83" s="436"/>
      <c r="DO83" s="580"/>
      <c r="DP83" s="580"/>
      <c r="DQ83" s="580"/>
      <c r="DR83" s="580"/>
      <c r="DS83" s="580"/>
      <c r="DT83" s="580"/>
      <c r="DU83" s="580"/>
      <c r="DV83" s="580"/>
      <c r="DW83" s="580"/>
      <c r="DX83" s="580"/>
      <c r="DY83" s="580"/>
      <c r="DZ83" s="580"/>
      <c r="EA83" s="580"/>
      <c r="EB83" s="580"/>
      <c r="EC83" s="580"/>
      <c r="ED83" s="580"/>
      <c r="EE83" s="580"/>
      <c r="EF83" s="580"/>
      <c r="EG83" s="436"/>
      <c r="EH83" s="436"/>
      <c r="EI83" s="436"/>
      <c r="EJ83" s="436"/>
      <c r="EK83" s="436"/>
      <c r="EL83" s="436"/>
      <c r="EM83" s="436"/>
      <c r="EN83" s="436"/>
      <c r="EO83" s="436"/>
      <c r="EP83" s="580"/>
      <c r="EQ83" s="436"/>
      <c r="ER83" s="436"/>
      <c r="ES83" s="580"/>
      <c r="ET83" s="436"/>
      <c r="EU83" s="436"/>
      <c r="EV83" s="580"/>
      <c r="EW83" s="436"/>
      <c r="EX83" s="436"/>
      <c r="EY83" s="580"/>
      <c r="EZ83" s="580"/>
      <c r="FA83" s="580"/>
      <c r="FB83" s="580"/>
      <c r="FC83" s="580"/>
      <c r="FD83" s="580"/>
      <c r="FE83" s="580"/>
      <c r="FF83" s="580"/>
      <c r="FG83" s="580"/>
      <c r="FH83" s="580"/>
      <c r="FI83" s="580"/>
      <c r="FJ83" s="580"/>
      <c r="FK83" s="580"/>
      <c r="FL83" s="580"/>
      <c r="FM83" s="580"/>
      <c r="FN83" s="580"/>
      <c r="FO83" s="580"/>
      <c r="FP83" s="580"/>
      <c r="FQ83" s="580"/>
      <c r="FR83" s="580"/>
      <c r="FS83" s="580"/>
      <c r="FT83" s="580"/>
      <c r="FU83" s="580"/>
      <c r="FV83" s="580"/>
      <c r="FW83" s="580"/>
      <c r="FX83" s="580"/>
      <c r="FY83" s="580"/>
      <c r="FZ83" s="580"/>
      <c r="GA83" s="580"/>
      <c r="GB83" s="580"/>
      <c r="GC83" s="580"/>
      <c r="GD83" s="580"/>
      <c r="GE83" s="580"/>
      <c r="GF83" s="580"/>
      <c r="GG83" s="580"/>
      <c r="GH83" s="580"/>
      <c r="GI83" s="580"/>
      <c r="GJ83" s="580"/>
      <c r="GK83" s="580"/>
      <c r="GL83" s="580"/>
      <c r="GM83" s="580"/>
      <c r="GN83" s="580"/>
      <c r="GO83" s="580"/>
      <c r="GP83" s="580"/>
      <c r="GQ83" s="580"/>
      <c r="GR83" s="580"/>
      <c r="GS83" s="580"/>
      <c r="GT83" s="580"/>
      <c r="GU83" s="580"/>
      <c r="GV83" s="580"/>
      <c r="GW83" s="1036"/>
      <c r="GX83" s="580"/>
      <c r="GY83" s="580"/>
      <c r="GZ83" s="1036"/>
      <c r="HA83" s="580"/>
      <c r="HB83" s="580"/>
      <c r="HC83" s="1070"/>
      <c r="HD83" s="580"/>
      <c r="HE83" s="580"/>
      <c r="HF83" s="580"/>
      <c r="HG83" s="580"/>
      <c r="HH83" s="580"/>
      <c r="HI83" s="580"/>
      <c r="HJ83" s="580"/>
      <c r="HK83" s="580"/>
      <c r="HL83" s="580"/>
      <c r="HM83" s="580"/>
      <c r="HN83" s="580"/>
      <c r="HO83" s="580"/>
      <c r="HP83" s="580"/>
      <c r="HQ83" s="580"/>
      <c r="HR83" s="580"/>
      <c r="HS83" s="580"/>
      <c r="HT83" s="580"/>
      <c r="HU83" s="580"/>
      <c r="HV83" s="580"/>
      <c r="HW83" s="580"/>
      <c r="HX83" s="580"/>
      <c r="HY83" s="580"/>
      <c r="HZ83" s="580"/>
      <c r="IA83" s="580"/>
      <c r="IB83" s="580"/>
    </row>
    <row r="84" spans="2:265" ht="14.25" hidden="1" customHeight="1">
      <c r="D84" s="267"/>
      <c r="E84" s="436"/>
      <c r="F84" s="946"/>
      <c r="G84" s="436"/>
      <c r="H84" s="410"/>
      <c r="I84" s="436"/>
      <c r="J84" s="410"/>
      <c r="K84" s="436"/>
      <c r="L84" s="410"/>
      <c r="M84" s="436"/>
      <c r="N84" s="410"/>
      <c r="O84" s="436"/>
      <c r="P84" s="410"/>
      <c r="Q84" s="436"/>
      <c r="R84" s="410"/>
      <c r="S84" s="436"/>
      <c r="T84" s="410"/>
      <c r="U84" s="436"/>
      <c r="V84" s="410"/>
      <c r="W84" s="436"/>
      <c r="X84" s="410"/>
      <c r="Y84" s="436"/>
      <c r="Z84" s="410"/>
      <c r="AA84" s="436"/>
      <c r="AB84" s="410"/>
      <c r="AC84" s="436"/>
      <c r="AD84" s="410"/>
      <c r="AE84" s="436"/>
      <c r="AF84" s="410"/>
      <c r="AG84" s="436"/>
      <c r="AH84" s="410"/>
      <c r="AI84" s="436"/>
      <c r="AJ84" s="410"/>
      <c r="AK84" s="436"/>
      <c r="AL84" s="410"/>
      <c r="AM84" s="436"/>
      <c r="AN84" s="410"/>
      <c r="AO84" s="436"/>
      <c r="AP84" s="410"/>
      <c r="AQ84" s="436"/>
      <c r="AR84" s="410"/>
      <c r="AS84" s="436"/>
      <c r="AT84" s="410"/>
      <c r="AU84" s="436"/>
      <c r="AV84" s="410"/>
      <c r="AW84" s="436"/>
      <c r="AX84" s="410"/>
      <c r="AY84" s="436"/>
      <c r="AZ84" s="410"/>
      <c r="BA84" s="436"/>
      <c r="BB84" s="410"/>
      <c r="BC84" s="436"/>
      <c r="BD84" s="410"/>
      <c r="BE84" s="436"/>
      <c r="BF84" s="410"/>
      <c r="BG84" s="436"/>
      <c r="BH84" s="410"/>
      <c r="BI84" s="436"/>
      <c r="BJ84" s="410"/>
      <c r="BK84" s="436"/>
      <c r="BL84" s="410"/>
      <c r="BM84" s="436"/>
      <c r="BN84" s="410"/>
      <c r="BO84" s="436"/>
      <c r="BP84" s="410"/>
      <c r="BQ84" s="436"/>
      <c r="BR84" s="410"/>
      <c r="BS84" s="436"/>
      <c r="BT84" s="410"/>
      <c r="BU84" s="436"/>
      <c r="BV84" s="410"/>
      <c r="BW84" s="436"/>
      <c r="BX84" s="410"/>
      <c r="BY84" s="436"/>
      <c r="BZ84" s="410"/>
      <c r="CA84" s="436"/>
      <c r="CB84" s="410"/>
      <c r="CC84" s="436"/>
      <c r="CD84" s="410"/>
      <c r="CE84" s="436"/>
      <c r="CF84" s="410"/>
      <c r="CG84" s="436"/>
      <c r="CH84" s="410"/>
      <c r="CI84" s="436"/>
      <c r="CJ84" s="436"/>
      <c r="CK84" s="436"/>
      <c r="CL84" s="436"/>
      <c r="CM84" s="436"/>
      <c r="CN84" s="436"/>
      <c r="CO84" s="436"/>
      <c r="CP84" s="436"/>
      <c r="CQ84" s="436"/>
      <c r="CR84" s="436"/>
      <c r="CS84" s="436"/>
      <c r="CT84" s="436"/>
      <c r="CU84" s="436"/>
      <c r="CV84" s="198"/>
      <c r="CW84" s="436"/>
      <c r="CX84" s="436"/>
      <c r="CY84" s="436"/>
      <c r="CZ84" s="436"/>
      <c r="DA84" s="436"/>
      <c r="DB84" s="436"/>
      <c r="DC84" s="436"/>
      <c r="DD84" s="436"/>
      <c r="DE84" s="436"/>
      <c r="DF84" s="580"/>
      <c r="DG84" s="436"/>
      <c r="DH84" s="436"/>
      <c r="DI84" s="580"/>
      <c r="DJ84" s="436"/>
      <c r="DK84" s="436"/>
      <c r="DL84" s="580"/>
      <c r="DM84" s="436"/>
      <c r="DN84" s="436"/>
      <c r="DO84" s="580"/>
      <c r="DP84" s="580"/>
      <c r="DQ84" s="580"/>
      <c r="DR84" s="580"/>
      <c r="DS84" s="580"/>
      <c r="DT84" s="580"/>
      <c r="DU84" s="580"/>
      <c r="DV84" s="580"/>
      <c r="DW84" s="580"/>
      <c r="DX84" s="580"/>
      <c r="DY84" s="580"/>
      <c r="DZ84" s="580"/>
      <c r="EA84" s="580"/>
      <c r="EB84" s="580"/>
      <c r="EC84" s="580"/>
      <c r="ED84" s="580"/>
      <c r="EE84" s="580"/>
      <c r="EF84" s="580"/>
      <c r="EG84" s="436"/>
      <c r="EH84" s="436"/>
      <c r="EI84" s="436"/>
      <c r="EJ84" s="436"/>
      <c r="EK84" s="436"/>
      <c r="EL84" s="436"/>
      <c r="EM84" s="436"/>
      <c r="EN84" s="436"/>
      <c r="EO84" s="436"/>
      <c r="EP84" s="580"/>
      <c r="EQ84" s="436"/>
      <c r="ER84" s="436"/>
      <c r="ES84" s="580"/>
      <c r="ET84" s="436"/>
      <c r="EU84" s="436"/>
      <c r="EV84" s="580"/>
      <c r="EW84" s="436"/>
      <c r="EX84" s="436"/>
      <c r="EY84" s="580"/>
      <c r="EZ84" s="580"/>
      <c r="FA84" s="580"/>
      <c r="FB84" s="580"/>
      <c r="FC84" s="580"/>
      <c r="FD84" s="580"/>
      <c r="FE84" s="580"/>
      <c r="FF84" s="580"/>
      <c r="FG84" s="580"/>
      <c r="FH84" s="580"/>
      <c r="FI84" s="580"/>
      <c r="FJ84" s="580"/>
      <c r="FK84" s="580"/>
      <c r="FL84" s="580"/>
      <c r="FM84" s="580"/>
      <c r="FN84" s="580"/>
      <c r="FO84" s="580"/>
      <c r="FP84" s="580"/>
      <c r="FQ84" s="580"/>
      <c r="FR84" s="580"/>
      <c r="FS84" s="580"/>
      <c r="FT84" s="580"/>
      <c r="FU84" s="580"/>
      <c r="FV84" s="580"/>
      <c r="FW84" s="580"/>
      <c r="FX84" s="580"/>
      <c r="FY84" s="580"/>
      <c r="FZ84" s="580"/>
      <c r="GA84" s="580"/>
      <c r="GB84" s="580"/>
      <c r="GC84" s="580"/>
      <c r="GD84" s="580"/>
      <c r="GE84" s="580"/>
      <c r="GF84" s="580"/>
      <c r="GG84" s="580"/>
      <c r="GH84" s="580"/>
      <c r="GI84" s="580"/>
      <c r="GJ84" s="580"/>
      <c r="GK84" s="580"/>
      <c r="GL84" s="580"/>
      <c r="GM84" s="580"/>
      <c r="GN84" s="580"/>
      <c r="GO84" s="580"/>
      <c r="GP84" s="580"/>
      <c r="GQ84" s="580"/>
      <c r="GR84" s="580"/>
      <c r="GS84" s="580"/>
      <c r="GT84" s="580"/>
      <c r="GU84" s="580"/>
      <c r="GV84" s="580"/>
      <c r="GW84" s="1036"/>
      <c r="GX84" s="580"/>
      <c r="GY84" s="580"/>
      <c r="GZ84" s="1036"/>
      <c r="HA84" s="580"/>
      <c r="HB84" s="580"/>
      <c r="HC84" s="1070"/>
      <c r="HD84" s="580"/>
      <c r="HE84" s="580"/>
      <c r="HF84" s="580"/>
      <c r="HG84" s="580"/>
      <c r="HH84" s="580"/>
      <c r="HI84" s="580"/>
      <c r="HJ84" s="580"/>
      <c r="HK84" s="580"/>
      <c r="HL84" s="580"/>
      <c r="HM84" s="580"/>
      <c r="HN84" s="580"/>
      <c r="HO84" s="580"/>
      <c r="HP84" s="580"/>
      <c r="HQ84" s="580"/>
      <c r="HR84" s="580"/>
      <c r="HS84" s="580"/>
      <c r="HT84" s="580"/>
      <c r="HU84" s="580"/>
      <c r="HV84" s="580"/>
      <c r="HW84" s="580"/>
      <c r="HX84" s="580"/>
      <c r="HY84" s="580"/>
      <c r="HZ84" s="580"/>
      <c r="IA84" s="580"/>
      <c r="IB84" s="580"/>
    </row>
    <row r="85" spans="2:265" ht="14.25" hidden="1" customHeight="1">
      <c r="D85" s="267"/>
      <c r="E85" s="436"/>
      <c r="F85" s="946"/>
      <c r="G85" s="436"/>
      <c r="H85" s="410"/>
      <c r="I85" s="436"/>
      <c r="J85" s="410"/>
      <c r="K85" s="436"/>
      <c r="L85" s="410"/>
      <c r="M85" s="436"/>
      <c r="N85" s="410"/>
      <c r="O85" s="436"/>
      <c r="P85" s="410"/>
      <c r="Q85" s="436"/>
      <c r="R85" s="410"/>
      <c r="S85" s="436"/>
      <c r="T85" s="410"/>
      <c r="U85" s="436"/>
      <c r="V85" s="410"/>
      <c r="W85" s="436"/>
      <c r="X85" s="410"/>
      <c r="Y85" s="436"/>
      <c r="Z85" s="410"/>
      <c r="AA85" s="436"/>
      <c r="AB85" s="410"/>
      <c r="AC85" s="436"/>
      <c r="AD85" s="410"/>
      <c r="AE85" s="436"/>
      <c r="AF85" s="410"/>
      <c r="AG85" s="436"/>
      <c r="AH85" s="410"/>
      <c r="AI85" s="436"/>
      <c r="AJ85" s="410"/>
      <c r="AK85" s="436"/>
      <c r="AL85" s="410"/>
      <c r="AM85" s="436"/>
      <c r="AN85" s="410"/>
      <c r="AO85" s="436"/>
      <c r="AP85" s="410"/>
      <c r="AQ85" s="436"/>
      <c r="AR85" s="410"/>
      <c r="AS85" s="436"/>
      <c r="AT85" s="410"/>
      <c r="AU85" s="436"/>
      <c r="AV85" s="410"/>
      <c r="AW85" s="436"/>
      <c r="AX85" s="410"/>
      <c r="AY85" s="436"/>
      <c r="AZ85" s="410"/>
      <c r="BA85" s="436"/>
      <c r="BB85" s="410"/>
      <c r="BC85" s="436"/>
      <c r="BD85" s="410"/>
      <c r="BE85" s="436"/>
      <c r="BF85" s="410"/>
      <c r="BG85" s="436"/>
      <c r="BH85" s="410"/>
      <c r="BI85" s="436"/>
      <c r="BJ85" s="410"/>
      <c r="BK85" s="436"/>
      <c r="BL85" s="410"/>
      <c r="BM85" s="436"/>
      <c r="BN85" s="410"/>
      <c r="BO85" s="436"/>
      <c r="BP85" s="410"/>
      <c r="BQ85" s="436"/>
      <c r="BR85" s="410"/>
      <c r="BS85" s="436"/>
      <c r="BT85" s="410"/>
      <c r="BU85" s="436"/>
      <c r="BV85" s="410"/>
      <c r="BW85" s="436"/>
      <c r="BX85" s="410"/>
      <c r="BY85" s="436"/>
      <c r="BZ85" s="410"/>
      <c r="CA85" s="436"/>
      <c r="CB85" s="410"/>
      <c r="CC85" s="436"/>
      <c r="CD85" s="410"/>
      <c r="CE85" s="436"/>
      <c r="CF85" s="410"/>
      <c r="CG85" s="436"/>
      <c r="CH85" s="410"/>
      <c r="CI85" s="436"/>
      <c r="CJ85" s="436"/>
      <c r="CK85" s="436"/>
      <c r="CL85" s="436"/>
      <c r="CM85" s="436"/>
      <c r="CN85" s="436"/>
      <c r="CO85" s="436"/>
      <c r="CP85" s="436"/>
      <c r="CQ85" s="436"/>
      <c r="CR85" s="436"/>
      <c r="CS85" s="436"/>
      <c r="CT85" s="436"/>
      <c r="CU85" s="436"/>
      <c r="CV85" s="198"/>
      <c r="CW85" s="436"/>
      <c r="CX85" s="436"/>
      <c r="CY85" s="436"/>
      <c r="CZ85" s="436"/>
      <c r="DA85" s="436"/>
      <c r="DB85" s="436"/>
      <c r="DC85" s="436"/>
      <c r="DD85" s="436"/>
      <c r="DE85" s="436"/>
      <c r="DF85" s="580"/>
      <c r="DG85" s="436"/>
      <c r="DH85" s="436"/>
      <c r="DI85" s="580"/>
      <c r="DJ85" s="436"/>
      <c r="DK85" s="436"/>
      <c r="DL85" s="580"/>
      <c r="DM85" s="436"/>
      <c r="DN85" s="436"/>
      <c r="DO85" s="580"/>
      <c r="DP85" s="580"/>
      <c r="DQ85" s="580"/>
      <c r="DR85" s="580"/>
      <c r="DS85" s="580"/>
      <c r="DT85" s="580"/>
      <c r="DU85" s="580"/>
      <c r="DV85" s="580"/>
      <c r="DW85" s="580"/>
      <c r="DX85" s="580"/>
      <c r="DY85" s="580"/>
      <c r="DZ85" s="580"/>
      <c r="EA85" s="580"/>
      <c r="EB85" s="580"/>
      <c r="EC85" s="580"/>
      <c r="ED85" s="580"/>
      <c r="EE85" s="580"/>
      <c r="EF85" s="580"/>
      <c r="EG85" s="436"/>
      <c r="EH85" s="436"/>
      <c r="EI85" s="436"/>
      <c r="EJ85" s="436"/>
      <c r="EK85" s="436"/>
      <c r="EL85" s="436"/>
      <c r="EM85" s="436"/>
      <c r="EN85" s="436"/>
      <c r="EO85" s="436"/>
      <c r="EP85" s="580"/>
      <c r="EQ85" s="436"/>
      <c r="ER85" s="436"/>
      <c r="ES85" s="580"/>
      <c r="ET85" s="436"/>
      <c r="EU85" s="436"/>
      <c r="EV85" s="580"/>
      <c r="EW85" s="436"/>
      <c r="EX85" s="436"/>
      <c r="EY85" s="580"/>
      <c r="EZ85" s="580"/>
      <c r="FA85" s="580"/>
      <c r="FB85" s="580"/>
      <c r="FC85" s="580"/>
      <c r="FD85" s="580"/>
      <c r="FE85" s="580"/>
      <c r="FF85" s="580"/>
      <c r="FG85" s="580"/>
      <c r="FH85" s="580"/>
      <c r="FI85" s="580"/>
      <c r="FJ85" s="580"/>
      <c r="FK85" s="580"/>
      <c r="FL85" s="580"/>
      <c r="FM85" s="580"/>
      <c r="FN85" s="580"/>
      <c r="FO85" s="580"/>
      <c r="FP85" s="580"/>
      <c r="FQ85" s="580"/>
      <c r="FR85" s="580"/>
      <c r="FS85" s="580"/>
      <c r="FT85" s="580"/>
      <c r="FU85" s="580"/>
      <c r="FV85" s="580"/>
      <c r="FW85" s="580"/>
      <c r="FX85" s="580"/>
      <c r="FY85" s="580"/>
      <c r="FZ85" s="580"/>
      <c r="GA85" s="580"/>
      <c r="GB85" s="580"/>
      <c r="GC85" s="580"/>
      <c r="GD85" s="580"/>
      <c r="GE85" s="580"/>
      <c r="GF85" s="580"/>
      <c r="GG85" s="580"/>
      <c r="GH85" s="580"/>
      <c r="GI85" s="580"/>
      <c r="GJ85" s="580"/>
      <c r="GK85" s="580"/>
      <c r="GL85" s="580"/>
      <c r="GM85" s="580"/>
      <c r="GN85" s="580"/>
      <c r="GO85" s="580"/>
      <c r="GP85" s="580"/>
      <c r="GQ85" s="580"/>
      <c r="GR85" s="580"/>
      <c r="GS85" s="580"/>
      <c r="GT85" s="580"/>
      <c r="GU85" s="580"/>
      <c r="GV85" s="580"/>
      <c r="GW85" s="1036"/>
      <c r="GX85" s="580"/>
      <c r="GY85" s="580"/>
      <c r="GZ85" s="1036"/>
      <c r="HA85" s="580"/>
      <c r="HB85" s="580"/>
      <c r="HC85" s="1070"/>
      <c r="HD85" s="580"/>
      <c r="HE85" s="580"/>
      <c r="HF85" s="580"/>
      <c r="HG85" s="580"/>
      <c r="HH85" s="580"/>
      <c r="HI85" s="580"/>
      <c r="HJ85" s="580"/>
      <c r="HK85" s="580"/>
      <c r="HL85" s="580"/>
      <c r="HM85" s="580"/>
      <c r="HN85" s="580"/>
      <c r="HO85" s="580"/>
      <c r="HP85" s="580"/>
      <c r="HQ85" s="580"/>
      <c r="HR85" s="580"/>
      <c r="HS85" s="580"/>
      <c r="HT85" s="580"/>
      <c r="HU85" s="580"/>
      <c r="HV85" s="580"/>
      <c r="HW85" s="580"/>
      <c r="HX85" s="580"/>
      <c r="HY85" s="580"/>
      <c r="HZ85" s="580"/>
      <c r="IA85" s="580"/>
      <c r="IB85" s="580"/>
    </row>
    <row r="86" spans="2:265" ht="14.25" customHeight="1">
      <c r="D86" s="267"/>
      <c r="E86" s="436"/>
      <c r="F86" s="946"/>
      <c r="G86" s="436"/>
      <c r="H86" s="410"/>
      <c r="I86" s="436"/>
      <c r="J86" s="410"/>
      <c r="K86" s="436"/>
      <c r="L86" s="410"/>
      <c r="M86" s="436"/>
      <c r="N86" s="410"/>
      <c r="O86" s="436"/>
      <c r="P86" s="410"/>
      <c r="Q86" s="436"/>
      <c r="R86" s="410"/>
      <c r="S86" s="436"/>
      <c r="T86" s="410"/>
      <c r="U86" s="436"/>
      <c r="V86" s="410"/>
      <c r="W86" s="436"/>
      <c r="X86" s="410"/>
      <c r="Y86" s="436"/>
      <c r="Z86" s="410"/>
      <c r="AA86" s="436"/>
      <c r="AB86" s="410"/>
      <c r="AC86" s="436"/>
      <c r="AD86" s="410"/>
      <c r="AE86" s="436"/>
      <c r="AF86" s="410"/>
      <c r="AG86" s="436"/>
      <c r="AH86" s="410"/>
      <c r="AI86" s="436"/>
      <c r="AJ86" s="410"/>
      <c r="AK86" s="436"/>
      <c r="AL86" s="410"/>
      <c r="AM86" s="436"/>
      <c r="AN86" s="410"/>
      <c r="AO86" s="436"/>
      <c r="AP86" s="410"/>
      <c r="AQ86" s="436"/>
      <c r="AR86" s="410"/>
      <c r="AS86" s="436"/>
      <c r="AT86" s="410"/>
      <c r="AU86" s="436"/>
      <c r="AV86" s="410"/>
      <c r="AW86" s="436"/>
      <c r="AX86" s="410"/>
      <c r="AY86" s="436"/>
      <c r="AZ86" s="410"/>
      <c r="BA86" s="436"/>
      <c r="BB86" s="410"/>
      <c r="BC86" s="436"/>
      <c r="BD86" s="410"/>
      <c r="BE86" s="436"/>
      <c r="BF86" s="410"/>
      <c r="BG86" s="436"/>
      <c r="BH86" s="410"/>
      <c r="BI86" s="436"/>
      <c r="BJ86" s="410"/>
      <c r="BK86" s="436"/>
      <c r="BL86" s="410"/>
      <c r="BM86" s="436"/>
      <c r="BN86" s="410"/>
      <c r="BO86" s="436"/>
      <c r="BP86" s="410"/>
      <c r="BQ86" s="436"/>
      <c r="BR86" s="410"/>
      <c r="BS86" s="436"/>
      <c r="BT86" s="410"/>
      <c r="BU86" s="436"/>
      <c r="BV86" s="410"/>
      <c r="BW86" s="436"/>
      <c r="BX86" s="410"/>
      <c r="BY86" s="436"/>
      <c r="BZ86" s="410"/>
      <c r="CA86" s="436"/>
      <c r="CB86" s="410"/>
      <c r="CC86" s="436"/>
      <c r="CD86" s="410"/>
      <c r="CE86" s="436"/>
      <c r="CF86" s="410"/>
      <c r="CG86" s="436"/>
      <c r="CH86" s="410"/>
      <c r="CI86" s="436"/>
      <c r="CJ86" s="436"/>
      <c r="CK86" s="436"/>
      <c r="CL86" s="436"/>
      <c r="CM86" s="436"/>
      <c r="CN86" s="436"/>
      <c r="CO86" s="436"/>
      <c r="CP86" s="436"/>
      <c r="CQ86" s="436"/>
      <c r="CR86" s="436"/>
      <c r="CS86" s="436"/>
      <c r="CT86" s="436"/>
      <c r="CU86" s="436"/>
      <c r="CV86" s="198"/>
      <c r="CW86" s="436"/>
      <c r="CX86" s="436"/>
      <c r="CY86" s="436"/>
      <c r="CZ86" s="436"/>
      <c r="DA86" s="436"/>
      <c r="DB86" s="436"/>
      <c r="DC86" s="436"/>
      <c r="DD86" s="436"/>
      <c r="DE86" s="436"/>
      <c r="DF86" s="580"/>
      <c r="DG86" s="436"/>
      <c r="DH86" s="436"/>
      <c r="DI86" s="580"/>
      <c r="DJ86" s="436"/>
      <c r="DK86" s="436"/>
      <c r="DL86" s="580"/>
      <c r="DM86" s="436"/>
      <c r="DN86" s="436"/>
      <c r="DO86" s="580"/>
      <c r="DP86" s="580"/>
      <c r="DQ86" s="580"/>
      <c r="DR86" s="580"/>
      <c r="DS86" s="580"/>
      <c r="DT86" s="580"/>
      <c r="DU86" s="580"/>
      <c r="DV86" s="580"/>
      <c r="DW86" s="580"/>
      <c r="DX86" s="580"/>
      <c r="DY86" s="580"/>
      <c r="DZ86" s="580"/>
      <c r="EA86" s="580"/>
      <c r="EB86" s="580"/>
      <c r="EC86" s="580"/>
      <c r="ED86" s="580"/>
      <c r="EE86" s="580"/>
      <c r="EF86" s="580"/>
      <c r="EG86" s="436"/>
      <c r="EH86" s="436"/>
      <c r="EI86" s="436"/>
      <c r="EJ86" s="436"/>
      <c r="EK86" s="436"/>
      <c r="EL86" s="436"/>
      <c r="EM86" s="436"/>
      <c r="EN86" s="436"/>
      <c r="EO86" s="436"/>
      <c r="EP86" s="580"/>
      <c r="EQ86" s="436"/>
      <c r="ER86" s="436"/>
      <c r="ES86" s="580"/>
      <c r="ET86" s="436"/>
      <c r="EU86" s="436"/>
      <c r="EV86" s="580"/>
      <c r="EW86" s="436"/>
      <c r="EX86" s="436"/>
      <c r="EY86" s="580"/>
      <c r="EZ86" s="580"/>
      <c r="FA86" s="580"/>
      <c r="FB86" s="580"/>
      <c r="FC86" s="580"/>
      <c r="FD86" s="580"/>
      <c r="FE86" s="580"/>
      <c r="FF86" s="580"/>
      <c r="FG86" s="580"/>
      <c r="FH86" s="580"/>
      <c r="FI86" s="580"/>
      <c r="FJ86" s="580"/>
      <c r="FK86" s="580"/>
      <c r="FL86" s="580"/>
      <c r="FM86" s="580"/>
      <c r="FN86" s="580"/>
      <c r="FO86" s="580"/>
      <c r="FP86" s="580"/>
      <c r="FQ86" s="580"/>
      <c r="FR86" s="580"/>
      <c r="FS86" s="580"/>
      <c r="FT86" s="580"/>
      <c r="FU86" s="580"/>
      <c r="FV86" s="580"/>
      <c r="FW86" s="580"/>
      <c r="FX86" s="580"/>
      <c r="FY86" s="580"/>
      <c r="FZ86" s="580"/>
      <c r="GA86" s="580"/>
      <c r="GB86" s="580"/>
      <c r="GC86" s="580"/>
      <c r="GD86" s="580"/>
      <c r="GE86" s="580"/>
      <c r="GF86" s="580"/>
      <c r="GG86" s="580"/>
      <c r="GH86" s="580"/>
      <c r="GI86" s="580"/>
      <c r="GJ86" s="580"/>
      <c r="GK86" s="580"/>
      <c r="GL86" s="580"/>
      <c r="GM86" s="580"/>
      <c r="GN86" s="580"/>
      <c r="GO86" s="580"/>
      <c r="GP86" s="580"/>
      <c r="GQ86" s="580"/>
      <c r="GR86" s="580"/>
      <c r="GS86" s="580"/>
      <c r="GT86" s="580"/>
      <c r="GU86" s="580"/>
      <c r="GV86" s="580"/>
      <c r="GW86" s="1036"/>
      <c r="GX86" s="580"/>
      <c r="GY86" s="580"/>
      <c r="GZ86" s="1036"/>
      <c r="HA86" s="580"/>
      <c r="HB86" s="580"/>
      <c r="HC86" s="1070"/>
      <c r="HD86" s="580"/>
      <c r="HE86" s="580"/>
      <c r="HF86" s="580"/>
      <c r="HG86" s="580"/>
      <c r="HH86" s="580"/>
      <c r="HI86" s="580"/>
      <c r="HJ86" s="580"/>
      <c r="HK86" s="580"/>
      <c r="HL86" s="580"/>
      <c r="HM86" s="580"/>
      <c r="HN86" s="580"/>
      <c r="HO86" s="580"/>
      <c r="HP86" s="580"/>
      <c r="HQ86" s="580"/>
      <c r="HR86" s="580"/>
      <c r="HS86" s="580"/>
      <c r="HT86" s="580"/>
      <c r="HU86" s="580"/>
      <c r="HV86" s="580"/>
      <c r="HW86" s="580"/>
      <c r="HX86" s="580"/>
      <c r="HY86" s="580"/>
      <c r="HZ86" s="580"/>
      <c r="IA86" s="580"/>
      <c r="IB86" s="580"/>
    </row>
    <row r="87" spans="2:265" ht="14.25" customHeight="1">
      <c r="B87" s="212" t="s">
        <v>771</v>
      </c>
      <c r="D87" s="267"/>
      <c r="E87" s="436"/>
      <c r="F87" s="946"/>
      <c r="G87" s="436"/>
      <c r="H87" s="410"/>
      <c r="I87" s="436"/>
      <c r="J87" s="410"/>
      <c r="K87" s="436"/>
      <c r="L87" s="410"/>
      <c r="M87" s="436"/>
      <c r="N87" s="410"/>
      <c r="O87" s="436"/>
      <c r="P87" s="410"/>
      <c r="Q87" s="436"/>
      <c r="R87" s="410"/>
      <c r="S87" s="436"/>
      <c r="T87" s="410"/>
      <c r="U87" s="436"/>
      <c r="V87" s="410"/>
      <c r="W87" s="436"/>
      <c r="X87" s="410"/>
      <c r="Y87" s="436"/>
      <c r="Z87" s="410"/>
      <c r="AA87" s="436"/>
      <c r="AB87" s="410"/>
      <c r="AC87" s="436"/>
      <c r="AD87" s="410"/>
      <c r="AE87" s="436"/>
      <c r="AF87" s="410"/>
      <c r="AG87" s="436"/>
      <c r="AH87" s="410"/>
      <c r="AI87" s="436"/>
      <c r="AJ87" s="410"/>
      <c r="AK87" s="436"/>
      <c r="AL87" s="410"/>
      <c r="AM87" s="436"/>
      <c r="AN87" s="410"/>
      <c r="AO87" s="436"/>
      <c r="AP87" s="410"/>
      <c r="AQ87" s="436"/>
      <c r="AR87" s="410"/>
      <c r="AS87" s="436"/>
      <c r="AT87" s="410"/>
      <c r="AU87" s="436"/>
      <c r="AV87" s="410"/>
      <c r="AW87" s="436"/>
      <c r="AX87" s="410"/>
      <c r="AY87" s="436"/>
      <c r="AZ87" s="410"/>
      <c r="BA87" s="436"/>
      <c r="BB87" s="410"/>
      <c r="BC87" s="436"/>
      <c r="BD87" s="410"/>
      <c r="BE87" s="436"/>
      <c r="BF87" s="410"/>
      <c r="BG87" s="436"/>
      <c r="BH87" s="410"/>
      <c r="BI87" s="436"/>
      <c r="BJ87" s="410"/>
      <c r="BK87" s="436"/>
      <c r="BL87" s="410"/>
      <c r="BM87" s="436"/>
      <c r="BN87" s="410"/>
      <c r="BO87" s="436"/>
      <c r="BP87" s="410"/>
      <c r="BQ87" s="436"/>
      <c r="BR87" s="410"/>
      <c r="BS87" s="436"/>
      <c r="BT87" s="410"/>
      <c r="BU87" s="436"/>
      <c r="BV87" s="410"/>
      <c r="BW87" s="436"/>
      <c r="BX87" s="410"/>
      <c r="BY87" s="436"/>
      <c r="BZ87" s="410"/>
      <c r="CA87" s="436"/>
      <c r="CB87" s="410"/>
      <c r="CC87" s="436"/>
      <c r="CD87" s="410"/>
      <c r="CE87" s="436"/>
      <c r="CF87" s="410"/>
      <c r="CG87" s="436"/>
      <c r="CH87" s="410"/>
      <c r="CI87" s="436"/>
      <c r="CJ87" s="436"/>
      <c r="CK87" s="436"/>
      <c r="CL87" s="436"/>
      <c r="CM87" s="436"/>
      <c r="CN87" s="436"/>
      <c r="CO87" s="436"/>
      <c r="CP87" s="436"/>
      <c r="CQ87" s="436"/>
      <c r="CR87" s="436"/>
      <c r="CS87" s="436"/>
      <c r="CT87" s="436"/>
      <c r="CU87" s="436"/>
      <c r="CV87" s="198"/>
      <c r="CW87" s="436"/>
      <c r="CX87" s="436"/>
      <c r="CY87" s="436"/>
      <c r="CZ87" s="436"/>
      <c r="DA87" s="436"/>
      <c r="DB87" s="436"/>
      <c r="DC87" s="436"/>
      <c r="DD87" s="436"/>
      <c r="DE87" s="436"/>
      <c r="DF87" s="580"/>
      <c r="DG87" s="436"/>
      <c r="DH87" s="436"/>
      <c r="DI87" s="580"/>
      <c r="DJ87" s="436"/>
      <c r="DK87" s="436"/>
      <c r="DL87" s="580"/>
      <c r="DM87" s="436"/>
      <c r="DN87" s="436"/>
      <c r="DO87" s="580"/>
      <c r="DP87" s="580"/>
      <c r="DQ87" s="580"/>
      <c r="DR87" s="580"/>
      <c r="DS87" s="580"/>
      <c r="DT87" s="580"/>
      <c r="DU87" s="580"/>
      <c r="DV87" s="580"/>
      <c r="DW87" s="580"/>
      <c r="DX87" s="580"/>
      <c r="DY87" s="580"/>
      <c r="DZ87" s="580"/>
      <c r="EA87" s="580"/>
      <c r="EB87" s="580"/>
      <c r="EC87" s="580"/>
      <c r="ED87" s="580"/>
      <c r="EE87" s="580"/>
      <c r="EF87" s="580"/>
      <c r="EG87" s="436"/>
      <c r="EH87" s="436"/>
      <c r="EI87" s="436"/>
      <c r="EJ87" s="436"/>
      <c r="EK87" s="436"/>
      <c r="EL87" s="436"/>
      <c r="EM87" s="436"/>
      <c r="EN87" s="436"/>
      <c r="EO87" s="436"/>
      <c r="EP87" s="580"/>
      <c r="EQ87" s="436"/>
      <c r="ER87" s="436"/>
      <c r="ES87" s="580"/>
      <c r="ET87" s="436"/>
      <c r="EU87" s="436"/>
      <c r="EV87" s="580"/>
      <c r="EW87" s="436"/>
      <c r="EX87" s="436"/>
      <c r="EY87" s="580"/>
      <c r="EZ87" s="580"/>
      <c r="FA87" s="580"/>
      <c r="FB87" s="580"/>
      <c r="FC87" s="580"/>
      <c r="FD87" s="580"/>
      <c r="FE87" s="580"/>
      <c r="FF87" s="580"/>
      <c r="FG87" s="580"/>
      <c r="FH87" s="580"/>
      <c r="FI87" s="580"/>
      <c r="FJ87" s="580"/>
      <c r="FK87" s="580"/>
      <c r="FL87" s="580"/>
      <c r="FM87" s="580"/>
      <c r="FN87" s="580"/>
      <c r="FO87" s="580"/>
      <c r="FP87" s="580"/>
      <c r="FQ87" s="580"/>
      <c r="FR87" s="580"/>
      <c r="FS87" s="580"/>
      <c r="FT87" s="580"/>
      <c r="FU87" s="580"/>
      <c r="FV87" s="580"/>
      <c r="FW87" s="580"/>
      <c r="FX87" s="580"/>
      <c r="FY87" s="580"/>
      <c r="FZ87" s="580"/>
      <c r="GA87" s="580"/>
      <c r="GB87" s="580"/>
      <c r="GC87" s="580"/>
      <c r="GD87" s="580"/>
      <c r="GE87" s="580"/>
      <c r="GF87" s="580"/>
      <c r="GG87" s="580"/>
      <c r="GH87" s="580"/>
      <c r="GI87" s="580"/>
      <c r="GJ87" s="580"/>
      <c r="GK87" s="580"/>
      <c r="GL87" s="580"/>
      <c r="GM87" s="580"/>
      <c r="GN87" s="580"/>
      <c r="GO87" s="580"/>
      <c r="GP87" s="580"/>
      <c r="GQ87" s="580"/>
      <c r="GR87" s="580"/>
      <c r="GS87" s="580"/>
      <c r="GT87" s="580"/>
      <c r="GU87" s="580"/>
      <c r="GV87" s="580"/>
      <c r="GW87" s="1036"/>
      <c r="GX87" s="580"/>
      <c r="GY87" s="580"/>
      <c r="GZ87" s="1036"/>
      <c r="HA87" s="580"/>
      <c r="HB87" s="580"/>
      <c r="HC87" s="580"/>
      <c r="HD87" s="580"/>
      <c r="HE87" s="580"/>
      <c r="HF87" s="580"/>
      <c r="HG87" s="580"/>
      <c r="HH87" s="580"/>
      <c r="HI87" s="580"/>
      <c r="HJ87" s="580"/>
      <c r="HK87" s="580"/>
      <c r="HL87" s="580"/>
      <c r="HM87" s="580"/>
      <c r="HN87" s="580"/>
      <c r="HO87" s="580"/>
      <c r="HP87" s="580"/>
      <c r="HQ87" s="580"/>
      <c r="HR87" s="580"/>
      <c r="HS87" s="580"/>
      <c r="HT87" s="580"/>
      <c r="HU87" s="580"/>
      <c r="HV87" s="580"/>
      <c r="HW87" s="580"/>
      <c r="HX87" s="580"/>
      <c r="HY87" s="580"/>
      <c r="HZ87" s="580"/>
      <c r="IA87" s="580"/>
      <c r="IB87" s="580"/>
    </row>
    <row r="88" spans="2:265" ht="14.25" customHeight="1">
      <c r="B88" s="951" t="s">
        <v>792</v>
      </c>
      <c r="D88" s="267"/>
      <c r="E88" s="436"/>
      <c r="F88" s="946"/>
      <c r="G88" s="436"/>
      <c r="H88" s="410"/>
      <c r="I88" s="436"/>
      <c r="J88" s="410"/>
      <c r="K88" s="436"/>
      <c r="L88" s="410"/>
      <c r="M88" s="436"/>
      <c r="N88" s="410"/>
      <c r="O88" s="436"/>
      <c r="P88" s="410"/>
      <c r="Q88" s="436"/>
      <c r="R88" s="410"/>
      <c r="S88" s="436"/>
      <c r="T88" s="410"/>
      <c r="U88" s="436"/>
      <c r="V88" s="410"/>
      <c r="W88" s="436"/>
      <c r="X88" s="410"/>
      <c r="Y88" s="436"/>
      <c r="Z88" s="410"/>
      <c r="AA88" s="436"/>
      <c r="AB88" s="410"/>
      <c r="AC88" s="436"/>
      <c r="AD88" s="410"/>
      <c r="AE88" s="436"/>
      <c r="AF88" s="410"/>
      <c r="AG88" s="436"/>
      <c r="AH88" s="410"/>
      <c r="AI88" s="436"/>
      <c r="AJ88" s="410"/>
      <c r="AK88" s="436"/>
      <c r="AL88" s="410"/>
      <c r="AM88" s="436"/>
      <c r="AN88" s="410"/>
      <c r="AO88" s="436"/>
      <c r="AP88" s="410"/>
      <c r="AQ88" s="436"/>
      <c r="AR88" s="410"/>
      <c r="AS88" s="436"/>
      <c r="AT88" s="410"/>
      <c r="AU88" s="436"/>
      <c r="AV88" s="410"/>
      <c r="AW88" s="436"/>
      <c r="AX88" s="410"/>
      <c r="AY88" s="436"/>
      <c r="AZ88" s="410"/>
      <c r="BA88" s="436"/>
      <c r="BB88" s="410"/>
      <c r="BC88" s="436"/>
      <c r="BD88" s="410"/>
      <c r="BE88" s="436"/>
      <c r="BF88" s="410"/>
      <c r="BG88" s="436"/>
      <c r="BH88" s="410"/>
      <c r="BI88" s="436"/>
      <c r="BJ88" s="410"/>
      <c r="BK88" s="436"/>
      <c r="BL88" s="410"/>
      <c r="BM88" s="436"/>
      <c r="BN88" s="410"/>
      <c r="BO88" s="436"/>
      <c r="BP88" s="410"/>
      <c r="BQ88" s="436"/>
      <c r="BR88" s="410"/>
      <c r="BS88" s="436"/>
      <c r="BT88" s="410"/>
      <c r="BU88" s="436"/>
      <c r="BV88" s="410"/>
      <c r="BW88" s="436"/>
      <c r="BX88" s="410"/>
      <c r="BY88" s="436"/>
      <c r="BZ88" s="410"/>
      <c r="CA88" s="436"/>
      <c r="CB88" s="410"/>
      <c r="CC88" s="436"/>
      <c r="CD88" s="410"/>
      <c r="CE88" s="436"/>
      <c r="CF88" s="410"/>
      <c r="CG88" s="436"/>
      <c r="CH88" s="410"/>
      <c r="CI88" s="436"/>
      <c r="CJ88" s="436"/>
      <c r="CK88" s="436"/>
      <c r="CL88" s="436"/>
      <c r="CM88" s="436"/>
      <c r="CN88" s="436"/>
      <c r="CO88" s="436"/>
      <c r="CP88" s="436"/>
      <c r="CQ88" s="436"/>
      <c r="CR88" s="436"/>
      <c r="CS88" s="436"/>
      <c r="CT88" s="436"/>
      <c r="CU88" s="436"/>
      <c r="CV88" s="198"/>
      <c r="CW88" s="436"/>
      <c r="CX88" s="436"/>
      <c r="CY88" s="436"/>
      <c r="CZ88" s="436"/>
      <c r="DA88" s="436"/>
      <c r="DB88" s="436"/>
      <c r="DC88" s="436"/>
      <c r="DD88" s="436"/>
      <c r="DE88" s="436"/>
      <c r="DF88" s="580"/>
      <c r="DG88" s="436"/>
      <c r="DH88" s="436"/>
      <c r="DI88" s="580"/>
      <c r="DJ88" s="436"/>
      <c r="DK88" s="436"/>
      <c r="DL88" s="580"/>
      <c r="DM88" s="436"/>
      <c r="DN88" s="436"/>
      <c r="DO88" s="580"/>
      <c r="DP88" s="580"/>
      <c r="DQ88" s="580"/>
      <c r="DR88" s="580"/>
      <c r="DS88" s="580"/>
      <c r="DT88" s="580"/>
      <c r="DU88" s="580"/>
      <c r="DV88" s="580"/>
      <c r="DW88" s="580"/>
      <c r="DX88" s="580"/>
      <c r="DY88" s="580"/>
      <c r="DZ88" s="580"/>
      <c r="EA88" s="580"/>
      <c r="EB88" s="580"/>
      <c r="EC88" s="580"/>
      <c r="ED88" s="580"/>
      <c r="EE88" s="580"/>
      <c r="EF88" s="580"/>
      <c r="EG88" s="436"/>
      <c r="EH88" s="436"/>
      <c r="EI88" s="436"/>
      <c r="EJ88" s="436"/>
      <c r="EK88" s="436"/>
      <c r="EL88" s="436"/>
      <c r="EM88" s="436"/>
      <c r="EN88" s="436"/>
      <c r="EO88" s="436"/>
      <c r="EP88" s="580"/>
      <c r="EQ88" s="436"/>
      <c r="ER88" s="436"/>
      <c r="ES88" s="580"/>
      <c r="ET88" s="436"/>
      <c r="EU88" s="436"/>
      <c r="EV88" s="580"/>
      <c r="EW88" s="436"/>
      <c r="EX88" s="436"/>
      <c r="EY88" s="580"/>
      <c r="EZ88" s="580"/>
      <c r="FA88" s="580"/>
      <c r="FB88" s="580"/>
      <c r="FC88" s="580"/>
      <c r="FD88" s="580"/>
      <c r="FE88" s="580"/>
      <c r="FF88" s="580"/>
      <c r="FG88" s="580"/>
      <c r="FH88" s="580"/>
      <c r="FI88" s="580"/>
      <c r="FJ88" s="580"/>
      <c r="FK88" s="580"/>
      <c r="FL88" s="580"/>
      <c r="FM88" s="580"/>
      <c r="FN88" s="580"/>
      <c r="FO88" s="580"/>
      <c r="FP88" s="580"/>
      <c r="FQ88" s="580"/>
      <c r="FR88" s="580"/>
      <c r="FS88" s="580"/>
      <c r="FT88" s="580"/>
      <c r="FU88" s="580"/>
      <c r="FV88" s="580"/>
      <c r="FW88" s="580"/>
      <c r="FX88" s="580"/>
      <c r="FY88" s="580"/>
      <c r="FZ88" s="580"/>
      <c r="GA88" s="580"/>
      <c r="GB88" s="580"/>
      <c r="GC88" s="580"/>
      <c r="GD88" s="580"/>
      <c r="GE88" s="580"/>
      <c r="GF88" s="580"/>
      <c r="GG88" s="580"/>
      <c r="GH88" s="580"/>
      <c r="GI88" s="580"/>
      <c r="GJ88" s="580"/>
      <c r="GK88" s="580"/>
      <c r="GL88" s="580"/>
      <c r="GM88" s="580"/>
      <c r="GN88" s="580"/>
      <c r="GO88" s="580"/>
      <c r="GP88" s="580"/>
      <c r="GQ88" s="580"/>
      <c r="GR88" s="580"/>
      <c r="GS88" s="580"/>
      <c r="GT88" s="580"/>
      <c r="GU88" s="580"/>
      <c r="GV88" s="580"/>
      <c r="GW88" s="1036"/>
      <c r="GX88" s="580"/>
      <c r="GY88" s="580"/>
      <c r="GZ88" s="1036"/>
      <c r="HA88" s="580"/>
      <c r="HB88" s="580"/>
      <c r="HC88" s="580"/>
      <c r="HD88" s="580"/>
      <c r="HE88" s="580"/>
      <c r="HF88" s="580"/>
      <c r="HG88" s="580"/>
      <c r="HH88" s="580"/>
      <c r="HI88" s="580"/>
      <c r="HJ88" s="580"/>
      <c r="HK88" s="580"/>
      <c r="HL88" s="580"/>
      <c r="HM88" s="580"/>
      <c r="HN88" s="580"/>
      <c r="HO88" s="580"/>
      <c r="HP88" s="580"/>
      <c r="HQ88" s="580"/>
      <c r="HR88" s="580"/>
      <c r="HS88" s="580"/>
      <c r="HT88" s="580"/>
      <c r="HU88" s="580"/>
      <c r="HV88" s="580"/>
      <c r="HW88" s="580"/>
      <c r="HX88" s="580"/>
      <c r="HY88" s="580"/>
      <c r="HZ88" s="580"/>
      <c r="IA88" s="580"/>
      <c r="IB88" s="580"/>
    </row>
    <row r="89" spans="2:265" ht="14.25" customHeight="1">
      <c r="B89" s="415"/>
      <c r="D89" s="267"/>
      <c r="E89" s="436"/>
      <c r="F89" s="946"/>
      <c r="G89" s="436"/>
      <c r="H89" s="410"/>
      <c r="I89" s="436"/>
      <c r="J89" s="410"/>
      <c r="K89" s="436"/>
      <c r="L89" s="410"/>
      <c r="M89" s="436"/>
      <c r="N89" s="410"/>
      <c r="O89" s="436"/>
      <c r="P89" s="410"/>
      <c r="Q89" s="436"/>
      <c r="R89" s="410"/>
      <c r="S89" s="436"/>
      <c r="T89" s="410"/>
      <c r="U89" s="436"/>
      <c r="V89" s="410"/>
      <c r="W89" s="436"/>
      <c r="X89" s="410"/>
      <c r="Y89" s="436"/>
      <c r="Z89" s="410"/>
      <c r="AA89" s="436"/>
      <c r="AB89" s="410"/>
      <c r="AC89" s="436"/>
      <c r="AD89" s="410"/>
      <c r="AE89" s="436"/>
      <c r="AF89" s="410"/>
      <c r="AG89" s="436"/>
      <c r="AH89" s="410"/>
      <c r="AI89" s="436"/>
      <c r="AJ89" s="410"/>
      <c r="AK89" s="436"/>
      <c r="AL89" s="410"/>
      <c r="AM89" s="436"/>
      <c r="AN89" s="410"/>
      <c r="AO89" s="436"/>
      <c r="AP89" s="410"/>
      <c r="AQ89" s="436"/>
      <c r="AR89" s="410"/>
      <c r="AS89" s="436"/>
      <c r="AT89" s="410"/>
      <c r="AU89" s="436"/>
      <c r="AV89" s="410"/>
      <c r="AW89" s="436"/>
      <c r="AX89" s="410"/>
      <c r="AY89" s="436"/>
      <c r="AZ89" s="410"/>
      <c r="BA89" s="436"/>
      <c r="BB89" s="410"/>
      <c r="BC89" s="436"/>
      <c r="BD89" s="410"/>
      <c r="BE89" s="436"/>
      <c r="BF89" s="410"/>
      <c r="BG89" s="436"/>
      <c r="BH89" s="410"/>
      <c r="BI89" s="436"/>
      <c r="BJ89" s="410"/>
      <c r="BK89" s="436"/>
      <c r="BL89" s="410"/>
      <c r="BM89" s="436"/>
      <c r="BN89" s="410"/>
      <c r="BO89" s="436"/>
      <c r="BP89" s="410"/>
      <c r="BQ89" s="436"/>
      <c r="BR89" s="410"/>
      <c r="BS89" s="436"/>
      <c r="BT89" s="410"/>
      <c r="BU89" s="436"/>
      <c r="BV89" s="410"/>
      <c r="BW89" s="436"/>
      <c r="BX89" s="410"/>
      <c r="BY89" s="436"/>
      <c r="BZ89" s="410"/>
      <c r="CA89" s="436"/>
      <c r="CB89" s="410"/>
      <c r="CC89" s="436"/>
      <c r="CD89" s="410"/>
      <c r="CE89" s="436"/>
      <c r="CF89" s="410"/>
      <c r="CG89" s="436"/>
      <c r="CH89" s="410"/>
      <c r="CI89" s="436"/>
      <c r="CJ89" s="436"/>
      <c r="CK89" s="436"/>
      <c r="CL89" s="436"/>
      <c r="CM89" s="436"/>
      <c r="CN89" s="436"/>
      <c r="CO89" s="436"/>
      <c r="CP89" s="436"/>
      <c r="CQ89" s="436"/>
      <c r="CR89" s="436"/>
      <c r="CS89" s="436"/>
      <c r="CT89" s="436"/>
      <c r="CU89" s="436"/>
      <c r="CV89" s="198"/>
      <c r="CW89" s="436"/>
      <c r="CX89" s="436"/>
      <c r="CY89" s="436"/>
      <c r="CZ89" s="436"/>
      <c r="DA89" s="436"/>
      <c r="DB89" s="436"/>
      <c r="DC89" s="436"/>
      <c r="DD89" s="436"/>
      <c r="DE89" s="436"/>
      <c r="DF89" s="580"/>
      <c r="DG89" s="436"/>
      <c r="DH89" s="436"/>
      <c r="DI89" s="580"/>
      <c r="DJ89" s="436"/>
      <c r="DK89" s="436"/>
      <c r="DL89" s="580"/>
      <c r="DM89" s="436"/>
      <c r="DN89" s="436"/>
      <c r="DO89" s="580"/>
      <c r="DP89" s="580"/>
      <c r="DQ89" s="580"/>
      <c r="DR89" s="580"/>
      <c r="DS89" s="580"/>
      <c r="DT89" s="580"/>
      <c r="DU89" s="580"/>
      <c r="DV89" s="580"/>
      <c r="DW89" s="580"/>
      <c r="DX89" s="580"/>
      <c r="DY89" s="580"/>
      <c r="DZ89" s="580"/>
      <c r="EA89" s="580"/>
      <c r="EB89" s="580"/>
      <c r="EC89" s="580"/>
      <c r="ED89" s="580"/>
      <c r="EE89" s="580"/>
      <c r="EF89" s="580"/>
      <c r="EG89" s="436"/>
      <c r="EH89" s="436"/>
      <c r="EI89" s="436"/>
      <c r="EJ89" s="436"/>
      <c r="EK89" s="436"/>
      <c r="EL89" s="436"/>
      <c r="EM89" s="436"/>
      <c r="EN89" s="436"/>
      <c r="EO89" s="436"/>
      <c r="EP89" s="580"/>
      <c r="EQ89" s="436"/>
      <c r="ER89" s="436"/>
      <c r="ES89" s="580"/>
      <c r="ET89" s="436"/>
      <c r="EU89" s="436"/>
      <c r="EV89" s="580"/>
      <c r="EW89" s="436"/>
      <c r="EX89" s="436"/>
      <c r="EY89" s="580"/>
      <c r="EZ89" s="580"/>
      <c r="FA89" s="580"/>
      <c r="FB89" s="580"/>
      <c r="FC89" s="580"/>
      <c r="FD89" s="580"/>
      <c r="FE89" s="580"/>
      <c r="FF89" s="580"/>
      <c r="FG89" s="580"/>
      <c r="FH89" s="580"/>
      <c r="FI89" s="580"/>
      <c r="FJ89" s="580"/>
      <c r="FK89" s="580"/>
      <c r="FL89" s="580"/>
      <c r="FM89" s="580"/>
      <c r="FN89" s="580"/>
      <c r="FO89" s="580"/>
      <c r="FP89" s="580"/>
      <c r="FQ89" s="580"/>
      <c r="FR89" s="580"/>
      <c r="FS89" s="580"/>
      <c r="FT89" s="580"/>
      <c r="FU89" s="580"/>
      <c r="FV89" s="580"/>
      <c r="FW89" s="580"/>
      <c r="FX89" s="580"/>
      <c r="FY89" s="580"/>
      <c r="FZ89" s="580"/>
      <c r="GA89" s="580"/>
      <c r="GB89" s="580"/>
      <c r="GC89" s="580"/>
      <c r="GD89" s="580"/>
      <c r="GE89" s="580"/>
      <c r="GF89" s="580"/>
      <c r="GG89" s="580"/>
      <c r="GH89" s="580"/>
      <c r="GI89" s="580"/>
      <c r="GJ89" s="580"/>
      <c r="GK89" s="580"/>
      <c r="GL89" s="580"/>
      <c r="GM89" s="580"/>
      <c r="GN89" s="580"/>
      <c r="GO89" s="580"/>
      <c r="GP89" s="580"/>
      <c r="GQ89" s="580"/>
      <c r="GR89" s="580"/>
      <c r="GS89" s="580"/>
      <c r="GT89" s="580"/>
      <c r="GU89" s="580"/>
      <c r="GV89" s="580"/>
      <c r="GW89" s="1036"/>
      <c r="GX89" s="580"/>
      <c r="GY89" s="580"/>
      <c r="GZ89" s="1036"/>
      <c r="HA89" s="580"/>
      <c r="HB89" s="580"/>
      <c r="HC89" s="580"/>
      <c r="HD89" s="580"/>
      <c r="HE89" s="580"/>
      <c r="HF89" s="580"/>
      <c r="HG89" s="580"/>
      <c r="HH89" s="580"/>
      <c r="HI89" s="580"/>
      <c r="HJ89" s="580"/>
      <c r="HK89" s="580"/>
      <c r="HL89" s="580"/>
      <c r="HM89" s="580"/>
      <c r="HN89" s="580"/>
      <c r="HO89" s="580"/>
      <c r="HP89" s="580"/>
      <c r="HQ89" s="580"/>
      <c r="HR89" s="580"/>
      <c r="HS89" s="580"/>
      <c r="HT89" s="580"/>
      <c r="HU89" s="580"/>
      <c r="HV89" s="580"/>
      <c r="HW89" s="580"/>
      <c r="HX89" s="580"/>
      <c r="HY89" s="580"/>
      <c r="HZ89" s="580"/>
      <c r="IA89" s="580"/>
      <c r="IB89" s="580"/>
    </row>
    <row r="90" spans="2:265" ht="14.25" customHeight="1">
      <c r="B90" s="324" t="s">
        <v>772</v>
      </c>
      <c r="D90" s="267"/>
      <c r="E90" s="436"/>
      <c r="F90" s="946"/>
      <c r="G90" s="436"/>
      <c r="H90" s="410"/>
      <c r="I90" s="436"/>
      <c r="J90" s="410"/>
      <c r="K90" s="436"/>
      <c r="L90" s="410"/>
      <c r="M90" s="436"/>
      <c r="N90" s="410"/>
      <c r="O90" s="436"/>
      <c r="P90" s="410"/>
      <c r="Q90" s="436"/>
      <c r="R90" s="410"/>
      <c r="S90" s="436"/>
      <c r="T90" s="410"/>
      <c r="U90" s="436"/>
      <c r="V90" s="410"/>
      <c r="W90" s="436"/>
      <c r="X90" s="410"/>
      <c r="Y90" s="436"/>
      <c r="Z90" s="410"/>
      <c r="AA90" s="436"/>
      <c r="AB90" s="410"/>
      <c r="AC90" s="436"/>
      <c r="AD90" s="410"/>
      <c r="AE90" s="436"/>
      <c r="AF90" s="410"/>
      <c r="AG90" s="436"/>
      <c r="AH90" s="410"/>
      <c r="AI90" s="436"/>
      <c r="AJ90" s="410"/>
      <c r="AK90" s="436"/>
      <c r="AL90" s="410"/>
      <c r="AM90" s="436"/>
      <c r="AN90" s="410"/>
      <c r="AO90" s="436"/>
      <c r="AP90" s="410"/>
      <c r="AQ90" s="436"/>
      <c r="AR90" s="410"/>
      <c r="AS90" s="436"/>
      <c r="AT90" s="410"/>
      <c r="AU90" s="436"/>
      <c r="AV90" s="410"/>
      <c r="AW90" s="436"/>
      <c r="AX90" s="410"/>
      <c r="AY90" s="436"/>
      <c r="AZ90" s="410"/>
      <c r="BA90" s="436"/>
      <c r="BB90" s="410"/>
      <c r="BC90" s="436"/>
      <c r="BD90" s="410"/>
      <c r="BE90" s="436"/>
      <c r="BF90" s="410"/>
      <c r="BG90" s="436"/>
      <c r="BH90" s="410"/>
      <c r="BI90" s="436"/>
      <c r="BJ90" s="410"/>
      <c r="BK90" s="436"/>
      <c r="BL90" s="410"/>
      <c r="BM90" s="436"/>
      <c r="BN90" s="410"/>
      <c r="BO90" s="436"/>
      <c r="BP90" s="410"/>
      <c r="BQ90" s="436"/>
      <c r="BR90" s="410"/>
      <c r="BS90" s="436"/>
      <c r="BT90" s="410"/>
      <c r="BU90" s="436"/>
      <c r="BV90" s="410"/>
      <c r="BW90" s="436"/>
      <c r="BX90" s="410"/>
      <c r="BY90" s="436"/>
      <c r="BZ90" s="410"/>
      <c r="CA90" s="436"/>
      <c r="CB90" s="410"/>
      <c r="CC90" s="436"/>
      <c r="CD90" s="410"/>
      <c r="CE90" s="436"/>
      <c r="CF90" s="410"/>
      <c r="CG90" s="436"/>
      <c r="CH90" s="410"/>
      <c r="CI90" s="436"/>
      <c r="CJ90" s="436"/>
      <c r="CK90" s="436"/>
      <c r="CL90" s="436"/>
      <c r="CM90" s="436"/>
      <c r="CN90" s="436"/>
      <c r="CO90" s="436"/>
      <c r="CP90" s="436"/>
      <c r="CQ90" s="436"/>
      <c r="CR90" s="436"/>
      <c r="CS90" s="436"/>
      <c r="CT90" s="436"/>
      <c r="CU90" s="436"/>
      <c r="CV90" s="198"/>
      <c r="CW90" s="436"/>
      <c r="CX90" s="436"/>
      <c r="CY90" s="436"/>
      <c r="CZ90" s="436"/>
      <c r="DA90" s="436"/>
      <c r="DB90" s="436"/>
      <c r="DC90" s="436"/>
      <c r="DD90" s="436"/>
      <c r="DE90" s="436"/>
      <c r="DF90" s="580"/>
      <c r="DG90" s="436"/>
      <c r="DH90" s="436"/>
      <c r="DI90" s="580"/>
      <c r="DJ90" s="436"/>
      <c r="DK90" s="436"/>
      <c r="DL90" s="580"/>
      <c r="DM90" s="436"/>
      <c r="DN90" s="436"/>
      <c r="DO90" s="580"/>
      <c r="DP90" s="580"/>
      <c r="DQ90" s="580"/>
      <c r="DR90" s="580"/>
      <c r="DS90" s="580"/>
      <c r="DT90" s="580"/>
      <c r="DU90" s="580"/>
      <c r="DV90" s="580"/>
      <c r="DW90" s="580"/>
      <c r="DX90" s="580"/>
      <c r="DY90" s="580"/>
      <c r="DZ90" s="580"/>
      <c r="EA90" s="580"/>
      <c r="EB90" s="580"/>
      <c r="EC90" s="580"/>
      <c r="ED90" s="580"/>
      <c r="EE90" s="580"/>
      <c r="EF90" s="580"/>
      <c r="EG90" s="436"/>
      <c r="EH90" s="436"/>
      <c r="EI90" s="436"/>
      <c r="EJ90" s="436"/>
      <c r="EK90" s="436"/>
      <c r="EL90" s="436"/>
      <c r="EM90" s="436"/>
      <c r="EN90" s="436"/>
      <c r="EO90" s="436"/>
      <c r="EP90" s="580"/>
      <c r="EQ90" s="436"/>
      <c r="ER90" s="436"/>
      <c r="ES90" s="580"/>
      <c r="ET90" s="436"/>
      <c r="EU90" s="436"/>
      <c r="EV90" s="580"/>
      <c r="EW90" s="436"/>
      <c r="EX90" s="436"/>
      <c r="EY90" s="580"/>
      <c r="EZ90" s="580"/>
      <c r="FA90" s="580"/>
      <c r="FB90" s="580"/>
      <c r="FC90" s="580"/>
      <c r="FD90" s="580"/>
      <c r="FE90" s="580"/>
      <c r="FF90" s="580"/>
      <c r="FG90" s="580"/>
      <c r="FH90" s="580"/>
      <c r="FI90" s="580"/>
      <c r="FJ90" s="580"/>
      <c r="FK90" s="580"/>
      <c r="FL90" s="580"/>
      <c r="FM90" s="580"/>
      <c r="FN90" s="580"/>
      <c r="FO90" s="580"/>
      <c r="FP90" s="580"/>
      <c r="FQ90" s="947"/>
      <c r="FR90" s="949"/>
      <c r="FS90" s="580"/>
      <c r="FT90" s="947"/>
      <c r="FU90" s="949"/>
      <c r="FW90" s="947"/>
      <c r="FX90" s="949"/>
      <c r="FY90" s="580"/>
      <c r="FZ90" s="508">
        <v>3924323.16</v>
      </c>
      <c r="GA90" s="949">
        <f t="shared" ref="GA90:GA109" si="204">FZ90/FZ$110</f>
        <v>2.1624669169399502E-3</v>
      </c>
      <c r="GB90" s="949"/>
      <c r="GC90" s="508">
        <v>3901482.5999999996</v>
      </c>
      <c r="GD90" s="949">
        <f t="shared" ref="GD90:GD109" si="205">GC90/GC$110</f>
        <v>2.0747173440397362E-3</v>
      </c>
      <c r="GE90" s="508">
        <v>3700757.42</v>
      </c>
      <c r="GF90" s="949">
        <f t="shared" ref="GF90:GF109" si="206">GE90/GE$110</f>
        <v>1.9320961179227489E-3</v>
      </c>
      <c r="GG90" s="508">
        <v>3735609.17</v>
      </c>
      <c r="GH90" s="949">
        <f t="shared" ref="GH90:GH109" si="207">GG90/GG$110</f>
        <v>1.9068702596115403E-3</v>
      </c>
      <c r="GI90" s="508">
        <v>3673702.952439365</v>
      </c>
      <c r="GJ90" s="949">
        <f t="shared" ref="GJ90:GJ109" si="208">GI90/GI$110</f>
        <v>1.8203220999090687E-3</v>
      </c>
      <c r="GK90" s="508">
        <v>4105146.68</v>
      </c>
      <c r="GL90" s="949">
        <f t="shared" ref="GL90:GL109" si="209">GK90/GK$110</f>
        <v>2.0060564287860258E-3</v>
      </c>
      <c r="GM90" s="508">
        <v>3809303.8400000003</v>
      </c>
      <c r="GN90" s="949">
        <f t="shared" ref="GN90:GN109" si="210">GM90/GM$110</f>
        <v>1.9167905684366094E-3</v>
      </c>
      <c r="GO90" s="508">
        <v>4788490.5900000008</v>
      </c>
      <c r="GP90" s="949">
        <f t="shared" ref="GP90:GP109" si="211">GO90/GO$110</f>
        <v>2.4078616186364804E-3</v>
      </c>
      <c r="GQ90" s="1026">
        <v>4154115.4800000051</v>
      </c>
      <c r="GR90" s="949">
        <f t="shared" ref="GR90:GR109" si="212">GQ90/GQ$110</f>
        <v>2.0993442706929389E-3</v>
      </c>
      <c r="GS90" s="949"/>
      <c r="GT90" s="1034">
        <v>3667475.96</v>
      </c>
      <c r="GU90" s="949">
        <f t="shared" ref="GU90:GU108" si="213">GT90/GT$110</f>
        <v>1.9129575479615939E-3</v>
      </c>
      <c r="GV90" s="949"/>
      <c r="GW90" s="1052">
        <v>3606173.85</v>
      </c>
      <c r="GX90" s="949">
        <f t="shared" ref="GX90:GX108" si="214">GW90/GW$110</f>
        <v>1.9856840392594947E-3</v>
      </c>
      <c r="GY90" s="949"/>
      <c r="GZ90" s="1034">
        <v>3544871.79</v>
      </c>
      <c r="HA90" s="949">
        <f t="shared" ref="HA90:HA108" si="215">GZ90/GZ$110</f>
        <v>1.9615030384792956E-3</v>
      </c>
      <c r="HB90" s="949"/>
      <c r="HC90" s="1034">
        <v>3320512.8400000008</v>
      </c>
      <c r="HD90" s="949">
        <f t="shared" ref="HD90:HD108" si="216">HC90/HC$110</f>
        <v>1.8785508608024977E-3</v>
      </c>
      <c r="HE90" s="949"/>
      <c r="HF90" s="1034">
        <v>3365384.63</v>
      </c>
      <c r="HG90" s="949">
        <f t="shared" ref="HG90:HG108" si="217">HF90/HF$110</f>
        <v>1.8994804996247013E-3</v>
      </c>
      <c r="HH90" s="949"/>
      <c r="HI90" s="1034">
        <v>3747149.3332930654</v>
      </c>
      <c r="HJ90" s="949">
        <f t="shared" ref="HJ90:HJ108" si="218">HI90/HI$110</f>
        <v>2.0630748693538938E-3</v>
      </c>
      <c r="HK90" s="949"/>
      <c r="HL90" s="1034">
        <v>3500000</v>
      </c>
      <c r="HM90" s="949">
        <f t="shared" ref="HM90:HM108" si="219">HL90/HL$110</f>
        <v>1.941548733860231E-3</v>
      </c>
      <c r="HN90" s="949"/>
      <c r="HO90" s="1034">
        <v>3516772.06</v>
      </c>
      <c r="HP90" s="949">
        <f t="shared" ref="HP90:HP108" si="220">HO90/HO$110</f>
        <v>2.0578222715395057E-3</v>
      </c>
      <c r="HQ90" s="580"/>
      <c r="HR90" s="1034">
        <v>3516772.06</v>
      </c>
      <c r="HS90" s="949">
        <f t="shared" ref="HS90:HS108" si="221">HR90/HR$110</f>
        <v>2.0578222715395057E-3</v>
      </c>
      <c r="HT90" s="580"/>
      <c r="HU90" s="1034">
        <v>3516772.06</v>
      </c>
      <c r="HV90" s="949">
        <f t="shared" ref="HV90:HV108" si="222">HU90/HU$110</f>
        <v>2.0578222715395057E-3</v>
      </c>
      <c r="HW90" s="580"/>
      <c r="HX90" s="580"/>
      <c r="HY90" s="580"/>
      <c r="HZ90" s="580"/>
      <c r="IA90" s="580"/>
      <c r="IB90" s="580"/>
      <c r="JC90" s="591"/>
      <c r="JD90" s="591"/>
      <c r="JE90" s="232"/>
    </row>
    <row r="91" spans="2:265" ht="14.25" customHeight="1">
      <c r="B91" s="324" t="s">
        <v>773</v>
      </c>
      <c r="D91" s="267"/>
      <c r="E91" s="436"/>
      <c r="F91" s="946"/>
      <c r="G91" s="436"/>
      <c r="H91" s="410"/>
      <c r="I91" s="436"/>
      <c r="J91" s="410"/>
      <c r="K91" s="436"/>
      <c r="L91" s="410"/>
      <c r="M91" s="436"/>
      <c r="N91" s="410"/>
      <c r="O91" s="436"/>
      <c r="P91" s="410"/>
      <c r="Q91" s="436"/>
      <c r="R91" s="410"/>
      <c r="S91" s="436"/>
      <c r="T91" s="410"/>
      <c r="U91" s="436"/>
      <c r="V91" s="410"/>
      <c r="W91" s="436"/>
      <c r="X91" s="410"/>
      <c r="Y91" s="436"/>
      <c r="Z91" s="410"/>
      <c r="AA91" s="436"/>
      <c r="AB91" s="410"/>
      <c r="AC91" s="436"/>
      <c r="AD91" s="410"/>
      <c r="AE91" s="436"/>
      <c r="AF91" s="410"/>
      <c r="AG91" s="436"/>
      <c r="AH91" s="410"/>
      <c r="AI91" s="436"/>
      <c r="AJ91" s="410"/>
      <c r="AK91" s="436"/>
      <c r="AL91" s="410"/>
      <c r="AM91" s="436"/>
      <c r="AN91" s="410"/>
      <c r="AO91" s="436"/>
      <c r="AP91" s="410"/>
      <c r="AQ91" s="436"/>
      <c r="AR91" s="410"/>
      <c r="AS91" s="436"/>
      <c r="AT91" s="410"/>
      <c r="AU91" s="436"/>
      <c r="AV91" s="410"/>
      <c r="AW91" s="436"/>
      <c r="AX91" s="410"/>
      <c r="AY91" s="436"/>
      <c r="AZ91" s="410"/>
      <c r="BA91" s="436"/>
      <c r="BB91" s="410"/>
      <c r="BC91" s="436"/>
      <c r="BD91" s="410"/>
      <c r="BE91" s="436"/>
      <c r="BF91" s="410"/>
      <c r="BG91" s="436"/>
      <c r="BH91" s="410"/>
      <c r="BI91" s="436"/>
      <c r="BJ91" s="410"/>
      <c r="BK91" s="436"/>
      <c r="BL91" s="410"/>
      <c r="BM91" s="436"/>
      <c r="BN91" s="410"/>
      <c r="BO91" s="436"/>
      <c r="BP91" s="410"/>
      <c r="BQ91" s="436"/>
      <c r="BR91" s="410"/>
      <c r="BS91" s="436"/>
      <c r="BT91" s="410"/>
      <c r="BU91" s="436"/>
      <c r="BV91" s="410"/>
      <c r="BW91" s="436"/>
      <c r="BX91" s="410"/>
      <c r="BY91" s="436"/>
      <c r="BZ91" s="410"/>
      <c r="CA91" s="436"/>
      <c r="CB91" s="410"/>
      <c r="CC91" s="436"/>
      <c r="CD91" s="410"/>
      <c r="CE91" s="436"/>
      <c r="CF91" s="410"/>
      <c r="CG91" s="436"/>
      <c r="CH91" s="410"/>
      <c r="CI91" s="436"/>
      <c r="CJ91" s="436"/>
      <c r="CK91" s="436"/>
      <c r="CL91" s="436"/>
      <c r="CM91" s="436"/>
      <c r="CN91" s="436"/>
      <c r="CO91" s="436"/>
      <c r="CP91" s="436"/>
      <c r="CQ91" s="436"/>
      <c r="CR91" s="436"/>
      <c r="CS91" s="436"/>
      <c r="CT91" s="436"/>
      <c r="CU91" s="436"/>
      <c r="CV91" s="198"/>
      <c r="CW91" s="436"/>
      <c r="CX91" s="436"/>
      <c r="CY91" s="436"/>
      <c r="CZ91" s="436"/>
      <c r="DA91" s="436"/>
      <c r="DB91" s="436"/>
      <c r="DC91" s="436"/>
      <c r="DD91" s="436"/>
      <c r="DE91" s="436"/>
      <c r="DF91" s="580"/>
      <c r="DG91" s="436"/>
      <c r="DH91" s="436"/>
      <c r="DI91" s="580"/>
      <c r="DJ91" s="436"/>
      <c r="DK91" s="436"/>
      <c r="DL91" s="580"/>
      <c r="DM91" s="436"/>
      <c r="DN91" s="436"/>
      <c r="DO91" s="580"/>
      <c r="DP91" s="580"/>
      <c r="DQ91" s="580"/>
      <c r="DR91" s="580"/>
      <c r="DS91" s="580"/>
      <c r="DT91" s="580"/>
      <c r="DU91" s="580"/>
      <c r="DV91" s="580"/>
      <c r="DW91" s="580"/>
      <c r="DX91" s="580"/>
      <c r="DY91" s="580"/>
      <c r="DZ91" s="580"/>
      <c r="EA91" s="580"/>
      <c r="EB91" s="580"/>
      <c r="EC91" s="580"/>
      <c r="ED91" s="580"/>
      <c r="EE91" s="580"/>
      <c r="EF91" s="580"/>
      <c r="EG91" s="436"/>
      <c r="EH91" s="436"/>
      <c r="EI91" s="436"/>
      <c r="EJ91" s="436"/>
      <c r="EK91" s="436"/>
      <c r="EL91" s="436"/>
      <c r="EM91" s="436"/>
      <c r="EN91" s="436"/>
      <c r="EO91" s="436"/>
      <c r="EP91" s="580"/>
      <c r="EQ91" s="436"/>
      <c r="ER91" s="436"/>
      <c r="ES91" s="580"/>
      <c r="ET91" s="436"/>
      <c r="EU91" s="436"/>
      <c r="EV91" s="580"/>
      <c r="EW91" s="436"/>
      <c r="EX91" s="436"/>
      <c r="EY91" s="580"/>
      <c r="EZ91" s="580"/>
      <c r="FA91" s="580"/>
      <c r="FB91" s="580"/>
      <c r="FC91" s="580"/>
      <c r="FD91" s="580"/>
      <c r="FE91" s="580"/>
      <c r="FF91" s="580"/>
      <c r="FG91" s="580"/>
      <c r="FH91" s="580"/>
      <c r="FI91" s="580"/>
      <c r="FJ91" s="580"/>
      <c r="FK91" s="580"/>
      <c r="FL91" s="580"/>
      <c r="FM91" s="580"/>
      <c r="FN91" s="580"/>
      <c r="FO91" s="580"/>
      <c r="FP91" s="580"/>
      <c r="FQ91" s="947"/>
      <c r="FR91" s="949"/>
      <c r="FS91" s="580"/>
      <c r="FT91" s="947"/>
      <c r="FU91" s="949"/>
      <c r="FW91" s="947"/>
      <c r="FX91" s="949"/>
      <c r="FY91" s="580"/>
      <c r="FZ91" s="508">
        <v>20648424.919999998</v>
      </c>
      <c r="GA91" s="949">
        <f t="shared" si="204"/>
        <v>1.13781495447532E-2</v>
      </c>
      <c r="GB91" s="949"/>
      <c r="GC91" s="508">
        <v>17960543.53000275</v>
      </c>
      <c r="GD91" s="949">
        <f t="shared" si="205"/>
        <v>9.5509976566542625E-3</v>
      </c>
      <c r="GE91" s="508">
        <v>24549138.099997453</v>
      </c>
      <c r="GF91" s="949">
        <f t="shared" si="206"/>
        <v>1.2816645091359305E-2</v>
      </c>
      <c r="GG91" s="508">
        <v>95369409.829999983</v>
      </c>
      <c r="GH91" s="949">
        <f t="shared" si="207"/>
        <v>4.8682044348213084E-2</v>
      </c>
      <c r="GI91" s="508">
        <v>21809700.35513955</v>
      </c>
      <c r="GJ91" s="949">
        <f t="shared" si="208"/>
        <v>1.0806720103075741E-2</v>
      </c>
      <c r="GK91" s="508">
        <v>20935169.840000007</v>
      </c>
      <c r="GL91" s="949">
        <f t="shared" si="209"/>
        <v>1.0230360890602653E-2</v>
      </c>
      <c r="GM91" s="508">
        <v>19990073.690000005</v>
      </c>
      <c r="GN91" s="949">
        <f t="shared" si="210"/>
        <v>1.0058736798308222E-2</v>
      </c>
      <c r="GO91" s="508">
        <v>23067573.930000007</v>
      </c>
      <c r="GP91" s="949">
        <f t="shared" si="211"/>
        <v>1.1599380818895269E-2</v>
      </c>
      <c r="GQ91" s="1026">
        <v>25534617.130000006</v>
      </c>
      <c r="GR91" s="949">
        <f t="shared" si="212"/>
        <v>1.2904299948879424E-2</v>
      </c>
      <c r="GS91" s="949"/>
      <c r="GT91" s="1034">
        <v>13233686.180000007</v>
      </c>
      <c r="GU91" s="949">
        <f t="shared" si="213"/>
        <v>6.902698243013445E-3</v>
      </c>
      <c r="GV91" s="949"/>
      <c r="GW91" s="1052">
        <v>23503274.66</v>
      </c>
      <c r="GX91" s="949">
        <f t="shared" si="214"/>
        <v>1.2941715875038616E-2</v>
      </c>
      <c r="GY91" s="949"/>
      <c r="GZ91" s="1034">
        <v>20769161.960000001</v>
      </c>
      <c r="HA91" s="949">
        <f t="shared" si="215"/>
        <v>1.1492312474073597E-2</v>
      </c>
      <c r="HB91" s="949"/>
      <c r="HC91" s="1034">
        <v>19868591.180000007</v>
      </c>
      <c r="HD91" s="949">
        <f t="shared" si="216"/>
        <v>1.1240480269945868E-2</v>
      </c>
      <c r="HE91" s="949"/>
      <c r="HF91" s="1034">
        <v>22389882.460000001</v>
      </c>
      <c r="HG91" s="949">
        <f t="shared" si="217"/>
        <v>1.2637231638411309E-2</v>
      </c>
      <c r="HH91" s="949"/>
      <c r="HI91" s="1034">
        <v>22818772.640270099</v>
      </c>
      <c r="HJ91" s="949">
        <f t="shared" si="218"/>
        <v>1.2563373433070369E-2</v>
      </c>
      <c r="HK91" s="949"/>
      <c r="HL91" s="1034">
        <v>18260463.170873214</v>
      </c>
      <c r="HM91" s="949">
        <f t="shared" si="219"/>
        <v>1.0129594042602934E-2</v>
      </c>
      <c r="HN91" s="949"/>
      <c r="HO91" s="1034">
        <v>18208007.27</v>
      </c>
      <c r="HP91" s="949">
        <f t="shared" si="220"/>
        <v>1.0654327957939712E-2</v>
      </c>
      <c r="HQ91" s="580"/>
      <c r="HR91" s="1034">
        <v>18208007.27</v>
      </c>
      <c r="HS91" s="949">
        <f t="shared" si="221"/>
        <v>1.0654327957939712E-2</v>
      </c>
      <c r="HT91" s="580"/>
      <c r="HU91" s="1034">
        <v>18208007.27</v>
      </c>
      <c r="HV91" s="949">
        <f t="shared" si="222"/>
        <v>1.0654327957939712E-2</v>
      </c>
      <c r="HW91" s="580"/>
      <c r="HX91" s="580"/>
      <c r="HY91" s="580"/>
      <c r="HZ91" s="580"/>
      <c r="IA91" s="580"/>
      <c r="IB91" s="580"/>
      <c r="JC91" s="591"/>
      <c r="JD91" s="591"/>
      <c r="JE91" s="232"/>
    </row>
    <row r="92" spans="2:265" ht="14.25" customHeight="1">
      <c r="B92" s="324" t="s">
        <v>774</v>
      </c>
      <c r="D92" s="267"/>
      <c r="E92" s="436"/>
      <c r="F92" s="946"/>
      <c r="G92" s="436"/>
      <c r="H92" s="410"/>
      <c r="I92" s="436"/>
      <c r="J92" s="410"/>
      <c r="K92" s="436"/>
      <c r="L92" s="410"/>
      <c r="M92" s="436"/>
      <c r="N92" s="410"/>
      <c r="O92" s="436"/>
      <c r="P92" s="410"/>
      <c r="Q92" s="436"/>
      <c r="R92" s="410"/>
      <c r="S92" s="436"/>
      <c r="T92" s="410"/>
      <c r="U92" s="436"/>
      <c r="V92" s="410"/>
      <c r="W92" s="436"/>
      <c r="X92" s="410"/>
      <c r="Y92" s="436"/>
      <c r="Z92" s="410"/>
      <c r="AA92" s="436"/>
      <c r="AB92" s="410"/>
      <c r="AC92" s="436"/>
      <c r="AD92" s="410"/>
      <c r="AE92" s="436"/>
      <c r="AF92" s="410"/>
      <c r="AG92" s="436"/>
      <c r="AH92" s="410"/>
      <c r="AI92" s="436"/>
      <c r="AJ92" s="410"/>
      <c r="AK92" s="436"/>
      <c r="AL92" s="410"/>
      <c r="AM92" s="436"/>
      <c r="AN92" s="410"/>
      <c r="AO92" s="436"/>
      <c r="AP92" s="410"/>
      <c r="AQ92" s="436"/>
      <c r="AR92" s="410"/>
      <c r="AS92" s="436"/>
      <c r="AT92" s="410"/>
      <c r="AU92" s="436"/>
      <c r="AV92" s="410"/>
      <c r="AW92" s="436"/>
      <c r="AX92" s="410"/>
      <c r="AY92" s="436"/>
      <c r="AZ92" s="410"/>
      <c r="BA92" s="436"/>
      <c r="BB92" s="410"/>
      <c r="BC92" s="436"/>
      <c r="BD92" s="410"/>
      <c r="BE92" s="436"/>
      <c r="BF92" s="410"/>
      <c r="BG92" s="436"/>
      <c r="BH92" s="410"/>
      <c r="BI92" s="436"/>
      <c r="BJ92" s="410"/>
      <c r="BK92" s="436"/>
      <c r="BL92" s="410"/>
      <c r="BM92" s="436"/>
      <c r="BN92" s="410"/>
      <c r="BO92" s="436"/>
      <c r="BP92" s="410"/>
      <c r="BQ92" s="436"/>
      <c r="BR92" s="410"/>
      <c r="BS92" s="436"/>
      <c r="BT92" s="410"/>
      <c r="BU92" s="436"/>
      <c r="BV92" s="410"/>
      <c r="BW92" s="436"/>
      <c r="BX92" s="410"/>
      <c r="BY92" s="436"/>
      <c r="BZ92" s="410"/>
      <c r="CA92" s="436"/>
      <c r="CB92" s="410"/>
      <c r="CC92" s="436"/>
      <c r="CD92" s="410"/>
      <c r="CE92" s="436"/>
      <c r="CF92" s="410"/>
      <c r="CG92" s="436"/>
      <c r="CH92" s="410"/>
      <c r="CI92" s="436"/>
      <c r="CJ92" s="436"/>
      <c r="CK92" s="436"/>
      <c r="CL92" s="436"/>
      <c r="CM92" s="436"/>
      <c r="CN92" s="436"/>
      <c r="CO92" s="436"/>
      <c r="CP92" s="436"/>
      <c r="CQ92" s="436"/>
      <c r="CR92" s="436"/>
      <c r="CS92" s="436"/>
      <c r="CT92" s="436"/>
      <c r="CU92" s="436"/>
      <c r="CV92" s="198"/>
      <c r="CW92" s="436"/>
      <c r="CX92" s="436"/>
      <c r="CY92" s="436"/>
      <c r="CZ92" s="436"/>
      <c r="DA92" s="436"/>
      <c r="DB92" s="436"/>
      <c r="DC92" s="436"/>
      <c r="DD92" s="436"/>
      <c r="DE92" s="436"/>
      <c r="DF92" s="580"/>
      <c r="DG92" s="436"/>
      <c r="DH92" s="436"/>
      <c r="DI92" s="580"/>
      <c r="DJ92" s="436"/>
      <c r="DK92" s="436"/>
      <c r="DL92" s="580"/>
      <c r="DM92" s="436"/>
      <c r="DN92" s="436"/>
      <c r="DO92" s="580"/>
      <c r="DP92" s="580"/>
      <c r="DQ92" s="580"/>
      <c r="DR92" s="580"/>
      <c r="DS92" s="580"/>
      <c r="DT92" s="580"/>
      <c r="DU92" s="580"/>
      <c r="DV92" s="580"/>
      <c r="DW92" s="580"/>
      <c r="DX92" s="580"/>
      <c r="DY92" s="580"/>
      <c r="DZ92" s="580"/>
      <c r="EA92" s="580"/>
      <c r="EB92" s="580"/>
      <c r="EC92" s="580"/>
      <c r="ED92" s="580"/>
      <c r="EE92" s="580"/>
      <c r="EF92" s="580"/>
      <c r="EG92" s="436"/>
      <c r="EH92" s="436"/>
      <c r="EI92" s="436"/>
      <c r="EJ92" s="436"/>
      <c r="EK92" s="436"/>
      <c r="EL92" s="436"/>
      <c r="EM92" s="436"/>
      <c r="EN92" s="436"/>
      <c r="EO92" s="436"/>
      <c r="EP92" s="580"/>
      <c r="EQ92" s="436"/>
      <c r="ER92" s="436"/>
      <c r="ES92" s="580"/>
      <c r="ET92" s="436"/>
      <c r="EU92" s="436"/>
      <c r="EV92" s="580"/>
      <c r="EW92" s="436"/>
      <c r="EX92" s="436"/>
      <c r="EY92" s="580"/>
      <c r="EZ92" s="580"/>
      <c r="FA92" s="580"/>
      <c r="FB92" s="580"/>
      <c r="FC92" s="580"/>
      <c r="FD92" s="580"/>
      <c r="FE92" s="580"/>
      <c r="FF92" s="580"/>
      <c r="FG92" s="580"/>
      <c r="FH92" s="580"/>
      <c r="FI92" s="580"/>
      <c r="FJ92" s="580"/>
      <c r="FK92" s="580"/>
      <c r="FL92" s="580"/>
      <c r="FM92" s="580"/>
      <c r="FN92" s="580"/>
      <c r="FO92" s="580"/>
      <c r="FP92" s="580"/>
      <c r="FQ92" s="947"/>
      <c r="FR92" s="949"/>
      <c r="FS92" s="580"/>
      <c r="FT92" s="947"/>
      <c r="FU92" s="949"/>
      <c r="FW92" s="947"/>
      <c r="FX92" s="949"/>
      <c r="FY92" s="580"/>
      <c r="FZ92" s="508">
        <v>94274381.710000008</v>
      </c>
      <c r="GA92" s="949">
        <f t="shared" si="204"/>
        <v>5.1949144668005313E-2</v>
      </c>
      <c r="GB92" s="949"/>
      <c r="GC92" s="508">
        <v>88580035.199999988</v>
      </c>
      <c r="GD92" s="949">
        <f t="shared" si="205"/>
        <v>4.7104794306936128E-2</v>
      </c>
      <c r="GE92" s="508">
        <v>94914646.720000014</v>
      </c>
      <c r="GF92" s="949">
        <f t="shared" si="206"/>
        <v>4.955315889408423E-2</v>
      </c>
      <c r="GG92" s="508">
        <v>19429627.949999999</v>
      </c>
      <c r="GH92" s="949">
        <f t="shared" si="207"/>
        <v>9.9180021268585068E-3</v>
      </c>
      <c r="GI92" s="508">
        <v>84029334.063797385</v>
      </c>
      <c r="GJ92" s="949">
        <f t="shared" si="208"/>
        <v>4.1636587339051317E-2</v>
      </c>
      <c r="GK92" s="508">
        <v>84130351.879999995</v>
      </c>
      <c r="GL92" s="949">
        <f t="shared" si="209"/>
        <v>4.1111864301254269E-2</v>
      </c>
      <c r="GM92" s="508">
        <v>89241419.650000006</v>
      </c>
      <c r="GN92" s="949">
        <f t="shared" si="210"/>
        <v>4.4905084677890512E-2</v>
      </c>
      <c r="GO92" s="508">
        <v>91056957.889999986</v>
      </c>
      <c r="GP92" s="949">
        <f t="shared" si="211"/>
        <v>4.5787404170951743E-2</v>
      </c>
      <c r="GQ92" s="1026">
        <v>85615716.569999993</v>
      </c>
      <c r="GR92" s="949">
        <f t="shared" si="212"/>
        <v>4.326718044499326E-2</v>
      </c>
      <c r="GS92" s="949"/>
      <c r="GT92" s="1034">
        <v>86851068.059999987</v>
      </c>
      <c r="GU92" s="949">
        <f t="shared" si="213"/>
        <v>4.5301566528578717E-2</v>
      </c>
      <c r="GV92" s="949"/>
      <c r="GW92" s="1052">
        <v>69982888.899999991</v>
      </c>
      <c r="GX92" s="949">
        <f t="shared" si="214"/>
        <v>3.8534998946321022E-2</v>
      </c>
      <c r="GY92" s="949"/>
      <c r="GZ92" s="1034">
        <v>65484785.849999994</v>
      </c>
      <c r="HA92" s="949">
        <f t="shared" si="215"/>
        <v>3.6235049961832598E-2</v>
      </c>
      <c r="HB92" s="949"/>
      <c r="HC92" s="1034">
        <v>65416894.950000003</v>
      </c>
      <c r="HD92" s="949">
        <f t="shared" si="216"/>
        <v>3.7009031508322389E-2</v>
      </c>
      <c r="HE92" s="949"/>
      <c r="HF92" s="1034">
        <v>69891258.86999999</v>
      </c>
      <c r="HG92" s="949">
        <f t="shared" si="217"/>
        <v>3.9447818871683298E-2</v>
      </c>
      <c r="HH92" s="949"/>
      <c r="HI92" s="1034">
        <v>76965549.156968936</v>
      </c>
      <c r="HJ92" s="949">
        <f t="shared" si="218"/>
        <v>4.2375063321060794E-2</v>
      </c>
      <c r="HK92" s="949"/>
      <c r="HL92" s="1034">
        <v>75077645.60537079</v>
      </c>
      <c r="HM92" s="949">
        <f t="shared" si="219"/>
        <v>4.1647687933232799E-2</v>
      </c>
      <c r="HN92" s="949"/>
      <c r="HO92" s="1034">
        <v>64308292.530000001</v>
      </c>
      <c r="HP92" s="949">
        <f t="shared" si="220"/>
        <v>3.762968834918224E-2</v>
      </c>
      <c r="HQ92" s="580"/>
      <c r="HR92" s="1034">
        <v>64308292.530000001</v>
      </c>
      <c r="HS92" s="949">
        <f t="shared" si="221"/>
        <v>3.762968834918224E-2</v>
      </c>
      <c r="HT92" s="580"/>
      <c r="HU92" s="1034">
        <v>64308292.530000001</v>
      </c>
      <c r="HV92" s="949">
        <f t="shared" si="222"/>
        <v>3.762968834918224E-2</v>
      </c>
      <c r="HW92" s="580"/>
      <c r="HX92" s="580"/>
      <c r="HY92" s="580"/>
      <c r="HZ92" s="580"/>
      <c r="IA92" s="580"/>
      <c r="IB92" s="580"/>
      <c r="JC92" s="591"/>
      <c r="JD92" s="591"/>
      <c r="JE92" s="232"/>
    </row>
    <row r="93" spans="2:265" ht="14.25" customHeight="1">
      <c r="B93" s="324" t="s">
        <v>775</v>
      </c>
      <c r="D93" s="267"/>
      <c r="E93" s="436"/>
      <c r="F93" s="946"/>
      <c r="G93" s="436"/>
      <c r="H93" s="410"/>
      <c r="I93" s="436"/>
      <c r="J93" s="410"/>
      <c r="K93" s="436"/>
      <c r="L93" s="410"/>
      <c r="M93" s="436"/>
      <c r="N93" s="410"/>
      <c r="O93" s="436"/>
      <c r="P93" s="410"/>
      <c r="Q93" s="436"/>
      <c r="R93" s="410"/>
      <c r="S93" s="436"/>
      <c r="T93" s="410"/>
      <c r="U93" s="436"/>
      <c r="V93" s="410"/>
      <c r="W93" s="436"/>
      <c r="X93" s="410"/>
      <c r="Y93" s="436"/>
      <c r="Z93" s="410"/>
      <c r="AA93" s="436"/>
      <c r="AB93" s="410"/>
      <c r="AC93" s="436"/>
      <c r="AD93" s="410"/>
      <c r="AE93" s="436"/>
      <c r="AF93" s="410"/>
      <c r="AG93" s="436"/>
      <c r="AH93" s="410"/>
      <c r="AI93" s="436"/>
      <c r="AJ93" s="410"/>
      <c r="AK93" s="436"/>
      <c r="AL93" s="410"/>
      <c r="AM93" s="436"/>
      <c r="AN93" s="410"/>
      <c r="AO93" s="436"/>
      <c r="AP93" s="410"/>
      <c r="AQ93" s="436"/>
      <c r="AR93" s="410"/>
      <c r="AS93" s="436"/>
      <c r="AT93" s="410"/>
      <c r="AU93" s="436"/>
      <c r="AV93" s="410"/>
      <c r="AW93" s="436"/>
      <c r="AX93" s="410"/>
      <c r="AY93" s="436"/>
      <c r="AZ93" s="410"/>
      <c r="BA93" s="436"/>
      <c r="BB93" s="410"/>
      <c r="BC93" s="436"/>
      <c r="BD93" s="410"/>
      <c r="BE93" s="436"/>
      <c r="BF93" s="410"/>
      <c r="BG93" s="436"/>
      <c r="BH93" s="410"/>
      <c r="BI93" s="436"/>
      <c r="BJ93" s="410"/>
      <c r="BK93" s="436"/>
      <c r="BL93" s="410"/>
      <c r="BM93" s="436"/>
      <c r="BN93" s="410"/>
      <c r="BO93" s="436"/>
      <c r="BP93" s="410"/>
      <c r="BQ93" s="436"/>
      <c r="BR93" s="410"/>
      <c r="BS93" s="436"/>
      <c r="BT93" s="410"/>
      <c r="BU93" s="436"/>
      <c r="BV93" s="410"/>
      <c r="BW93" s="436"/>
      <c r="BX93" s="410"/>
      <c r="BY93" s="436"/>
      <c r="BZ93" s="410"/>
      <c r="CA93" s="436"/>
      <c r="CB93" s="410"/>
      <c r="CC93" s="436"/>
      <c r="CD93" s="410"/>
      <c r="CE93" s="436"/>
      <c r="CF93" s="410"/>
      <c r="CG93" s="436"/>
      <c r="CH93" s="410"/>
      <c r="CI93" s="436"/>
      <c r="CJ93" s="436"/>
      <c r="CK93" s="436"/>
      <c r="CL93" s="436"/>
      <c r="CM93" s="436"/>
      <c r="CN93" s="436"/>
      <c r="CO93" s="436"/>
      <c r="CP93" s="436"/>
      <c r="CQ93" s="436"/>
      <c r="CR93" s="436"/>
      <c r="CS93" s="436"/>
      <c r="CT93" s="436"/>
      <c r="CU93" s="436"/>
      <c r="CV93" s="198"/>
      <c r="CW93" s="436"/>
      <c r="CX93" s="436"/>
      <c r="CY93" s="436"/>
      <c r="CZ93" s="436"/>
      <c r="DA93" s="436"/>
      <c r="DB93" s="436"/>
      <c r="DC93" s="436"/>
      <c r="DD93" s="436"/>
      <c r="DE93" s="436"/>
      <c r="DF93" s="580"/>
      <c r="DG93" s="436"/>
      <c r="DH93" s="436"/>
      <c r="DI93" s="580"/>
      <c r="DJ93" s="436"/>
      <c r="DK93" s="436"/>
      <c r="DL93" s="580"/>
      <c r="DM93" s="436"/>
      <c r="DN93" s="436"/>
      <c r="DO93" s="580"/>
      <c r="DP93" s="580"/>
      <c r="DQ93" s="580"/>
      <c r="DR93" s="580"/>
      <c r="DS93" s="580"/>
      <c r="DT93" s="580"/>
      <c r="DU93" s="580"/>
      <c r="DV93" s="580"/>
      <c r="DW93" s="580"/>
      <c r="DX93" s="580"/>
      <c r="DY93" s="580"/>
      <c r="DZ93" s="580"/>
      <c r="EA93" s="580"/>
      <c r="EB93" s="580"/>
      <c r="EC93" s="580"/>
      <c r="ED93" s="580"/>
      <c r="EE93" s="580"/>
      <c r="EF93" s="580"/>
      <c r="EG93" s="436"/>
      <c r="EH93" s="436"/>
      <c r="EI93" s="436"/>
      <c r="EJ93" s="436"/>
      <c r="EK93" s="436"/>
      <c r="EL93" s="436"/>
      <c r="EM93" s="436"/>
      <c r="EN93" s="436"/>
      <c r="EO93" s="436"/>
      <c r="EP93" s="580"/>
      <c r="EQ93" s="436"/>
      <c r="ER93" s="436"/>
      <c r="ES93" s="580"/>
      <c r="ET93" s="436"/>
      <c r="EU93" s="436"/>
      <c r="EV93" s="580"/>
      <c r="EW93" s="436"/>
      <c r="EX93" s="436"/>
      <c r="EY93" s="580"/>
      <c r="EZ93" s="580"/>
      <c r="FA93" s="580"/>
      <c r="FB93" s="580"/>
      <c r="FC93" s="580"/>
      <c r="FD93" s="580"/>
      <c r="FE93" s="580"/>
      <c r="FF93" s="580"/>
      <c r="FG93" s="580"/>
      <c r="FH93" s="580"/>
      <c r="FI93" s="580"/>
      <c r="FJ93" s="580"/>
      <c r="FK93" s="580"/>
      <c r="FL93" s="580"/>
      <c r="FM93" s="580"/>
      <c r="FN93" s="580"/>
      <c r="FO93" s="580"/>
      <c r="FP93" s="580"/>
      <c r="FQ93" s="947"/>
      <c r="FR93" s="949"/>
      <c r="FS93" s="580"/>
      <c r="FT93" s="947"/>
      <c r="FU93" s="949"/>
      <c r="FW93" s="947"/>
      <c r="FX93" s="949"/>
      <c r="FY93" s="580"/>
      <c r="FZ93" s="508">
        <v>6041666.6699999999</v>
      </c>
      <c r="GA93" s="949">
        <f t="shared" si="204"/>
        <v>3.3292121378336631E-3</v>
      </c>
      <c r="GB93" s="949"/>
      <c r="GC93" s="508">
        <v>5500000.0099999998</v>
      </c>
      <c r="GD93" s="949">
        <f t="shared" si="205"/>
        <v>2.9247715760582207E-3</v>
      </c>
      <c r="GE93" s="508">
        <v>2173958.35</v>
      </c>
      <c r="GF93" s="949">
        <f t="shared" si="206"/>
        <v>1.1349829269708645E-3</v>
      </c>
      <c r="GG93" s="508">
        <v>2007291.6900000002</v>
      </c>
      <c r="GH93" s="949">
        <f t="shared" si="207"/>
        <v>1.0246373889339147E-3</v>
      </c>
      <c r="GI93" s="508">
        <v>2424519.0952948015</v>
      </c>
      <c r="GJ93" s="949">
        <f t="shared" si="208"/>
        <v>1.2013507210445896E-3</v>
      </c>
      <c r="GK93" s="508">
        <v>2270397.46</v>
      </c>
      <c r="GL93" s="949">
        <f t="shared" si="209"/>
        <v>1.109472030006115E-3</v>
      </c>
      <c r="GM93" s="508">
        <v>2670897.44</v>
      </c>
      <c r="GN93" s="949">
        <f t="shared" si="210"/>
        <v>1.3439597462652085E-3</v>
      </c>
      <c r="GO93" s="508">
        <v>4233471.16</v>
      </c>
      <c r="GP93" s="949">
        <f t="shared" si="211"/>
        <v>2.1287736768359103E-3</v>
      </c>
      <c r="GQ93" s="1026">
        <v>5890013.9199999999</v>
      </c>
      <c r="GR93" s="949">
        <f t="shared" si="212"/>
        <v>2.9766064609387422E-3</v>
      </c>
      <c r="GS93" s="949"/>
      <c r="GT93" s="1034">
        <v>5007918.75</v>
      </c>
      <c r="GU93" s="949">
        <f t="shared" si="213"/>
        <v>2.6121332700953519E-3</v>
      </c>
      <c r="GV93" s="949"/>
      <c r="GW93" s="1052">
        <v>5040978.78</v>
      </c>
      <c r="GX93" s="949">
        <f t="shared" si="214"/>
        <v>2.7757372556211617E-3</v>
      </c>
      <c r="GY93" s="949"/>
      <c r="GZ93" s="1034">
        <v>6649118.8400000008</v>
      </c>
      <c r="HA93" s="949">
        <f t="shared" si="215"/>
        <v>3.6791928116164481E-3</v>
      </c>
      <c r="HB93" s="949"/>
      <c r="HC93" s="1034">
        <v>6540384.8399999999</v>
      </c>
      <c r="HD93" s="949">
        <f t="shared" si="216"/>
        <v>3.7001650537697075E-3</v>
      </c>
      <c r="HE93" s="949"/>
      <c r="HF93" s="1034">
        <v>12168421.560000001</v>
      </c>
      <c r="HG93" s="949">
        <f t="shared" si="217"/>
        <v>6.8680647253187184E-3</v>
      </c>
      <c r="HH93" s="949"/>
      <c r="HI93" s="1034">
        <v>13284332.962685402</v>
      </c>
      <c r="HJ93" s="949">
        <f t="shared" si="218"/>
        <v>7.3139795224975461E-3</v>
      </c>
      <c r="HK93" s="949"/>
      <c r="HL93" s="1034">
        <v>13508835.817505404</v>
      </c>
      <c r="HM93" s="949">
        <f t="shared" si="219"/>
        <v>7.4937323078295304E-3</v>
      </c>
      <c r="HN93" s="949"/>
      <c r="HO93" s="1034">
        <v>11289268.66</v>
      </c>
      <c r="HP93" s="949">
        <f t="shared" si="220"/>
        <v>6.6058613073549481E-3</v>
      </c>
      <c r="HQ93" s="580"/>
      <c r="HR93" s="1034">
        <v>11289268.66</v>
      </c>
      <c r="HS93" s="949">
        <f t="shared" si="221"/>
        <v>6.6058613073549481E-3</v>
      </c>
      <c r="HT93" s="580"/>
      <c r="HU93" s="1034">
        <v>11289268.66</v>
      </c>
      <c r="HV93" s="949">
        <f t="shared" si="222"/>
        <v>6.6058613073549481E-3</v>
      </c>
      <c r="HW93" s="580"/>
      <c r="HX93" s="580"/>
      <c r="HY93" s="580"/>
      <c r="HZ93" s="580"/>
      <c r="IA93" s="580"/>
      <c r="IB93" s="580"/>
      <c r="JC93" s="591"/>
      <c r="JD93" s="591"/>
      <c r="JE93" s="232"/>
    </row>
    <row r="94" spans="2:265" ht="14.25" customHeight="1">
      <c r="B94" s="324" t="s">
        <v>776</v>
      </c>
      <c r="D94" s="267"/>
      <c r="E94" s="436"/>
      <c r="F94" s="946"/>
      <c r="G94" s="436"/>
      <c r="H94" s="410"/>
      <c r="I94" s="436"/>
      <c r="J94" s="410"/>
      <c r="K94" s="436"/>
      <c r="L94" s="410"/>
      <c r="M94" s="436"/>
      <c r="N94" s="410"/>
      <c r="O94" s="436"/>
      <c r="P94" s="410"/>
      <c r="Q94" s="436"/>
      <c r="R94" s="410"/>
      <c r="S94" s="436"/>
      <c r="T94" s="410"/>
      <c r="U94" s="436"/>
      <c r="V94" s="410"/>
      <c r="W94" s="436"/>
      <c r="X94" s="410"/>
      <c r="Y94" s="436"/>
      <c r="Z94" s="410"/>
      <c r="AA94" s="436"/>
      <c r="AB94" s="410"/>
      <c r="AC94" s="436"/>
      <c r="AD94" s="410"/>
      <c r="AE94" s="436"/>
      <c r="AF94" s="410"/>
      <c r="AG94" s="436"/>
      <c r="AH94" s="410"/>
      <c r="AI94" s="436"/>
      <c r="AJ94" s="410"/>
      <c r="AK94" s="436"/>
      <c r="AL94" s="410"/>
      <c r="AM94" s="436"/>
      <c r="AN94" s="410"/>
      <c r="AO94" s="436"/>
      <c r="AP94" s="410"/>
      <c r="AQ94" s="436"/>
      <c r="AR94" s="410"/>
      <c r="AS94" s="436"/>
      <c r="AT94" s="410"/>
      <c r="AU94" s="436"/>
      <c r="AV94" s="410"/>
      <c r="AW94" s="436"/>
      <c r="AX94" s="410"/>
      <c r="AY94" s="436"/>
      <c r="AZ94" s="410"/>
      <c r="BA94" s="436"/>
      <c r="BB94" s="410"/>
      <c r="BC94" s="436"/>
      <c r="BD94" s="410"/>
      <c r="BE94" s="436"/>
      <c r="BF94" s="410"/>
      <c r="BG94" s="436"/>
      <c r="BH94" s="410"/>
      <c r="BI94" s="436"/>
      <c r="BJ94" s="410"/>
      <c r="BK94" s="436"/>
      <c r="BL94" s="410"/>
      <c r="BM94" s="436"/>
      <c r="BN94" s="410"/>
      <c r="BO94" s="436"/>
      <c r="BP94" s="410"/>
      <c r="BQ94" s="436"/>
      <c r="BR94" s="410"/>
      <c r="BS94" s="436"/>
      <c r="BT94" s="410"/>
      <c r="BU94" s="436"/>
      <c r="BV94" s="410"/>
      <c r="BW94" s="436"/>
      <c r="BX94" s="410"/>
      <c r="BY94" s="436"/>
      <c r="BZ94" s="410"/>
      <c r="CA94" s="436"/>
      <c r="CB94" s="410"/>
      <c r="CC94" s="436"/>
      <c r="CD94" s="410"/>
      <c r="CE94" s="436"/>
      <c r="CF94" s="410"/>
      <c r="CG94" s="436"/>
      <c r="CH94" s="410"/>
      <c r="CI94" s="436"/>
      <c r="CJ94" s="436"/>
      <c r="CK94" s="436"/>
      <c r="CL94" s="436"/>
      <c r="CM94" s="436"/>
      <c r="CN94" s="436"/>
      <c r="CO94" s="436"/>
      <c r="CP94" s="436"/>
      <c r="CQ94" s="436"/>
      <c r="CR94" s="436"/>
      <c r="CS94" s="436"/>
      <c r="CT94" s="436"/>
      <c r="CU94" s="436"/>
      <c r="CV94" s="198"/>
      <c r="CW94" s="436"/>
      <c r="CX94" s="436"/>
      <c r="CY94" s="436"/>
      <c r="CZ94" s="436"/>
      <c r="DA94" s="436"/>
      <c r="DB94" s="436"/>
      <c r="DC94" s="436"/>
      <c r="DD94" s="436"/>
      <c r="DE94" s="436"/>
      <c r="DF94" s="580"/>
      <c r="DG94" s="436"/>
      <c r="DH94" s="436"/>
      <c r="DI94" s="580"/>
      <c r="DJ94" s="436"/>
      <c r="DK94" s="436"/>
      <c r="DL94" s="580"/>
      <c r="DM94" s="436"/>
      <c r="DN94" s="436"/>
      <c r="DO94" s="580"/>
      <c r="DP94" s="580"/>
      <c r="DQ94" s="580"/>
      <c r="DR94" s="580"/>
      <c r="DS94" s="580"/>
      <c r="DT94" s="580"/>
      <c r="DU94" s="580"/>
      <c r="DV94" s="580"/>
      <c r="DW94" s="580"/>
      <c r="DX94" s="580"/>
      <c r="DY94" s="580"/>
      <c r="DZ94" s="580"/>
      <c r="EA94" s="580"/>
      <c r="EB94" s="580"/>
      <c r="EC94" s="580"/>
      <c r="ED94" s="580"/>
      <c r="EE94" s="580"/>
      <c r="EF94" s="580"/>
      <c r="EG94" s="436"/>
      <c r="EH94" s="436"/>
      <c r="EI94" s="436"/>
      <c r="EJ94" s="436"/>
      <c r="EK94" s="436"/>
      <c r="EL94" s="436"/>
      <c r="EM94" s="436"/>
      <c r="EN94" s="436"/>
      <c r="EO94" s="436"/>
      <c r="EP94" s="580"/>
      <c r="EQ94" s="436"/>
      <c r="ER94" s="436"/>
      <c r="ES94" s="580"/>
      <c r="ET94" s="436"/>
      <c r="EU94" s="436"/>
      <c r="EV94" s="580"/>
      <c r="EW94" s="436"/>
      <c r="EX94" s="436"/>
      <c r="EY94" s="580"/>
      <c r="EZ94" s="580"/>
      <c r="FA94" s="580"/>
      <c r="FB94" s="580"/>
      <c r="FC94" s="580"/>
      <c r="FD94" s="580"/>
      <c r="FE94" s="580"/>
      <c r="FF94" s="580"/>
      <c r="FG94" s="580"/>
      <c r="FH94" s="580"/>
      <c r="FI94" s="580"/>
      <c r="FJ94" s="580"/>
      <c r="FK94" s="580"/>
      <c r="FL94" s="580"/>
      <c r="FM94" s="580"/>
      <c r="FN94" s="580"/>
      <c r="FO94" s="580"/>
      <c r="FP94" s="580"/>
      <c r="FQ94" s="947"/>
      <c r="FR94" s="949"/>
      <c r="FS94" s="580"/>
      <c r="FT94" s="947"/>
      <c r="FU94" s="949"/>
      <c r="FW94" s="947"/>
      <c r="FX94" s="949"/>
      <c r="FY94" s="580"/>
      <c r="FZ94" s="508">
        <v>272307342.30999982</v>
      </c>
      <c r="GA94" s="949">
        <f t="shared" si="204"/>
        <v>0.15005278489481405</v>
      </c>
      <c r="GB94" s="949"/>
      <c r="GC94" s="508">
        <v>272671481.99999994</v>
      </c>
      <c r="GD94" s="949">
        <f t="shared" si="205"/>
        <v>0.14500032703732132</v>
      </c>
      <c r="GE94" s="508">
        <v>271017737.08999985</v>
      </c>
      <c r="GF94" s="949">
        <f t="shared" si="206"/>
        <v>0.1414932832100616</v>
      </c>
      <c r="GG94" s="508">
        <v>269297826.79000008</v>
      </c>
      <c r="GH94" s="949">
        <f t="shared" si="207"/>
        <v>0.13746513447065745</v>
      </c>
      <c r="GI94" s="508">
        <v>299741429.10192364</v>
      </c>
      <c r="GJ94" s="949">
        <f t="shared" si="208"/>
        <v>0.14852206471681642</v>
      </c>
      <c r="GK94" s="508">
        <v>286225436.45999992</v>
      </c>
      <c r="GL94" s="949">
        <f t="shared" si="209"/>
        <v>0.13986939362972262</v>
      </c>
      <c r="GM94" s="508">
        <v>266728426.48999995</v>
      </c>
      <c r="GN94" s="949">
        <f t="shared" si="210"/>
        <v>0.13421416450465379</v>
      </c>
      <c r="GO94" s="508">
        <v>257436558.94000012</v>
      </c>
      <c r="GP94" s="949">
        <f t="shared" si="211"/>
        <v>0.12945031380033981</v>
      </c>
      <c r="GQ94" s="1026">
        <v>262432076.73999995</v>
      </c>
      <c r="GR94" s="949">
        <f t="shared" si="212"/>
        <v>0.13262396758170236</v>
      </c>
      <c r="GS94" s="949"/>
      <c r="GT94" s="1034">
        <v>256130095.36999997</v>
      </c>
      <c r="GU94" s="949">
        <f t="shared" si="213"/>
        <v>0.13359760351317052</v>
      </c>
      <c r="GV94" s="949"/>
      <c r="GW94" s="1052">
        <v>246250398.06000003</v>
      </c>
      <c r="GX94" s="949">
        <f t="shared" si="214"/>
        <v>0.13559398560028915</v>
      </c>
      <c r="GY94" s="949"/>
      <c r="GZ94" s="1034">
        <v>234630167.97</v>
      </c>
      <c r="HA94" s="949">
        <f t="shared" si="215"/>
        <v>0.12982917709192029</v>
      </c>
      <c r="HB94" s="949"/>
      <c r="HC94" s="1034">
        <v>227275157.72000006</v>
      </c>
      <c r="HD94" s="949">
        <f t="shared" si="216"/>
        <v>0.12857891649469708</v>
      </c>
      <c r="HE94" s="949"/>
      <c r="HF94" s="1034">
        <v>225673928.42999998</v>
      </c>
      <c r="HG94" s="949">
        <f t="shared" si="217"/>
        <v>0.12737421526955908</v>
      </c>
      <c r="HH94" s="949"/>
      <c r="HI94" s="1034">
        <v>223043329.23421946</v>
      </c>
      <c r="HJ94" s="949">
        <f t="shared" si="218"/>
        <v>0.12280137416240945</v>
      </c>
      <c r="HK94" s="949"/>
      <c r="HL94" s="1034">
        <v>217768483.3811518</v>
      </c>
      <c r="HM94" s="949">
        <f t="shared" si="219"/>
        <v>0.12080232090952515</v>
      </c>
      <c r="HN94" s="949"/>
      <c r="HO94" s="1034">
        <v>219010716.79000005</v>
      </c>
      <c r="HP94" s="949">
        <f t="shared" si="220"/>
        <v>0.12815306850347682</v>
      </c>
      <c r="HQ94" s="580"/>
      <c r="HR94" s="1034">
        <v>219010716.79000005</v>
      </c>
      <c r="HS94" s="949">
        <f t="shared" si="221"/>
        <v>0.12815306850347682</v>
      </c>
      <c r="HT94" s="580"/>
      <c r="HU94" s="1034">
        <v>219010716.79000005</v>
      </c>
      <c r="HV94" s="949">
        <f t="shared" si="222"/>
        <v>0.12815306850347682</v>
      </c>
      <c r="HW94" s="580"/>
      <c r="HX94" s="580"/>
      <c r="HY94" s="580"/>
      <c r="HZ94" s="580"/>
      <c r="IA94" s="580"/>
      <c r="IB94" s="580"/>
      <c r="JE94" s="232"/>
    </row>
    <row r="95" spans="2:265" ht="14.25" customHeight="1">
      <c r="B95" s="324" t="s">
        <v>777</v>
      </c>
      <c r="D95" s="267"/>
      <c r="E95" s="436"/>
      <c r="F95" s="946"/>
      <c r="G95" s="436"/>
      <c r="H95" s="410"/>
      <c r="I95" s="436"/>
      <c r="J95" s="410"/>
      <c r="K95" s="436"/>
      <c r="L95" s="410"/>
      <c r="M95" s="436"/>
      <c r="N95" s="410"/>
      <c r="O95" s="436"/>
      <c r="P95" s="410"/>
      <c r="Q95" s="436"/>
      <c r="R95" s="410"/>
      <c r="S95" s="436"/>
      <c r="T95" s="410"/>
      <c r="U95" s="436"/>
      <c r="V95" s="410"/>
      <c r="W95" s="436"/>
      <c r="X95" s="410"/>
      <c r="Y95" s="436"/>
      <c r="Z95" s="410"/>
      <c r="AA95" s="436"/>
      <c r="AB95" s="410"/>
      <c r="AC95" s="436"/>
      <c r="AD95" s="410"/>
      <c r="AE95" s="436"/>
      <c r="AF95" s="410"/>
      <c r="AG95" s="436"/>
      <c r="AH95" s="410"/>
      <c r="AI95" s="436"/>
      <c r="AJ95" s="410"/>
      <c r="AK95" s="436"/>
      <c r="AL95" s="410"/>
      <c r="AM95" s="436"/>
      <c r="AN95" s="410"/>
      <c r="AO95" s="436"/>
      <c r="AP95" s="410"/>
      <c r="AQ95" s="436"/>
      <c r="AR95" s="410"/>
      <c r="AS95" s="436"/>
      <c r="AT95" s="410"/>
      <c r="AU95" s="436"/>
      <c r="AV95" s="410"/>
      <c r="AW95" s="436"/>
      <c r="AX95" s="410"/>
      <c r="AY95" s="436"/>
      <c r="AZ95" s="410"/>
      <c r="BA95" s="436"/>
      <c r="BB95" s="410"/>
      <c r="BC95" s="436"/>
      <c r="BD95" s="410"/>
      <c r="BE95" s="436"/>
      <c r="BF95" s="410"/>
      <c r="BG95" s="436"/>
      <c r="BH95" s="410"/>
      <c r="BI95" s="436"/>
      <c r="BJ95" s="410"/>
      <c r="BK95" s="436"/>
      <c r="BL95" s="410"/>
      <c r="BM95" s="436"/>
      <c r="BN95" s="410"/>
      <c r="BO95" s="436"/>
      <c r="BP95" s="410"/>
      <c r="BQ95" s="436"/>
      <c r="BR95" s="410"/>
      <c r="BS95" s="436"/>
      <c r="BT95" s="410"/>
      <c r="BU95" s="436"/>
      <c r="BV95" s="410"/>
      <c r="BW95" s="436"/>
      <c r="BX95" s="410"/>
      <c r="BY95" s="436"/>
      <c r="BZ95" s="410"/>
      <c r="CA95" s="436"/>
      <c r="CB95" s="410"/>
      <c r="CC95" s="436"/>
      <c r="CD95" s="410"/>
      <c r="CE95" s="436"/>
      <c r="CF95" s="410"/>
      <c r="CG95" s="436"/>
      <c r="CH95" s="410"/>
      <c r="CI95" s="436"/>
      <c r="CJ95" s="436"/>
      <c r="CK95" s="436"/>
      <c r="CL95" s="436"/>
      <c r="CM95" s="436"/>
      <c r="CN95" s="436"/>
      <c r="CO95" s="436"/>
      <c r="CP95" s="436"/>
      <c r="CQ95" s="436"/>
      <c r="CR95" s="436"/>
      <c r="CS95" s="436"/>
      <c r="CT95" s="436"/>
      <c r="CU95" s="436"/>
      <c r="CV95" s="198"/>
      <c r="CW95" s="436"/>
      <c r="CX95" s="436"/>
      <c r="CY95" s="436"/>
      <c r="CZ95" s="436"/>
      <c r="DA95" s="436"/>
      <c r="DB95" s="436"/>
      <c r="DC95" s="436"/>
      <c r="DD95" s="436"/>
      <c r="DE95" s="436"/>
      <c r="DF95" s="580"/>
      <c r="DG95" s="436"/>
      <c r="DH95" s="436"/>
      <c r="DI95" s="580"/>
      <c r="DJ95" s="436"/>
      <c r="DK95" s="436"/>
      <c r="DL95" s="580"/>
      <c r="DM95" s="436"/>
      <c r="DN95" s="436"/>
      <c r="DO95" s="580"/>
      <c r="DP95" s="580"/>
      <c r="DQ95" s="580"/>
      <c r="DR95" s="580"/>
      <c r="DS95" s="580"/>
      <c r="DT95" s="580"/>
      <c r="DU95" s="580"/>
      <c r="DV95" s="580"/>
      <c r="DW95" s="580"/>
      <c r="DX95" s="580"/>
      <c r="DY95" s="580"/>
      <c r="DZ95" s="580"/>
      <c r="EA95" s="580"/>
      <c r="EB95" s="580"/>
      <c r="EC95" s="580"/>
      <c r="ED95" s="580"/>
      <c r="EE95" s="580"/>
      <c r="EF95" s="580"/>
      <c r="EG95" s="436"/>
      <c r="EH95" s="436"/>
      <c r="EI95" s="436"/>
      <c r="EJ95" s="436"/>
      <c r="EK95" s="436"/>
      <c r="EL95" s="436"/>
      <c r="EM95" s="436"/>
      <c r="EN95" s="436"/>
      <c r="EO95" s="436"/>
      <c r="EP95" s="580"/>
      <c r="EQ95" s="436"/>
      <c r="ER95" s="436"/>
      <c r="ES95" s="580"/>
      <c r="ET95" s="436"/>
      <c r="EU95" s="436"/>
      <c r="EV95" s="580"/>
      <c r="EW95" s="436"/>
      <c r="EX95" s="436"/>
      <c r="EY95" s="580"/>
      <c r="EZ95" s="580"/>
      <c r="FA95" s="580"/>
      <c r="FB95" s="580"/>
      <c r="FC95" s="580"/>
      <c r="FD95" s="580"/>
      <c r="FE95" s="580"/>
      <c r="FF95" s="580"/>
      <c r="FG95" s="580"/>
      <c r="FH95" s="580"/>
      <c r="FI95" s="580"/>
      <c r="FJ95" s="580"/>
      <c r="FK95" s="580"/>
      <c r="FL95" s="580"/>
      <c r="FM95" s="580"/>
      <c r="FN95" s="580"/>
      <c r="FO95" s="580"/>
      <c r="FP95" s="580"/>
      <c r="FQ95" s="947"/>
      <c r="FR95" s="949"/>
      <c r="FS95" s="580"/>
      <c r="FT95" s="947"/>
      <c r="FU95" s="949"/>
      <c r="FW95" s="947"/>
      <c r="FX95" s="949"/>
      <c r="FY95" s="580"/>
      <c r="FZ95" s="508">
        <v>11599166.66</v>
      </c>
      <c r="GA95" s="949">
        <f t="shared" si="204"/>
        <v>6.3916280957664199E-3</v>
      </c>
      <c r="GB95" s="949"/>
      <c r="GC95" s="508">
        <v>15726172.120000001</v>
      </c>
      <c r="GD95" s="949">
        <f t="shared" si="205"/>
        <v>8.3628111151176614E-3</v>
      </c>
      <c r="GE95" s="508">
        <v>16494974.369999999</v>
      </c>
      <c r="GF95" s="949">
        <f t="shared" si="206"/>
        <v>8.6117170969590966E-3</v>
      </c>
      <c r="GG95" s="508">
        <v>24503217.490000002</v>
      </c>
      <c r="GH95" s="949">
        <f t="shared" si="207"/>
        <v>1.2507854695215438E-2</v>
      </c>
      <c r="GI95" s="508">
        <v>30647650.09452742</v>
      </c>
      <c r="GJ95" s="949">
        <f t="shared" si="208"/>
        <v>1.5185929700795351E-2</v>
      </c>
      <c r="GK95" s="508">
        <v>34009246.769999988</v>
      </c>
      <c r="GL95" s="949">
        <f t="shared" si="209"/>
        <v>1.6619252231233027E-2</v>
      </c>
      <c r="GM95" s="508">
        <v>31216185.239999991</v>
      </c>
      <c r="GN95" s="949">
        <f t="shared" si="210"/>
        <v>1.5707565467028242E-2</v>
      </c>
      <c r="GO95" s="508">
        <v>35897948.839999996</v>
      </c>
      <c r="GP95" s="949">
        <f t="shared" si="211"/>
        <v>1.8051052116531765E-2</v>
      </c>
      <c r="GQ95" s="1026">
        <v>34498057.830000013</v>
      </c>
      <c r="GR95" s="949">
        <f t="shared" si="212"/>
        <v>1.7434108513383003E-2</v>
      </c>
      <c r="GS95" s="949"/>
      <c r="GT95" s="1034">
        <v>34988158.799999997</v>
      </c>
      <c r="GU95" s="949">
        <f t="shared" si="213"/>
        <v>1.8249843542461518E-2</v>
      </c>
      <c r="GV95" s="949"/>
      <c r="GW95" s="1052">
        <v>37942093.230000004</v>
      </c>
      <c r="GX95" s="949">
        <f t="shared" si="214"/>
        <v>2.089222873792031E-2</v>
      </c>
      <c r="GY95" s="949"/>
      <c r="GZ95" s="1034">
        <v>47032198.73999998</v>
      </c>
      <c r="HA95" s="949">
        <f t="shared" si="215"/>
        <v>2.6024580351570924E-2</v>
      </c>
      <c r="HB95" s="949"/>
      <c r="HC95" s="1034">
        <v>45967776.479999997</v>
      </c>
      <c r="HD95" s="949">
        <f t="shared" si="216"/>
        <v>2.6005864225382962E-2</v>
      </c>
      <c r="HE95" s="949"/>
      <c r="HF95" s="1034">
        <v>49025199.140000001</v>
      </c>
      <c r="HG95" s="949">
        <f t="shared" si="217"/>
        <v>2.7670658778948448E-2</v>
      </c>
      <c r="HH95" s="949"/>
      <c r="HI95" s="1034">
        <v>57340270.703663751</v>
      </c>
      <c r="HJ95" s="949">
        <f t="shared" si="218"/>
        <v>3.156993782970377E-2</v>
      </c>
      <c r="HK95" s="949"/>
      <c r="HL95" s="1034">
        <v>54693793.171190776</v>
      </c>
      <c r="HM95" s="949">
        <f t="shared" si="219"/>
        <v>3.0340189966153942E-2</v>
      </c>
      <c r="HN95" s="949"/>
      <c r="HO95" s="1034">
        <v>47708359.430000007</v>
      </c>
      <c r="HP95" s="949">
        <f t="shared" si="220"/>
        <v>2.7916317264436472E-2</v>
      </c>
      <c r="HQ95" s="580"/>
      <c r="HR95" s="1034">
        <v>47708359.430000007</v>
      </c>
      <c r="HS95" s="949">
        <f t="shared" si="221"/>
        <v>2.7916317264436472E-2</v>
      </c>
      <c r="HT95" s="580"/>
      <c r="HU95" s="1034">
        <v>47708359.430000007</v>
      </c>
      <c r="HV95" s="949">
        <f t="shared" si="222"/>
        <v>2.7916317264436472E-2</v>
      </c>
      <c r="HW95" s="580"/>
      <c r="HX95" s="580"/>
      <c r="HY95" s="580"/>
      <c r="HZ95" s="580"/>
      <c r="IA95" s="580"/>
      <c r="IB95" s="580"/>
      <c r="JE95" s="232"/>
    </row>
    <row r="96" spans="2:265" ht="14.25" customHeight="1">
      <c r="B96" s="324" t="s">
        <v>778</v>
      </c>
      <c r="D96" s="267"/>
      <c r="E96" s="436"/>
      <c r="F96" s="946"/>
      <c r="G96" s="436"/>
      <c r="H96" s="410"/>
      <c r="I96" s="436"/>
      <c r="J96" s="410"/>
      <c r="K96" s="436"/>
      <c r="L96" s="410"/>
      <c r="M96" s="436"/>
      <c r="N96" s="410"/>
      <c r="O96" s="436"/>
      <c r="P96" s="410"/>
      <c r="Q96" s="436"/>
      <c r="R96" s="410"/>
      <c r="S96" s="436"/>
      <c r="T96" s="410"/>
      <c r="U96" s="436"/>
      <c r="V96" s="410"/>
      <c r="W96" s="436"/>
      <c r="X96" s="410"/>
      <c r="Y96" s="436"/>
      <c r="Z96" s="410"/>
      <c r="AA96" s="436"/>
      <c r="AB96" s="410"/>
      <c r="AC96" s="436"/>
      <c r="AD96" s="410"/>
      <c r="AE96" s="436"/>
      <c r="AF96" s="410"/>
      <c r="AG96" s="436"/>
      <c r="AH96" s="410"/>
      <c r="AI96" s="436"/>
      <c r="AJ96" s="410"/>
      <c r="AK96" s="436"/>
      <c r="AL96" s="410"/>
      <c r="AM96" s="436"/>
      <c r="AN96" s="410"/>
      <c r="AO96" s="436"/>
      <c r="AP96" s="410"/>
      <c r="AQ96" s="436"/>
      <c r="AR96" s="410"/>
      <c r="AS96" s="436"/>
      <c r="AT96" s="410"/>
      <c r="AU96" s="436"/>
      <c r="AV96" s="410"/>
      <c r="AW96" s="436"/>
      <c r="AX96" s="410"/>
      <c r="AY96" s="436"/>
      <c r="AZ96" s="410"/>
      <c r="BA96" s="436"/>
      <c r="BB96" s="410"/>
      <c r="BC96" s="436"/>
      <c r="BD96" s="410"/>
      <c r="BE96" s="436"/>
      <c r="BF96" s="410"/>
      <c r="BG96" s="436"/>
      <c r="BH96" s="410"/>
      <c r="BI96" s="436"/>
      <c r="BJ96" s="410"/>
      <c r="BK96" s="436"/>
      <c r="BL96" s="410"/>
      <c r="BM96" s="436"/>
      <c r="BN96" s="410"/>
      <c r="BO96" s="436"/>
      <c r="BP96" s="410"/>
      <c r="BQ96" s="436"/>
      <c r="BR96" s="410"/>
      <c r="BS96" s="436"/>
      <c r="BT96" s="410"/>
      <c r="BU96" s="436"/>
      <c r="BV96" s="410"/>
      <c r="BW96" s="436"/>
      <c r="BX96" s="410"/>
      <c r="BY96" s="436"/>
      <c r="BZ96" s="410"/>
      <c r="CA96" s="436"/>
      <c r="CB96" s="410"/>
      <c r="CC96" s="436"/>
      <c r="CD96" s="410"/>
      <c r="CE96" s="436"/>
      <c r="CF96" s="410"/>
      <c r="CG96" s="436"/>
      <c r="CH96" s="410"/>
      <c r="CI96" s="436"/>
      <c r="CJ96" s="436"/>
      <c r="CK96" s="436"/>
      <c r="CL96" s="436"/>
      <c r="CM96" s="436"/>
      <c r="CN96" s="436"/>
      <c r="CO96" s="436"/>
      <c r="CP96" s="436"/>
      <c r="CQ96" s="436"/>
      <c r="CR96" s="436"/>
      <c r="CS96" s="436"/>
      <c r="CT96" s="436"/>
      <c r="CU96" s="436"/>
      <c r="CV96" s="198"/>
      <c r="CW96" s="436"/>
      <c r="CX96" s="436"/>
      <c r="CY96" s="436"/>
      <c r="CZ96" s="436"/>
      <c r="DA96" s="436"/>
      <c r="DB96" s="436"/>
      <c r="DC96" s="436"/>
      <c r="DD96" s="436"/>
      <c r="DE96" s="436"/>
      <c r="DF96" s="580"/>
      <c r="DG96" s="436"/>
      <c r="DH96" s="436"/>
      <c r="DI96" s="580"/>
      <c r="DJ96" s="436"/>
      <c r="DK96" s="436"/>
      <c r="DL96" s="580"/>
      <c r="DM96" s="436"/>
      <c r="DN96" s="436"/>
      <c r="DO96" s="580"/>
      <c r="DP96" s="580"/>
      <c r="DQ96" s="580"/>
      <c r="DR96" s="580"/>
      <c r="DS96" s="580"/>
      <c r="DT96" s="580"/>
      <c r="DU96" s="580"/>
      <c r="DV96" s="580"/>
      <c r="DW96" s="580"/>
      <c r="DX96" s="580"/>
      <c r="DY96" s="580"/>
      <c r="DZ96" s="580"/>
      <c r="EA96" s="580"/>
      <c r="EB96" s="580"/>
      <c r="EC96" s="580"/>
      <c r="ED96" s="580"/>
      <c r="EE96" s="580"/>
      <c r="EF96" s="580"/>
      <c r="EG96" s="436"/>
      <c r="EH96" s="436"/>
      <c r="EI96" s="436"/>
      <c r="EJ96" s="436"/>
      <c r="EK96" s="436"/>
      <c r="EL96" s="436"/>
      <c r="EM96" s="436"/>
      <c r="EN96" s="436"/>
      <c r="EO96" s="436"/>
      <c r="EP96" s="580"/>
      <c r="EQ96" s="436"/>
      <c r="ER96" s="436"/>
      <c r="ES96" s="580"/>
      <c r="ET96" s="436"/>
      <c r="EU96" s="436"/>
      <c r="EV96" s="580"/>
      <c r="EW96" s="436"/>
      <c r="EX96" s="436"/>
      <c r="EY96" s="580"/>
      <c r="EZ96" s="580"/>
      <c r="FA96" s="580"/>
      <c r="FB96" s="580"/>
      <c r="FC96" s="580"/>
      <c r="FD96" s="580"/>
      <c r="FE96" s="580"/>
      <c r="FF96" s="580"/>
      <c r="FG96" s="580"/>
      <c r="FH96" s="580"/>
      <c r="FI96" s="580"/>
      <c r="FJ96" s="580"/>
      <c r="FK96" s="580"/>
      <c r="FL96" s="580"/>
      <c r="FM96" s="580"/>
      <c r="FN96" s="580"/>
      <c r="FO96" s="580"/>
      <c r="FP96" s="580"/>
      <c r="FQ96" s="947"/>
      <c r="FR96" s="949"/>
      <c r="FS96" s="580"/>
      <c r="FT96" s="947"/>
      <c r="FU96" s="949"/>
      <c r="FW96" s="947"/>
      <c r="FX96" s="949"/>
      <c r="FY96" s="580"/>
      <c r="FZ96" s="508">
        <v>465956818.89000046</v>
      </c>
      <c r="GA96" s="949">
        <f t="shared" si="204"/>
        <v>0.25676178145639922</v>
      </c>
      <c r="GB96" s="949"/>
      <c r="GC96" s="508">
        <v>505718532.25000042</v>
      </c>
      <c r="GD96" s="949">
        <f t="shared" si="205"/>
        <v>0.26892930653116198</v>
      </c>
      <c r="GE96" s="508">
        <v>525393552.18999946</v>
      </c>
      <c r="GF96" s="949">
        <f t="shared" si="206"/>
        <v>0.27429813072372117</v>
      </c>
      <c r="GG96" s="508">
        <v>554854524.91000021</v>
      </c>
      <c r="GH96" s="949">
        <f t="shared" si="207"/>
        <v>0.28322973411101515</v>
      </c>
      <c r="GI96" s="508">
        <v>580636391.85951531</v>
      </c>
      <c r="GJ96" s="949">
        <f t="shared" si="208"/>
        <v>0.28770569362760229</v>
      </c>
      <c r="GK96" s="508">
        <v>620035350.02000093</v>
      </c>
      <c r="GL96" s="949">
        <f t="shared" si="209"/>
        <v>0.30299182877972497</v>
      </c>
      <c r="GM96" s="508">
        <v>620998589.90000045</v>
      </c>
      <c r="GN96" s="949">
        <f t="shared" si="210"/>
        <v>0.31247815614854041</v>
      </c>
      <c r="GO96" s="508">
        <v>611005316.25000024</v>
      </c>
      <c r="GP96" s="949">
        <f t="shared" si="211"/>
        <v>0.30724008372358941</v>
      </c>
      <c r="GQ96" s="1026">
        <v>610679453.45000005</v>
      </c>
      <c r="GR96" s="949">
        <f t="shared" si="212"/>
        <v>0.3086159780589805</v>
      </c>
      <c r="GS96" s="949"/>
      <c r="GT96" s="1034">
        <v>587340784.53999901</v>
      </c>
      <c r="GU96" s="949">
        <f t="shared" si="213"/>
        <v>0.30635728748211766</v>
      </c>
      <c r="GV96" s="949"/>
      <c r="GW96" s="1052">
        <v>528768805.05999899</v>
      </c>
      <c r="GX96" s="949">
        <f t="shared" si="214"/>
        <v>0.29115839123118126</v>
      </c>
      <c r="GY96" s="949"/>
      <c r="GZ96" s="1034">
        <v>560863557.96000004</v>
      </c>
      <c r="HA96" s="949">
        <f t="shared" si="215"/>
        <v>0.31034565938726055</v>
      </c>
      <c r="HB96" s="949"/>
      <c r="HC96" s="1034">
        <v>570534790.07000065</v>
      </c>
      <c r="HD96" s="949">
        <f t="shared" si="216"/>
        <v>0.32277502682500447</v>
      </c>
      <c r="HE96" s="949"/>
      <c r="HF96" s="1034">
        <v>549084438.29999983</v>
      </c>
      <c r="HG96" s="949">
        <f t="shared" si="217"/>
        <v>0.30991262451871132</v>
      </c>
      <c r="HH96" s="949"/>
      <c r="HI96" s="1034">
        <v>594504628.91231024</v>
      </c>
      <c r="HJ96" s="949">
        <f t="shared" si="218"/>
        <v>0.3273175020611393</v>
      </c>
      <c r="HK96" s="949"/>
      <c r="HL96" s="1034">
        <v>601223140.60876584</v>
      </c>
      <c r="HM96" s="949">
        <f t="shared" si="219"/>
        <v>0.33351543640469172</v>
      </c>
      <c r="HN96" s="949"/>
      <c r="HO96" s="1034">
        <v>515235008.55999988</v>
      </c>
      <c r="HP96" s="949">
        <f t="shared" si="220"/>
        <v>0.30148728936717489</v>
      </c>
      <c r="HQ96" s="961"/>
      <c r="HR96" s="1034">
        <v>515235008.55999988</v>
      </c>
      <c r="HS96" s="949">
        <f t="shared" si="221"/>
        <v>0.30148728936717489</v>
      </c>
      <c r="HT96" s="580"/>
      <c r="HU96" s="1034">
        <v>515235008.55999988</v>
      </c>
      <c r="HV96" s="949">
        <f t="shared" si="222"/>
        <v>0.30148728936717489</v>
      </c>
      <c r="HW96" s="580"/>
      <c r="HX96" s="580"/>
      <c r="HY96" s="580"/>
      <c r="HZ96" s="580"/>
      <c r="IA96" s="580"/>
      <c r="IB96" s="580"/>
      <c r="JE96" s="232"/>
    </row>
    <row r="97" spans="1:265" ht="14.25" customHeight="1">
      <c r="B97" s="324" t="s">
        <v>791</v>
      </c>
      <c r="D97" s="267"/>
      <c r="E97" s="436"/>
      <c r="F97" s="946"/>
      <c r="G97" s="436"/>
      <c r="H97" s="410"/>
      <c r="I97" s="436"/>
      <c r="J97" s="410"/>
      <c r="K97" s="436"/>
      <c r="L97" s="410"/>
      <c r="M97" s="436"/>
      <c r="N97" s="410"/>
      <c r="O97" s="436"/>
      <c r="P97" s="410"/>
      <c r="Q97" s="436"/>
      <c r="R97" s="410"/>
      <c r="S97" s="436"/>
      <c r="T97" s="410"/>
      <c r="U97" s="436"/>
      <c r="V97" s="410"/>
      <c r="W97" s="436"/>
      <c r="X97" s="410"/>
      <c r="Y97" s="436"/>
      <c r="Z97" s="410"/>
      <c r="AA97" s="436"/>
      <c r="AB97" s="410"/>
      <c r="AC97" s="436"/>
      <c r="AD97" s="410"/>
      <c r="AE97" s="436"/>
      <c r="AF97" s="410"/>
      <c r="AG97" s="436"/>
      <c r="AH97" s="410"/>
      <c r="AI97" s="436"/>
      <c r="AJ97" s="410"/>
      <c r="AK97" s="436"/>
      <c r="AL97" s="410"/>
      <c r="AM97" s="436"/>
      <c r="AN97" s="410"/>
      <c r="AO97" s="436"/>
      <c r="AP97" s="410"/>
      <c r="AQ97" s="436"/>
      <c r="AR97" s="410"/>
      <c r="AS97" s="436"/>
      <c r="AT97" s="410"/>
      <c r="AU97" s="436"/>
      <c r="AV97" s="410"/>
      <c r="AW97" s="436"/>
      <c r="AX97" s="410"/>
      <c r="AY97" s="436"/>
      <c r="AZ97" s="410"/>
      <c r="BA97" s="436"/>
      <c r="BB97" s="410"/>
      <c r="BC97" s="436"/>
      <c r="BD97" s="410"/>
      <c r="BE97" s="436"/>
      <c r="BF97" s="410"/>
      <c r="BG97" s="436"/>
      <c r="BH97" s="410"/>
      <c r="BI97" s="436"/>
      <c r="BJ97" s="410"/>
      <c r="BK97" s="436"/>
      <c r="BL97" s="410"/>
      <c r="BM97" s="436"/>
      <c r="BN97" s="410"/>
      <c r="BO97" s="436"/>
      <c r="BP97" s="410"/>
      <c r="BQ97" s="436"/>
      <c r="BR97" s="410"/>
      <c r="BS97" s="436"/>
      <c r="BT97" s="410"/>
      <c r="BU97" s="436"/>
      <c r="BV97" s="410"/>
      <c r="BW97" s="436"/>
      <c r="BX97" s="410"/>
      <c r="BY97" s="436"/>
      <c r="BZ97" s="410"/>
      <c r="CA97" s="436"/>
      <c r="CB97" s="410"/>
      <c r="CC97" s="436"/>
      <c r="CD97" s="410"/>
      <c r="CE97" s="436"/>
      <c r="CF97" s="410"/>
      <c r="CG97" s="436"/>
      <c r="CH97" s="410"/>
      <c r="CI97" s="436"/>
      <c r="CJ97" s="436"/>
      <c r="CK97" s="436"/>
      <c r="CL97" s="436"/>
      <c r="CM97" s="436"/>
      <c r="CN97" s="436"/>
      <c r="CO97" s="436"/>
      <c r="CP97" s="436"/>
      <c r="CQ97" s="436"/>
      <c r="CR97" s="436"/>
      <c r="CS97" s="436"/>
      <c r="CT97" s="436"/>
      <c r="CU97" s="436"/>
      <c r="CV97" s="198"/>
      <c r="CW97" s="436"/>
      <c r="CX97" s="436"/>
      <c r="CY97" s="436"/>
      <c r="CZ97" s="436"/>
      <c r="DA97" s="436"/>
      <c r="DB97" s="436"/>
      <c r="DC97" s="436"/>
      <c r="DD97" s="436"/>
      <c r="DE97" s="436"/>
      <c r="DF97" s="580"/>
      <c r="DG97" s="436"/>
      <c r="DH97" s="436"/>
      <c r="DI97" s="580"/>
      <c r="DJ97" s="436"/>
      <c r="DK97" s="436"/>
      <c r="DL97" s="580"/>
      <c r="DM97" s="436"/>
      <c r="DN97" s="436"/>
      <c r="DO97" s="580"/>
      <c r="DP97" s="580"/>
      <c r="DQ97" s="580"/>
      <c r="DR97" s="580"/>
      <c r="DS97" s="580"/>
      <c r="DT97" s="580"/>
      <c r="DU97" s="580"/>
      <c r="DV97" s="580"/>
      <c r="DW97" s="580"/>
      <c r="DX97" s="580"/>
      <c r="DY97" s="580"/>
      <c r="DZ97" s="580"/>
      <c r="EA97" s="580"/>
      <c r="EB97" s="580"/>
      <c r="EC97" s="580"/>
      <c r="ED97" s="580"/>
      <c r="EE97" s="580"/>
      <c r="EF97" s="580"/>
      <c r="EG97" s="436"/>
      <c r="EH97" s="436"/>
      <c r="EI97" s="436"/>
      <c r="EJ97" s="436"/>
      <c r="EK97" s="436"/>
      <c r="EL97" s="436"/>
      <c r="EM97" s="436"/>
      <c r="EN97" s="436"/>
      <c r="EO97" s="436"/>
      <c r="EP97" s="580"/>
      <c r="EQ97" s="436"/>
      <c r="ER97" s="436"/>
      <c r="ES97" s="580"/>
      <c r="ET97" s="436"/>
      <c r="EU97" s="436"/>
      <c r="EV97" s="580"/>
      <c r="EW97" s="436"/>
      <c r="EX97" s="436"/>
      <c r="EY97" s="580"/>
      <c r="EZ97" s="580"/>
      <c r="FA97" s="580"/>
      <c r="FB97" s="580"/>
      <c r="FC97" s="580"/>
      <c r="FD97" s="580"/>
      <c r="FE97" s="580"/>
      <c r="FF97" s="580"/>
      <c r="FG97" s="580"/>
      <c r="FH97" s="580"/>
      <c r="FI97" s="580"/>
      <c r="FJ97" s="580"/>
      <c r="FK97" s="580"/>
      <c r="FL97" s="580"/>
      <c r="FM97" s="580"/>
      <c r="FN97" s="580"/>
      <c r="FO97" s="580"/>
      <c r="FP97" s="580"/>
      <c r="FQ97" s="947"/>
      <c r="FR97" s="949"/>
      <c r="FS97" s="580"/>
      <c r="FT97" s="947"/>
      <c r="FU97" s="949"/>
      <c r="FW97" s="947"/>
      <c r="FX97" s="949"/>
      <c r="FY97" s="580"/>
      <c r="FZ97" s="508">
        <v>1836558.22</v>
      </c>
      <c r="GA97" s="949">
        <f t="shared" si="204"/>
        <v>1.0120207306740057E-3</v>
      </c>
      <c r="GB97" s="949"/>
      <c r="GC97" s="508">
        <v>6163465.0099999998</v>
      </c>
      <c r="GD97" s="949">
        <f t="shared" si="205"/>
        <v>3.2775867706366416E-3</v>
      </c>
      <c r="GE97" s="508">
        <v>7878173.5000000009</v>
      </c>
      <c r="GF97" s="949">
        <f t="shared" si="206"/>
        <v>4.1130467923703781E-3</v>
      </c>
      <c r="GG97" s="508">
        <v>31934655.370000008</v>
      </c>
      <c r="GH97" s="949">
        <f t="shared" si="207"/>
        <v>1.6301288974509342E-2</v>
      </c>
      <c r="GI97" s="508">
        <v>46227145.104668863</v>
      </c>
      <c r="GJ97" s="949">
        <f t="shared" si="208"/>
        <v>2.2905579176960126E-2</v>
      </c>
      <c r="GK97" s="508">
        <v>42597578.379999988</v>
      </c>
      <c r="GL97" s="949">
        <f t="shared" si="209"/>
        <v>2.0816100524796738E-2</v>
      </c>
      <c r="GM97" s="508">
        <v>45064381.100000001</v>
      </c>
      <c r="GN97" s="949">
        <f t="shared" si="210"/>
        <v>2.2675791770108051E-2</v>
      </c>
      <c r="GO97" s="508">
        <v>49347481.390000023</v>
      </c>
      <c r="GP97" s="949">
        <f t="shared" si="211"/>
        <v>2.481406284132617E-2</v>
      </c>
      <c r="GQ97" s="1026">
        <v>53870585.199999996</v>
      </c>
      <c r="GR97" s="949">
        <f t="shared" si="212"/>
        <v>2.7224304414015878E-2</v>
      </c>
      <c r="GS97" s="949"/>
      <c r="GT97" s="1034">
        <v>49427219.720000014</v>
      </c>
      <c r="GU97" s="949">
        <f t="shared" si="213"/>
        <v>2.5781265935859103E-2</v>
      </c>
      <c r="GV97" s="949"/>
      <c r="GW97" s="1052">
        <v>48523772.24000001</v>
      </c>
      <c r="GX97" s="949">
        <f t="shared" si="214"/>
        <v>2.6718867162111706E-2</v>
      </c>
      <c r="GY97" s="949"/>
      <c r="GZ97" s="1034">
        <v>42293371.409999996</v>
      </c>
      <c r="HA97" s="949">
        <f t="shared" si="215"/>
        <v>2.3402419450619501E-2</v>
      </c>
      <c r="HB97" s="949"/>
      <c r="HC97" s="1034">
        <v>38132259.38000001</v>
      </c>
      <c r="HD97" s="949">
        <f t="shared" si="216"/>
        <v>2.1572989515271118E-2</v>
      </c>
      <c r="HE97" s="949"/>
      <c r="HF97" s="1034">
        <v>37786541.329999998</v>
      </c>
      <c r="HG97" s="949">
        <f t="shared" si="217"/>
        <v>2.1327368576173067E-2</v>
      </c>
      <c r="HH97" s="949"/>
      <c r="HI97" s="1034">
        <v>35331734.046428397</v>
      </c>
      <c r="HJ97" s="949">
        <f t="shared" si="218"/>
        <v>1.9452657505331636E-2</v>
      </c>
      <c r="HK97" s="949"/>
      <c r="HL97" s="1034">
        <v>31586725.082963184</v>
      </c>
      <c r="HM97" s="949">
        <f t="shared" si="219"/>
        <v>1.7522047454748106E-2</v>
      </c>
      <c r="HN97" s="949"/>
      <c r="HO97" s="1034">
        <v>30781639.989999998</v>
      </c>
      <c r="HP97" s="949">
        <f t="shared" si="220"/>
        <v>1.8011728723166975E-2</v>
      </c>
      <c r="HQ97" s="580"/>
      <c r="HR97" s="1034">
        <v>30781639.989999998</v>
      </c>
      <c r="HS97" s="949">
        <f t="shared" si="221"/>
        <v>1.8011728723166975E-2</v>
      </c>
      <c r="HT97" s="580"/>
      <c r="HU97" s="1034">
        <v>30781639.989999998</v>
      </c>
      <c r="HV97" s="949">
        <f t="shared" si="222"/>
        <v>1.8011728723166975E-2</v>
      </c>
      <c r="HW97" s="580"/>
      <c r="HX97" s="580"/>
      <c r="HY97" s="580"/>
      <c r="HZ97" s="580"/>
      <c r="IA97" s="580"/>
      <c r="IB97" s="580"/>
    </row>
    <row r="98" spans="1:265" ht="14.25" customHeight="1">
      <c r="B98" s="324" t="s">
        <v>790</v>
      </c>
      <c r="D98" s="267"/>
      <c r="E98" s="436"/>
      <c r="F98" s="946"/>
      <c r="G98" s="436"/>
      <c r="H98" s="410"/>
      <c r="I98" s="436"/>
      <c r="J98" s="410"/>
      <c r="K98" s="436"/>
      <c r="L98" s="410"/>
      <c r="M98" s="436"/>
      <c r="N98" s="410"/>
      <c r="O98" s="436"/>
      <c r="P98" s="410"/>
      <c r="Q98" s="436"/>
      <c r="R98" s="410"/>
      <c r="S98" s="436"/>
      <c r="T98" s="410"/>
      <c r="U98" s="436"/>
      <c r="V98" s="410"/>
      <c r="W98" s="436"/>
      <c r="X98" s="410"/>
      <c r="Y98" s="436"/>
      <c r="Z98" s="410"/>
      <c r="AA98" s="436"/>
      <c r="AB98" s="410"/>
      <c r="AC98" s="436"/>
      <c r="AD98" s="410"/>
      <c r="AE98" s="436"/>
      <c r="AF98" s="410"/>
      <c r="AG98" s="436"/>
      <c r="AH98" s="410"/>
      <c r="AI98" s="436"/>
      <c r="AJ98" s="410"/>
      <c r="AK98" s="436"/>
      <c r="AL98" s="410"/>
      <c r="AM98" s="436"/>
      <c r="AN98" s="410"/>
      <c r="AO98" s="436"/>
      <c r="AP98" s="410"/>
      <c r="AQ98" s="436"/>
      <c r="AR98" s="410"/>
      <c r="AS98" s="436"/>
      <c r="AT98" s="410"/>
      <c r="AU98" s="436"/>
      <c r="AV98" s="410"/>
      <c r="AW98" s="436"/>
      <c r="AX98" s="410"/>
      <c r="AY98" s="436"/>
      <c r="AZ98" s="410"/>
      <c r="BA98" s="436"/>
      <c r="BB98" s="410"/>
      <c r="BC98" s="436"/>
      <c r="BD98" s="410"/>
      <c r="BE98" s="436"/>
      <c r="BF98" s="410"/>
      <c r="BG98" s="436"/>
      <c r="BH98" s="410"/>
      <c r="BI98" s="436"/>
      <c r="BJ98" s="410"/>
      <c r="BK98" s="436"/>
      <c r="BL98" s="410"/>
      <c r="BM98" s="436"/>
      <c r="BN98" s="410"/>
      <c r="BO98" s="436"/>
      <c r="BP98" s="410"/>
      <c r="BQ98" s="436"/>
      <c r="BR98" s="410"/>
      <c r="BS98" s="436"/>
      <c r="BT98" s="410"/>
      <c r="BU98" s="436"/>
      <c r="BV98" s="410"/>
      <c r="BW98" s="436"/>
      <c r="BX98" s="410"/>
      <c r="BY98" s="436"/>
      <c r="BZ98" s="410"/>
      <c r="CA98" s="436"/>
      <c r="CB98" s="410"/>
      <c r="CC98" s="436"/>
      <c r="CD98" s="410"/>
      <c r="CE98" s="436"/>
      <c r="CF98" s="410"/>
      <c r="CG98" s="436"/>
      <c r="CH98" s="410"/>
      <c r="CI98" s="436"/>
      <c r="CJ98" s="436"/>
      <c r="CK98" s="436"/>
      <c r="CL98" s="436"/>
      <c r="CM98" s="436"/>
      <c r="CN98" s="436"/>
      <c r="CO98" s="436"/>
      <c r="CP98" s="436"/>
      <c r="CQ98" s="436"/>
      <c r="CR98" s="436"/>
      <c r="CS98" s="436"/>
      <c r="CT98" s="436"/>
      <c r="CU98" s="436"/>
      <c r="CV98" s="198"/>
      <c r="CW98" s="436"/>
      <c r="CX98" s="436"/>
      <c r="CY98" s="436"/>
      <c r="CZ98" s="436"/>
      <c r="DA98" s="436"/>
      <c r="DB98" s="436"/>
      <c r="DC98" s="436"/>
      <c r="DD98" s="436"/>
      <c r="DE98" s="436"/>
      <c r="DF98" s="580"/>
      <c r="DG98" s="436"/>
      <c r="DH98" s="436"/>
      <c r="DI98" s="580"/>
      <c r="DJ98" s="436"/>
      <c r="DK98" s="436"/>
      <c r="DL98" s="580"/>
      <c r="DM98" s="436"/>
      <c r="DN98" s="436"/>
      <c r="DO98" s="580"/>
      <c r="DP98" s="580"/>
      <c r="DQ98" s="580"/>
      <c r="DR98" s="580"/>
      <c r="DS98" s="580"/>
      <c r="DT98" s="580"/>
      <c r="DU98" s="580"/>
      <c r="DV98" s="580"/>
      <c r="DW98" s="580"/>
      <c r="DX98" s="580"/>
      <c r="DY98" s="580"/>
      <c r="DZ98" s="580"/>
      <c r="EA98" s="580"/>
      <c r="EB98" s="580"/>
      <c r="EC98" s="580"/>
      <c r="ED98" s="580"/>
      <c r="EE98" s="580"/>
      <c r="EF98" s="580"/>
      <c r="EG98" s="436"/>
      <c r="EH98" s="436"/>
      <c r="EI98" s="436"/>
      <c r="EJ98" s="436"/>
      <c r="EK98" s="436"/>
      <c r="EL98" s="436"/>
      <c r="EM98" s="436"/>
      <c r="EN98" s="436"/>
      <c r="EO98" s="436"/>
      <c r="EP98" s="580"/>
      <c r="EQ98" s="436"/>
      <c r="ER98" s="436"/>
      <c r="ES98" s="580"/>
      <c r="ET98" s="436"/>
      <c r="EU98" s="436"/>
      <c r="EV98" s="580"/>
      <c r="EW98" s="436"/>
      <c r="EX98" s="436"/>
      <c r="EY98" s="580"/>
      <c r="EZ98" s="580"/>
      <c r="FA98" s="580"/>
      <c r="FB98" s="580"/>
      <c r="FC98" s="580"/>
      <c r="FD98" s="580"/>
      <c r="FE98" s="580"/>
      <c r="FF98" s="580"/>
      <c r="FG98" s="580"/>
      <c r="FH98" s="580"/>
      <c r="FI98" s="580"/>
      <c r="FJ98" s="580"/>
      <c r="FK98" s="580"/>
      <c r="FL98" s="580"/>
      <c r="FM98" s="580"/>
      <c r="FN98" s="580"/>
      <c r="FO98" s="580"/>
      <c r="FP98" s="580"/>
      <c r="FQ98" s="947"/>
      <c r="FR98" s="949"/>
      <c r="FS98" s="580"/>
      <c r="FT98" s="947"/>
      <c r="FU98" s="949"/>
      <c r="FW98" s="947"/>
      <c r="FX98" s="949"/>
      <c r="FY98" s="580"/>
      <c r="FZ98" s="508">
        <v>6078769.3000000007</v>
      </c>
      <c r="GA98" s="949">
        <f t="shared" si="204"/>
        <v>3.3496572455975369E-3</v>
      </c>
      <c r="GB98" s="949"/>
      <c r="GC98" s="508">
        <v>14038613.879999999</v>
      </c>
      <c r="GD98" s="949">
        <f t="shared" si="205"/>
        <v>7.465407048877516E-3</v>
      </c>
      <c r="GE98" s="508">
        <v>13312523.540000001</v>
      </c>
      <c r="GF98" s="949">
        <f t="shared" si="206"/>
        <v>6.9502191395698701E-3</v>
      </c>
      <c r="GG98" s="508">
        <v>12958399.779999997</v>
      </c>
      <c r="GH98" s="949">
        <f t="shared" si="207"/>
        <v>6.614714234850945E-3</v>
      </c>
      <c r="GI98" s="508">
        <v>12378489.853313904</v>
      </c>
      <c r="GJ98" s="949">
        <f t="shared" si="208"/>
        <v>6.1335494282480033E-3</v>
      </c>
      <c r="GK98" s="508">
        <v>33067630.23</v>
      </c>
      <c r="GL98" s="949">
        <f t="shared" si="209"/>
        <v>1.6159113760975435E-2</v>
      </c>
      <c r="GM98" s="508">
        <v>18790789.669999998</v>
      </c>
      <c r="GN98" s="949">
        <f t="shared" si="210"/>
        <v>9.4552731747783239E-3</v>
      </c>
      <c r="GO98" s="508">
        <v>14638367.929999998</v>
      </c>
      <c r="GP98" s="949">
        <f t="shared" si="211"/>
        <v>7.3608089304245941E-3</v>
      </c>
      <c r="GQ98" s="1026">
        <v>9971355.9700000025</v>
      </c>
      <c r="GR98" s="949">
        <f t="shared" si="212"/>
        <v>5.0391735924152289E-3</v>
      </c>
      <c r="GS98" s="949"/>
      <c r="GT98" s="1034">
        <v>10247025.030000001</v>
      </c>
      <c r="GU98" s="949">
        <f t="shared" si="213"/>
        <v>5.344854087411627E-3</v>
      </c>
      <c r="GV98" s="949"/>
      <c r="GW98" s="1052">
        <v>10090975.239999998</v>
      </c>
      <c r="GX98" s="949">
        <f t="shared" si="214"/>
        <v>5.5564399577216015E-3</v>
      </c>
      <c r="GY98" s="949"/>
      <c r="GZ98" s="1034">
        <v>9908594.0900000017</v>
      </c>
      <c r="HA98" s="949">
        <f t="shared" si="215"/>
        <v>5.4827758423931583E-3</v>
      </c>
      <c r="HB98" s="949"/>
      <c r="HC98" s="1034">
        <v>21228498.18</v>
      </c>
      <c r="HD98" s="949">
        <f t="shared" si="216"/>
        <v>1.2009835664295533E-2</v>
      </c>
      <c r="HE98" s="949"/>
      <c r="HF98" s="1034">
        <v>20595298.180000003</v>
      </c>
      <c r="HG98" s="949">
        <f t="shared" si="217"/>
        <v>1.1624337654643092E-2</v>
      </c>
      <c r="HH98" s="949"/>
      <c r="HI98" s="1034">
        <v>8756642.6592668444</v>
      </c>
      <c r="HJ98" s="949">
        <f t="shared" si="218"/>
        <v>4.8211607820735775E-3</v>
      </c>
      <c r="HK98" s="949"/>
      <c r="HL98" s="1034">
        <v>7898833.4654393094</v>
      </c>
      <c r="HM98" s="949">
        <f t="shared" si="219"/>
        <v>4.3817057467990033E-3</v>
      </c>
      <c r="HN98" s="949"/>
      <c r="HO98" s="1034">
        <v>4319158.33</v>
      </c>
      <c r="HP98" s="949">
        <f t="shared" si="220"/>
        <v>2.5273347416719921E-3</v>
      </c>
      <c r="HQ98" s="580"/>
      <c r="HR98" s="1034">
        <v>4319158.33</v>
      </c>
      <c r="HS98" s="949">
        <f t="shared" si="221"/>
        <v>2.5273347416719921E-3</v>
      </c>
      <c r="HT98" s="580"/>
      <c r="HU98" s="1034">
        <v>4319158.33</v>
      </c>
      <c r="HV98" s="949">
        <f t="shared" si="222"/>
        <v>2.5273347416719921E-3</v>
      </c>
      <c r="HW98" s="580"/>
      <c r="HX98" s="580"/>
      <c r="HY98" s="580"/>
      <c r="HZ98" s="580"/>
      <c r="IA98" s="580"/>
      <c r="IB98" s="580"/>
    </row>
    <row r="99" spans="1:265" ht="14.25" customHeight="1">
      <c r="B99" s="324" t="s">
        <v>779</v>
      </c>
      <c r="D99" s="267"/>
      <c r="E99" s="436"/>
      <c r="F99" s="946"/>
      <c r="G99" s="436"/>
      <c r="H99" s="410"/>
      <c r="I99" s="436"/>
      <c r="J99" s="410"/>
      <c r="K99" s="436"/>
      <c r="L99" s="410"/>
      <c r="M99" s="436"/>
      <c r="N99" s="410"/>
      <c r="O99" s="436"/>
      <c r="P99" s="410"/>
      <c r="Q99" s="436"/>
      <c r="R99" s="410"/>
      <c r="S99" s="436"/>
      <c r="T99" s="410"/>
      <c r="U99" s="436"/>
      <c r="V99" s="410"/>
      <c r="W99" s="436"/>
      <c r="X99" s="410"/>
      <c r="Y99" s="436"/>
      <c r="Z99" s="410"/>
      <c r="AA99" s="436"/>
      <c r="AB99" s="410"/>
      <c r="AC99" s="436"/>
      <c r="AD99" s="410"/>
      <c r="AE99" s="436"/>
      <c r="AF99" s="410"/>
      <c r="AG99" s="436"/>
      <c r="AH99" s="410"/>
      <c r="AI99" s="436"/>
      <c r="AJ99" s="410"/>
      <c r="AK99" s="436"/>
      <c r="AL99" s="410"/>
      <c r="AM99" s="436"/>
      <c r="AN99" s="410"/>
      <c r="AO99" s="436"/>
      <c r="AP99" s="410"/>
      <c r="AQ99" s="436"/>
      <c r="AR99" s="410"/>
      <c r="AS99" s="436"/>
      <c r="AT99" s="410"/>
      <c r="AU99" s="436"/>
      <c r="AV99" s="410"/>
      <c r="AW99" s="436"/>
      <c r="AX99" s="410"/>
      <c r="AY99" s="436"/>
      <c r="AZ99" s="410"/>
      <c r="BA99" s="436"/>
      <c r="BB99" s="410"/>
      <c r="BC99" s="436"/>
      <c r="BD99" s="410"/>
      <c r="BE99" s="436"/>
      <c r="BF99" s="410"/>
      <c r="BG99" s="436"/>
      <c r="BH99" s="410"/>
      <c r="BI99" s="436"/>
      <c r="BJ99" s="410"/>
      <c r="BK99" s="436"/>
      <c r="BL99" s="410"/>
      <c r="BM99" s="436"/>
      <c r="BN99" s="410"/>
      <c r="BO99" s="436"/>
      <c r="BP99" s="410"/>
      <c r="BQ99" s="436"/>
      <c r="BR99" s="410"/>
      <c r="BS99" s="436"/>
      <c r="BT99" s="410"/>
      <c r="BU99" s="436"/>
      <c r="BV99" s="410"/>
      <c r="BW99" s="436"/>
      <c r="BX99" s="410"/>
      <c r="BY99" s="436"/>
      <c r="BZ99" s="410"/>
      <c r="CA99" s="436"/>
      <c r="CB99" s="410"/>
      <c r="CC99" s="436"/>
      <c r="CD99" s="410"/>
      <c r="CE99" s="436"/>
      <c r="CF99" s="410"/>
      <c r="CG99" s="436"/>
      <c r="CH99" s="410"/>
      <c r="CI99" s="436"/>
      <c r="CJ99" s="436"/>
      <c r="CK99" s="436"/>
      <c r="CL99" s="436"/>
      <c r="CM99" s="436"/>
      <c r="CN99" s="436"/>
      <c r="CO99" s="436"/>
      <c r="CP99" s="436"/>
      <c r="CQ99" s="436"/>
      <c r="CR99" s="436"/>
      <c r="CS99" s="436"/>
      <c r="CT99" s="436"/>
      <c r="CU99" s="436"/>
      <c r="CV99" s="198"/>
      <c r="CW99" s="436"/>
      <c r="CX99" s="436"/>
      <c r="CY99" s="436"/>
      <c r="CZ99" s="436"/>
      <c r="DA99" s="436"/>
      <c r="DB99" s="436"/>
      <c r="DC99" s="436"/>
      <c r="DD99" s="436"/>
      <c r="DE99" s="436"/>
      <c r="DF99" s="580"/>
      <c r="DG99" s="436"/>
      <c r="DH99" s="436"/>
      <c r="DI99" s="580"/>
      <c r="DJ99" s="436"/>
      <c r="DK99" s="436"/>
      <c r="DL99" s="580"/>
      <c r="DM99" s="436"/>
      <c r="DN99" s="436"/>
      <c r="DO99" s="580"/>
      <c r="DP99" s="580"/>
      <c r="DQ99" s="580"/>
      <c r="DR99" s="580"/>
      <c r="DS99" s="580"/>
      <c r="DT99" s="580"/>
      <c r="DU99" s="580"/>
      <c r="DV99" s="580"/>
      <c r="DW99" s="580"/>
      <c r="DX99" s="580"/>
      <c r="DY99" s="580"/>
      <c r="DZ99" s="580"/>
      <c r="EA99" s="580"/>
      <c r="EB99" s="580"/>
      <c r="EC99" s="580"/>
      <c r="ED99" s="580"/>
      <c r="EE99" s="580"/>
      <c r="EF99" s="580"/>
      <c r="EG99" s="436"/>
      <c r="EH99" s="436"/>
      <c r="EI99" s="436"/>
      <c r="EJ99" s="436"/>
      <c r="EK99" s="436"/>
      <c r="EL99" s="436"/>
      <c r="EM99" s="436"/>
      <c r="EN99" s="436"/>
      <c r="EO99" s="436"/>
      <c r="EP99" s="580"/>
      <c r="EQ99" s="436"/>
      <c r="ER99" s="436"/>
      <c r="ES99" s="580"/>
      <c r="ET99" s="436"/>
      <c r="EU99" s="436"/>
      <c r="EV99" s="580"/>
      <c r="EW99" s="436"/>
      <c r="EX99" s="436"/>
      <c r="EY99" s="580"/>
      <c r="EZ99" s="580"/>
      <c r="FA99" s="580"/>
      <c r="FB99" s="580"/>
      <c r="FC99" s="580"/>
      <c r="FD99" s="580"/>
      <c r="FE99" s="580"/>
      <c r="FF99" s="580"/>
      <c r="FG99" s="580"/>
      <c r="FH99" s="580"/>
      <c r="FI99" s="580"/>
      <c r="FJ99" s="580"/>
      <c r="FK99" s="580"/>
      <c r="FL99" s="580"/>
      <c r="FM99" s="580"/>
      <c r="FN99" s="580"/>
      <c r="FO99" s="580"/>
      <c r="FP99" s="580"/>
      <c r="FQ99" s="947"/>
      <c r="FR99" s="949"/>
      <c r="FS99" s="580"/>
      <c r="FT99" s="947"/>
      <c r="FU99" s="949"/>
      <c r="FW99" s="947"/>
      <c r="FX99" s="949"/>
      <c r="FY99" s="580"/>
      <c r="FZ99" s="508">
        <v>5766666.6799999997</v>
      </c>
      <c r="GA99" s="949">
        <f t="shared" si="204"/>
        <v>3.1776755909469845E-3</v>
      </c>
      <c r="GB99" s="949"/>
      <c r="GC99" s="508">
        <v>7095870.7200000007</v>
      </c>
      <c r="GD99" s="949">
        <f t="shared" si="205"/>
        <v>3.7734183548191998E-3</v>
      </c>
      <c r="GE99" s="508">
        <v>8693768.6700000018</v>
      </c>
      <c r="GF99" s="949">
        <f t="shared" si="206"/>
        <v>4.5388537510317071E-3</v>
      </c>
      <c r="GG99" s="508">
        <v>9194558.3500000015</v>
      </c>
      <c r="GH99" s="949">
        <f t="shared" si="207"/>
        <v>4.6934326022863787E-3</v>
      </c>
      <c r="GI99" s="508">
        <v>9998989.2227122784</v>
      </c>
      <c r="GJ99" s="949">
        <f t="shared" si="208"/>
        <v>4.9545053844840432E-3</v>
      </c>
      <c r="GK99" s="508">
        <v>12080872.51</v>
      </c>
      <c r="GL99" s="949">
        <f t="shared" si="209"/>
        <v>5.9035434914179166E-3</v>
      </c>
      <c r="GM99" s="508">
        <v>10503184.199999999</v>
      </c>
      <c r="GN99" s="949">
        <f t="shared" si="210"/>
        <v>5.2850613284532357E-3</v>
      </c>
      <c r="GO99" s="508">
        <v>10685380.100000001</v>
      </c>
      <c r="GP99" s="949">
        <f t="shared" si="211"/>
        <v>5.3730744876188709E-3</v>
      </c>
      <c r="GQ99" s="1026">
        <v>10462540.220000001</v>
      </c>
      <c r="GR99" s="949">
        <f t="shared" si="212"/>
        <v>5.2874008855794772E-3</v>
      </c>
      <c r="GS99" s="949"/>
      <c r="GT99" s="1034">
        <v>9355567.8300000001</v>
      </c>
      <c r="GU99" s="949">
        <f t="shared" si="213"/>
        <v>4.8798695045475281E-3</v>
      </c>
      <c r="GV99" s="949"/>
      <c r="GW99" s="1052">
        <v>8808958.8600000013</v>
      </c>
      <c r="GX99" s="949">
        <f t="shared" si="214"/>
        <v>4.8505174010941027E-3</v>
      </c>
      <c r="GY99" s="949"/>
      <c r="GZ99" s="1034">
        <v>10174129.029999999</v>
      </c>
      <c r="HA99" s="949">
        <f t="shared" si="215"/>
        <v>5.6297057237789149E-3</v>
      </c>
      <c r="HB99" s="949"/>
      <c r="HC99" s="1034">
        <v>11210463.520000001</v>
      </c>
      <c r="HD99" s="949">
        <f t="shared" si="216"/>
        <v>6.3422208888344479E-3</v>
      </c>
      <c r="HE99" s="949"/>
      <c r="HF99" s="1034">
        <v>11657935.780000001</v>
      </c>
      <c r="HG99" s="949">
        <f t="shared" si="217"/>
        <v>6.5799378420490036E-3</v>
      </c>
      <c r="HH99" s="949"/>
      <c r="HI99" s="1034">
        <v>12396099.77721234</v>
      </c>
      <c r="HJ99" s="949">
        <f t="shared" si="218"/>
        <v>6.8249433512422089E-3</v>
      </c>
      <c r="HK99" s="949"/>
      <c r="HL99" s="1034">
        <v>11680389.52380836</v>
      </c>
      <c r="HM99" s="949">
        <f t="shared" si="219"/>
        <v>6.4794415688412656E-3</v>
      </c>
      <c r="HN99" s="949"/>
      <c r="HO99" s="1034">
        <v>10925277.050000001</v>
      </c>
      <c r="HP99" s="949">
        <f t="shared" si="220"/>
        <v>6.3928733658755905E-3</v>
      </c>
      <c r="HQ99" s="580"/>
      <c r="HR99" s="1034">
        <v>10925277.050000001</v>
      </c>
      <c r="HS99" s="949">
        <f t="shared" si="221"/>
        <v>6.3928733658755905E-3</v>
      </c>
      <c r="HT99" s="580"/>
      <c r="HU99" s="1034">
        <v>10925277.050000001</v>
      </c>
      <c r="HV99" s="949">
        <f t="shared" si="222"/>
        <v>6.3928733658755905E-3</v>
      </c>
      <c r="HW99" s="580"/>
      <c r="HX99" s="580"/>
      <c r="HY99" s="580"/>
      <c r="HZ99" s="580"/>
      <c r="IA99" s="580"/>
      <c r="IB99" s="580"/>
      <c r="JE99" s="232"/>
    </row>
    <row r="100" spans="1:265" ht="14.1" customHeight="1">
      <c r="B100" s="324" t="s">
        <v>780</v>
      </c>
      <c r="D100" s="267"/>
      <c r="E100" s="436"/>
      <c r="F100" s="946"/>
      <c r="G100" s="436"/>
      <c r="H100" s="410"/>
      <c r="I100" s="436"/>
      <c r="J100" s="410"/>
      <c r="K100" s="436"/>
      <c r="L100" s="410"/>
      <c r="M100" s="436"/>
      <c r="N100" s="410"/>
      <c r="O100" s="436"/>
      <c r="P100" s="410"/>
      <c r="Q100" s="436"/>
      <c r="R100" s="410"/>
      <c r="S100" s="436"/>
      <c r="T100" s="410"/>
      <c r="U100" s="436"/>
      <c r="V100" s="410"/>
      <c r="W100" s="436"/>
      <c r="X100" s="410"/>
      <c r="Y100" s="436"/>
      <c r="Z100" s="410"/>
      <c r="AA100" s="436"/>
      <c r="AB100" s="410"/>
      <c r="AC100" s="436"/>
      <c r="AD100" s="410"/>
      <c r="AE100" s="436"/>
      <c r="AF100" s="410"/>
      <c r="AG100" s="436"/>
      <c r="AH100" s="410"/>
      <c r="AI100" s="436"/>
      <c r="AJ100" s="410"/>
      <c r="AK100" s="436"/>
      <c r="AL100" s="410"/>
      <c r="AM100" s="436"/>
      <c r="AN100" s="410"/>
      <c r="AO100" s="436"/>
      <c r="AP100" s="410"/>
      <c r="AQ100" s="436"/>
      <c r="AR100" s="410"/>
      <c r="AS100" s="436"/>
      <c r="AT100" s="410"/>
      <c r="AU100" s="436"/>
      <c r="AV100" s="410"/>
      <c r="AW100" s="436"/>
      <c r="AX100" s="410"/>
      <c r="AY100" s="436"/>
      <c r="AZ100" s="410"/>
      <c r="BA100" s="436"/>
      <c r="BB100" s="410"/>
      <c r="BC100" s="436"/>
      <c r="BD100" s="410"/>
      <c r="BE100" s="436"/>
      <c r="BF100" s="410"/>
      <c r="BG100" s="436"/>
      <c r="BH100" s="410"/>
      <c r="BI100" s="436"/>
      <c r="BJ100" s="410"/>
      <c r="BK100" s="436"/>
      <c r="BL100" s="410"/>
      <c r="BM100" s="436"/>
      <c r="BN100" s="410"/>
      <c r="BO100" s="436"/>
      <c r="BP100" s="410"/>
      <c r="BQ100" s="436"/>
      <c r="BR100" s="410"/>
      <c r="BS100" s="436"/>
      <c r="BT100" s="410"/>
      <c r="BU100" s="436"/>
      <c r="BV100" s="410"/>
      <c r="BW100" s="436"/>
      <c r="BX100" s="410"/>
      <c r="BY100" s="436"/>
      <c r="BZ100" s="410"/>
      <c r="CA100" s="436"/>
      <c r="CB100" s="410"/>
      <c r="CC100" s="436"/>
      <c r="CD100" s="410"/>
      <c r="CE100" s="436"/>
      <c r="CF100" s="410"/>
      <c r="CG100" s="436"/>
      <c r="CH100" s="410"/>
      <c r="CI100" s="436"/>
      <c r="CJ100" s="436"/>
      <c r="CK100" s="436"/>
      <c r="CL100" s="436"/>
      <c r="CM100" s="436"/>
      <c r="CN100" s="436"/>
      <c r="CO100" s="436"/>
      <c r="CP100" s="436"/>
      <c r="CQ100" s="436"/>
      <c r="CR100" s="436"/>
      <c r="CS100" s="436"/>
      <c r="CT100" s="436"/>
      <c r="CU100" s="436"/>
      <c r="CV100" s="198"/>
      <c r="CW100" s="436"/>
      <c r="CX100" s="436"/>
      <c r="CY100" s="436"/>
      <c r="CZ100" s="436"/>
      <c r="DA100" s="436"/>
      <c r="DB100" s="436"/>
      <c r="DC100" s="436"/>
      <c r="DD100" s="436"/>
      <c r="DE100" s="436"/>
      <c r="DF100" s="580"/>
      <c r="DG100" s="436"/>
      <c r="DH100" s="436"/>
      <c r="DI100" s="580"/>
      <c r="DJ100" s="436"/>
      <c r="DK100" s="436"/>
      <c r="DL100" s="580"/>
      <c r="DM100" s="436"/>
      <c r="DN100" s="436"/>
      <c r="DO100" s="580"/>
      <c r="DP100" s="580"/>
      <c r="DQ100" s="580"/>
      <c r="DR100" s="580"/>
      <c r="DS100" s="580"/>
      <c r="DT100" s="580"/>
      <c r="DU100" s="580"/>
      <c r="DV100" s="580"/>
      <c r="DW100" s="580"/>
      <c r="DX100" s="580"/>
      <c r="DY100" s="580"/>
      <c r="DZ100" s="580"/>
      <c r="EA100" s="580"/>
      <c r="EB100" s="580"/>
      <c r="EC100" s="580"/>
      <c r="ED100" s="580"/>
      <c r="EE100" s="580"/>
      <c r="EF100" s="580"/>
      <c r="EG100" s="436"/>
      <c r="EH100" s="436"/>
      <c r="EI100" s="436"/>
      <c r="EJ100" s="436"/>
      <c r="EK100" s="436"/>
      <c r="EL100" s="436"/>
      <c r="EM100" s="436"/>
      <c r="EN100" s="436"/>
      <c r="EO100" s="436"/>
      <c r="EP100" s="580"/>
      <c r="EQ100" s="436"/>
      <c r="ER100" s="436"/>
      <c r="ES100" s="580"/>
      <c r="ET100" s="436"/>
      <c r="EU100" s="436"/>
      <c r="EV100" s="580"/>
      <c r="EW100" s="436"/>
      <c r="EX100" s="436"/>
      <c r="EY100" s="580"/>
      <c r="EZ100" s="580"/>
      <c r="FA100" s="580"/>
      <c r="FB100" s="580"/>
      <c r="FC100" s="580"/>
      <c r="FD100" s="580"/>
      <c r="FE100" s="580"/>
      <c r="FF100" s="580"/>
      <c r="FG100" s="580"/>
      <c r="FH100" s="580"/>
      <c r="FI100" s="580"/>
      <c r="FJ100" s="580"/>
      <c r="FK100" s="580"/>
      <c r="FL100" s="580"/>
      <c r="FM100" s="580"/>
      <c r="FN100" s="580"/>
      <c r="FO100" s="580"/>
      <c r="FP100" s="580"/>
      <c r="FQ100" s="947"/>
      <c r="FR100" s="949"/>
      <c r="FS100" s="580"/>
      <c r="FT100" s="947"/>
      <c r="FU100" s="949"/>
      <c r="FW100" s="947"/>
      <c r="FX100" s="949"/>
      <c r="FY100" s="580"/>
      <c r="FZ100" s="508">
        <v>5140491.6199999992</v>
      </c>
      <c r="GA100" s="949">
        <f t="shared" si="204"/>
        <v>2.8326268280762712E-3</v>
      </c>
      <c r="GB100" s="949"/>
      <c r="GC100" s="508">
        <v>8008929.4999999991</v>
      </c>
      <c r="GD100" s="949">
        <f t="shared" si="205"/>
        <v>4.2589616933935556E-3</v>
      </c>
      <c r="GE100" s="508">
        <v>11713910.229999995</v>
      </c>
      <c r="GF100" s="949">
        <f t="shared" si="206"/>
        <v>6.1156130793027135E-3</v>
      </c>
      <c r="GG100" s="508">
        <v>13510012.390000004</v>
      </c>
      <c r="GH100" s="949">
        <f t="shared" si="207"/>
        <v>6.8962891087116689E-3</v>
      </c>
      <c r="GI100" s="508">
        <v>16140529.371876776</v>
      </c>
      <c r="GJ100" s="949">
        <f t="shared" si="208"/>
        <v>7.9976423516630729E-3</v>
      </c>
      <c r="GK100" s="508">
        <v>17221622.789999999</v>
      </c>
      <c r="GL100" s="949">
        <f t="shared" si="209"/>
        <v>8.4156669188754606E-3</v>
      </c>
      <c r="GM100" s="508">
        <v>15611608.17</v>
      </c>
      <c r="GN100" s="949">
        <f t="shared" si="210"/>
        <v>7.8555517110926783E-3</v>
      </c>
      <c r="GO100" s="508">
        <v>15629928.010000004</v>
      </c>
      <c r="GP100" s="949">
        <f t="shared" si="211"/>
        <v>7.8594085234132763E-3</v>
      </c>
      <c r="GQ100" s="1026">
        <v>14958312.130000003</v>
      </c>
      <c r="GR100" s="949">
        <f t="shared" si="212"/>
        <v>7.5594063334397631E-3</v>
      </c>
      <c r="GS100" s="949"/>
      <c r="GT100" s="1034">
        <v>14018482.020000001</v>
      </c>
      <c r="GU100" s="949">
        <f t="shared" si="213"/>
        <v>7.3120481997986687E-3</v>
      </c>
      <c r="GV100" s="949"/>
      <c r="GW100" s="1052">
        <v>14312628.859999999</v>
      </c>
      <c r="GX100" s="949">
        <f t="shared" si="214"/>
        <v>7.8810284443571171E-3</v>
      </c>
      <c r="GY100" s="949"/>
      <c r="GZ100" s="1034">
        <v>14859639.899999995</v>
      </c>
      <c r="HA100" s="949">
        <f t="shared" si="215"/>
        <v>8.2223647401809593E-3</v>
      </c>
      <c r="HB100" s="949"/>
      <c r="HC100" s="1034">
        <v>13559253.879999999</v>
      </c>
      <c r="HD100" s="949">
        <f t="shared" si="216"/>
        <v>7.6710283246830026E-3</v>
      </c>
      <c r="HE100" s="949"/>
      <c r="HF100" s="1034">
        <v>13765460.390000001</v>
      </c>
      <c r="HG100" s="949">
        <f t="shared" si="217"/>
        <v>7.7694606869233955E-3</v>
      </c>
      <c r="HH100" s="949"/>
      <c r="HI100" s="1034">
        <v>13476497.872058697</v>
      </c>
      <c r="HJ100" s="949">
        <f t="shared" si="218"/>
        <v>7.4197801084996268E-3</v>
      </c>
      <c r="HK100" s="949"/>
      <c r="HL100" s="1034">
        <v>12595425.44528578</v>
      </c>
      <c r="HM100" s="949">
        <f t="shared" si="219"/>
        <v>6.9870378073501552E-3</v>
      </c>
      <c r="HN100" s="949"/>
      <c r="HO100" s="1034">
        <v>9910953.0499999989</v>
      </c>
      <c r="HP100" s="949">
        <f t="shared" si="220"/>
        <v>5.799346551471519E-3</v>
      </c>
      <c r="HQ100" s="580"/>
      <c r="HR100" s="1034">
        <v>9910953.0499999989</v>
      </c>
      <c r="HS100" s="949">
        <f t="shared" si="221"/>
        <v>5.799346551471519E-3</v>
      </c>
      <c r="HT100" s="580"/>
      <c r="HU100" s="1034">
        <v>9910953.0499999989</v>
      </c>
      <c r="HV100" s="949">
        <f t="shared" si="222"/>
        <v>5.799346551471519E-3</v>
      </c>
      <c r="HW100" s="580"/>
      <c r="HX100" s="580"/>
      <c r="HY100" s="580"/>
      <c r="HZ100" s="580"/>
      <c r="IA100" s="580"/>
      <c r="IB100" s="580"/>
      <c r="JE100" s="232"/>
    </row>
    <row r="101" spans="1:265" ht="14.25" customHeight="1">
      <c r="B101" s="324" t="s">
        <v>781</v>
      </c>
      <c r="D101" s="267"/>
      <c r="E101" s="436"/>
      <c r="F101" s="946"/>
      <c r="G101" s="436"/>
      <c r="H101" s="410"/>
      <c r="I101" s="436"/>
      <c r="J101" s="410"/>
      <c r="K101" s="436"/>
      <c r="L101" s="410"/>
      <c r="M101" s="436"/>
      <c r="N101" s="410"/>
      <c r="O101" s="436"/>
      <c r="P101" s="410"/>
      <c r="Q101" s="436"/>
      <c r="R101" s="410"/>
      <c r="S101" s="436"/>
      <c r="T101" s="410"/>
      <c r="U101" s="436"/>
      <c r="V101" s="410"/>
      <c r="W101" s="436"/>
      <c r="X101" s="410"/>
      <c r="Y101" s="436"/>
      <c r="Z101" s="410"/>
      <c r="AA101" s="436"/>
      <c r="AB101" s="410"/>
      <c r="AC101" s="436"/>
      <c r="AD101" s="410"/>
      <c r="AE101" s="436"/>
      <c r="AF101" s="410"/>
      <c r="AG101" s="436"/>
      <c r="AH101" s="410"/>
      <c r="AI101" s="436"/>
      <c r="AJ101" s="410"/>
      <c r="AK101" s="436"/>
      <c r="AL101" s="410"/>
      <c r="AM101" s="436"/>
      <c r="AN101" s="410"/>
      <c r="AO101" s="436"/>
      <c r="AP101" s="410"/>
      <c r="AQ101" s="436"/>
      <c r="AR101" s="410"/>
      <c r="AS101" s="436"/>
      <c r="AT101" s="410"/>
      <c r="AU101" s="436"/>
      <c r="AV101" s="410"/>
      <c r="AW101" s="436"/>
      <c r="AX101" s="410"/>
      <c r="AY101" s="436"/>
      <c r="AZ101" s="410"/>
      <c r="BA101" s="436"/>
      <c r="BB101" s="410"/>
      <c r="BC101" s="436"/>
      <c r="BD101" s="410"/>
      <c r="BE101" s="436"/>
      <c r="BF101" s="410"/>
      <c r="BG101" s="436"/>
      <c r="BH101" s="410"/>
      <c r="BI101" s="436"/>
      <c r="BJ101" s="410"/>
      <c r="BK101" s="436"/>
      <c r="BL101" s="410"/>
      <c r="BM101" s="436"/>
      <c r="BN101" s="410"/>
      <c r="BO101" s="436"/>
      <c r="BP101" s="410"/>
      <c r="BQ101" s="436"/>
      <c r="BR101" s="410"/>
      <c r="BS101" s="436"/>
      <c r="BT101" s="410"/>
      <c r="BU101" s="436"/>
      <c r="BV101" s="410"/>
      <c r="BW101" s="436"/>
      <c r="BX101" s="410"/>
      <c r="BY101" s="436"/>
      <c r="BZ101" s="410"/>
      <c r="CA101" s="436"/>
      <c r="CB101" s="410"/>
      <c r="CC101" s="436"/>
      <c r="CD101" s="410"/>
      <c r="CE101" s="436"/>
      <c r="CF101" s="410"/>
      <c r="CG101" s="436"/>
      <c r="CH101" s="410"/>
      <c r="CI101" s="436"/>
      <c r="CJ101" s="436"/>
      <c r="CK101" s="436"/>
      <c r="CL101" s="436"/>
      <c r="CM101" s="436"/>
      <c r="CN101" s="436"/>
      <c r="CO101" s="436"/>
      <c r="CP101" s="436"/>
      <c r="CQ101" s="436"/>
      <c r="CR101" s="436"/>
      <c r="CS101" s="436"/>
      <c r="CT101" s="436"/>
      <c r="CU101" s="436"/>
      <c r="CV101" s="198"/>
      <c r="CW101" s="436"/>
      <c r="CX101" s="436"/>
      <c r="CY101" s="436"/>
      <c r="CZ101" s="436"/>
      <c r="DA101" s="436"/>
      <c r="DB101" s="436"/>
      <c r="DC101" s="436"/>
      <c r="DD101" s="436"/>
      <c r="DE101" s="436"/>
      <c r="DF101" s="580"/>
      <c r="DG101" s="436"/>
      <c r="DH101" s="436"/>
      <c r="DI101" s="580"/>
      <c r="DJ101" s="436"/>
      <c r="DK101" s="436"/>
      <c r="DL101" s="580"/>
      <c r="DM101" s="436"/>
      <c r="DN101" s="436"/>
      <c r="DO101" s="580"/>
      <c r="DP101" s="580"/>
      <c r="DQ101" s="580"/>
      <c r="DR101" s="580"/>
      <c r="DS101" s="580"/>
      <c r="DT101" s="580"/>
      <c r="DU101" s="580"/>
      <c r="DV101" s="580"/>
      <c r="DW101" s="580"/>
      <c r="DX101" s="580"/>
      <c r="DY101" s="580"/>
      <c r="DZ101" s="580"/>
      <c r="EA101" s="580"/>
      <c r="EB101" s="580"/>
      <c r="EC101" s="580"/>
      <c r="ED101" s="580"/>
      <c r="EE101" s="580"/>
      <c r="EF101" s="580"/>
      <c r="EG101" s="436"/>
      <c r="EH101" s="436"/>
      <c r="EI101" s="436"/>
      <c r="EJ101" s="436"/>
      <c r="EK101" s="436"/>
      <c r="EL101" s="436"/>
      <c r="EM101" s="436"/>
      <c r="EN101" s="436"/>
      <c r="EO101" s="436"/>
      <c r="EP101" s="580"/>
      <c r="EQ101" s="436"/>
      <c r="ER101" s="436"/>
      <c r="ES101" s="580"/>
      <c r="ET101" s="436"/>
      <c r="EU101" s="436"/>
      <c r="EV101" s="580"/>
      <c r="EW101" s="436"/>
      <c r="EX101" s="436"/>
      <c r="EY101" s="580"/>
      <c r="EZ101" s="580"/>
      <c r="FA101" s="580"/>
      <c r="FB101" s="580"/>
      <c r="FC101" s="580"/>
      <c r="FD101" s="580"/>
      <c r="FE101" s="580"/>
      <c r="FF101" s="580"/>
      <c r="FG101" s="580"/>
      <c r="FH101" s="580"/>
      <c r="FI101" s="580"/>
      <c r="FJ101" s="580"/>
      <c r="FK101" s="580"/>
      <c r="FL101" s="580"/>
      <c r="FM101" s="580"/>
      <c r="FN101" s="580"/>
      <c r="FO101" s="580"/>
      <c r="FP101" s="580"/>
      <c r="FQ101" s="947"/>
      <c r="FR101" s="949"/>
      <c r="FS101" s="580"/>
      <c r="FT101" s="947"/>
      <c r="FU101" s="949"/>
      <c r="FW101" s="947"/>
      <c r="FX101" s="949"/>
      <c r="FY101" s="580"/>
      <c r="FZ101" s="508">
        <v>294204418.95999974</v>
      </c>
      <c r="GA101" s="949">
        <f t="shared" si="204"/>
        <v>0.16211899399705404</v>
      </c>
      <c r="GB101" s="949"/>
      <c r="GC101" s="508">
        <v>301863242.59000021</v>
      </c>
      <c r="GD101" s="949">
        <f t="shared" si="205"/>
        <v>0.16052382366886575</v>
      </c>
      <c r="GE101" s="508">
        <v>308518734.17999977</v>
      </c>
      <c r="GF101" s="949">
        <f t="shared" si="206"/>
        <v>0.161071851236231</v>
      </c>
      <c r="GG101" s="508">
        <v>307065933.10000008</v>
      </c>
      <c r="GH101" s="949">
        <f t="shared" si="207"/>
        <v>0.15674415307430489</v>
      </c>
      <c r="GI101" s="508">
        <v>310993938.83146453</v>
      </c>
      <c r="GJ101" s="949">
        <f t="shared" si="208"/>
        <v>0.15409769029278306</v>
      </c>
      <c r="GK101" s="508">
        <v>302365583.27999943</v>
      </c>
      <c r="GL101" s="949">
        <f t="shared" si="209"/>
        <v>0.1477565771614473</v>
      </c>
      <c r="GM101" s="508">
        <v>306279918.10000002</v>
      </c>
      <c r="GN101" s="949">
        <f t="shared" si="210"/>
        <v>0.15411594427070358</v>
      </c>
      <c r="GO101" s="508">
        <v>299465599.16999853</v>
      </c>
      <c r="GP101" s="949">
        <f t="shared" si="211"/>
        <v>0.15058434569115775</v>
      </c>
      <c r="GQ101" s="1026">
        <v>290485531.93999994</v>
      </c>
      <c r="GR101" s="949">
        <f t="shared" si="212"/>
        <v>0.14680119995061591</v>
      </c>
      <c r="GS101" s="949"/>
      <c r="GT101" s="1034">
        <v>272171870.93000001</v>
      </c>
      <c r="GU101" s="949">
        <f t="shared" si="213"/>
        <v>0.14196500277492541</v>
      </c>
      <c r="GV101" s="949"/>
      <c r="GW101" s="1052">
        <v>257145167.6500001</v>
      </c>
      <c r="GX101" s="949">
        <f t="shared" si="214"/>
        <v>0.14159302252588629</v>
      </c>
      <c r="GY101" s="949"/>
      <c r="GZ101" s="1034">
        <v>241456725.36000001</v>
      </c>
      <c r="HA101" s="949">
        <f t="shared" si="215"/>
        <v>0.13360655293400633</v>
      </c>
      <c r="HB101" s="949"/>
      <c r="HC101" s="1034">
        <v>236174714.29999992</v>
      </c>
      <c r="HD101" s="949">
        <f t="shared" si="216"/>
        <v>0.13361376215851306</v>
      </c>
      <c r="HE101" s="949"/>
      <c r="HF101" s="1034">
        <v>230603077.76999989</v>
      </c>
      <c r="HG101" s="949">
        <f t="shared" si="217"/>
        <v>0.13015631124979413</v>
      </c>
      <c r="HH101" s="949"/>
      <c r="HI101" s="1034">
        <v>235700533.63378236</v>
      </c>
      <c r="HJ101" s="949">
        <f t="shared" si="218"/>
        <v>0.12977007436365426</v>
      </c>
      <c r="HK101" s="949"/>
      <c r="HL101" s="1034">
        <v>224714883.84117174</v>
      </c>
      <c r="HM101" s="949">
        <f t="shared" si="219"/>
        <v>0.12465568520039311</v>
      </c>
      <c r="HN101" s="949"/>
      <c r="HO101" s="1034">
        <v>218527080.12999979</v>
      </c>
      <c r="HP101" s="949">
        <f t="shared" si="220"/>
        <v>0.1278700708359278</v>
      </c>
      <c r="HQ101" s="580"/>
      <c r="HR101" s="1034">
        <v>218527080.12999979</v>
      </c>
      <c r="HS101" s="949">
        <f t="shared" si="221"/>
        <v>0.1278700708359278</v>
      </c>
      <c r="HT101" s="580"/>
      <c r="HU101" s="1034">
        <v>218527080.12999979</v>
      </c>
      <c r="HV101" s="949">
        <f t="shared" si="222"/>
        <v>0.1278700708359278</v>
      </c>
      <c r="HW101" s="580"/>
      <c r="HX101" s="580"/>
      <c r="HY101" s="580"/>
      <c r="HZ101" s="580"/>
      <c r="IA101" s="580"/>
      <c r="IB101" s="580"/>
      <c r="JE101" s="232"/>
    </row>
    <row r="102" spans="1:265" ht="14.25" customHeight="1">
      <c r="B102" s="324" t="s">
        <v>782</v>
      </c>
      <c r="D102" s="267"/>
      <c r="E102" s="436"/>
      <c r="F102" s="946"/>
      <c r="G102" s="436"/>
      <c r="H102" s="410"/>
      <c r="I102" s="436"/>
      <c r="J102" s="410"/>
      <c r="K102" s="436"/>
      <c r="L102" s="410"/>
      <c r="M102" s="436"/>
      <c r="N102" s="410"/>
      <c r="O102" s="436"/>
      <c r="P102" s="410"/>
      <c r="Q102" s="436"/>
      <c r="R102" s="410"/>
      <c r="S102" s="436"/>
      <c r="T102" s="410"/>
      <c r="U102" s="436"/>
      <c r="V102" s="410"/>
      <c r="W102" s="436"/>
      <c r="X102" s="410"/>
      <c r="Y102" s="436"/>
      <c r="Z102" s="410"/>
      <c r="AA102" s="436"/>
      <c r="AB102" s="410"/>
      <c r="AC102" s="436"/>
      <c r="AD102" s="410"/>
      <c r="AE102" s="436"/>
      <c r="AF102" s="410"/>
      <c r="AG102" s="436"/>
      <c r="AH102" s="410"/>
      <c r="AI102" s="436"/>
      <c r="AJ102" s="410"/>
      <c r="AK102" s="436"/>
      <c r="AL102" s="410"/>
      <c r="AM102" s="436"/>
      <c r="AN102" s="410"/>
      <c r="AO102" s="436"/>
      <c r="AP102" s="410"/>
      <c r="AQ102" s="436"/>
      <c r="AR102" s="410"/>
      <c r="AS102" s="436"/>
      <c r="AT102" s="410"/>
      <c r="AU102" s="436"/>
      <c r="AV102" s="410"/>
      <c r="AW102" s="436"/>
      <c r="AX102" s="410"/>
      <c r="AY102" s="436"/>
      <c r="AZ102" s="410"/>
      <c r="BA102" s="436"/>
      <c r="BB102" s="410"/>
      <c r="BC102" s="436"/>
      <c r="BD102" s="410"/>
      <c r="BE102" s="436"/>
      <c r="BF102" s="410"/>
      <c r="BG102" s="436"/>
      <c r="BH102" s="410"/>
      <c r="BI102" s="436"/>
      <c r="BJ102" s="410"/>
      <c r="BK102" s="436"/>
      <c r="BL102" s="410"/>
      <c r="BM102" s="436"/>
      <c r="BN102" s="410"/>
      <c r="BO102" s="436"/>
      <c r="BP102" s="410"/>
      <c r="BQ102" s="436"/>
      <c r="BR102" s="410"/>
      <c r="BS102" s="436"/>
      <c r="BT102" s="410"/>
      <c r="BU102" s="436"/>
      <c r="BV102" s="410"/>
      <c r="BW102" s="436"/>
      <c r="BX102" s="410"/>
      <c r="BY102" s="436"/>
      <c r="BZ102" s="410"/>
      <c r="CA102" s="436"/>
      <c r="CB102" s="410"/>
      <c r="CC102" s="436"/>
      <c r="CD102" s="410"/>
      <c r="CE102" s="436"/>
      <c r="CF102" s="410"/>
      <c r="CG102" s="436"/>
      <c r="CH102" s="410"/>
      <c r="CI102" s="436"/>
      <c r="CJ102" s="436"/>
      <c r="CK102" s="436"/>
      <c r="CL102" s="436"/>
      <c r="CM102" s="436"/>
      <c r="CN102" s="436"/>
      <c r="CO102" s="436"/>
      <c r="CP102" s="436"/>
      <c r="CQ102" s="436"/>
      <c r="CR102" s="436"/>
      <c r="CS102" s="436"/>
      <c r="CT102" s="436"/>
      <c r="CU102" s="436"/>
      <c r="CV102" s="198"/>
      <c r="CW102" s="436"/>
      <c r="CX102" s="436"/>
      <c r="CY102" s="436"/>
      <c r="CZ102" s="436"/>
      <c r="DA102" s="436"/>
      <c r="DB102" s="436"/>
      <c r="DC102" s="436"/>
      <c r="DD102" s="436"/>
      <c r="DE102" s="436"/>
      <c r="DF102" s="580"/>
      <c r="DG102" s="436"/>
      <c r="DH102" s="436"/>
      <c r="DI102" s="580"/>
      <c r="DJ102" s="436"/>
      <c r="DK102" s="436"/>
      <c r="DL102" s="580"/>
      <c r="DM102" s="436"/>
      <c r="DN102" s="436"/>
      <c r="DO102" s="580"/>
      <c r="DP102" s="580"/>
      <c r="DQ102" s="580"/>
      <c r="DR102" s="580"/>
      <c r="DS102" s="580"/>
      <c r="DT102" s="580"/>
      <c r="DU102" s="580"/>
      <c r="DV102" s="580"/>
      <c r="DW102" s="580"/>
      <c r="DX102" s="580"/>
      <c r="DY102" s="580"/>
      <c r="DZ102" s="580"/>
      <c r="EA102" s="580"/>
      <c r="EB102" s="580"/>
      <c r="EC102" s="580"/>
      <c r="ED102" s="580"/>
      <c r="EE102" s="580"/>
      <c r="EF102" s="580"/>
      <c r="EG102" s="436"/>
      <c r="EH102" s="436"/>
      <c r="EI102" s="436"/>
      <c r="EJ102" s="436"/>
      <c r="EK102" s="436"/>
      <c r="EL102" s="436"/>
      <c r="EM102" s="436"/>
      <c r="EN102" s="436"/>
      <c r="EO102" s="436"/>
      <c r="EP102" s="580"/>
      <c r="EQ102" s="436"/>
      <c r="ER102" s="436"/>
      <c r="ES102" s="580"/>
      <c r="ET102" s="436"/>
      <c r="EU102" s="436"/>
      <c r="EV102" s="580"/>
      <c r="EW102" s="436"/>
      <c r="EX102" s="436"/>
      <c r="EY102" s="580"/>
      <c r="EZ102" s="580"/>
      <c r="FA102" s="580"/>
      <c r="FB102" s="580"/>
      <c r="FC102" s="580"/>
      <c r="FD102" s="580"/>
      <c r="FE102" s="580"/>
      <c r="FF102" s="580"/>
      <c r="FG102" s="580"/>
      <c r="FH102" s="580"/>
      <c r="FI102" s="580"/>
      <c r="FJ102" s="580"/>
      <c r="FK102" s="580"/>
      <c r="FL102" s="580"/>
      <c r="FM102" s="580"/>
      <c r="FN102" s="580"/>
      <c r="FO102" s="580"/>
      <c r="FP102" s="580"/>
      <c r="FQ102" s="947"/>
      <c r="FR102" s="949"/>
      <c r="FS102" s="580"/>
      <c r="FT102" s="947"/>
      <c r="FU102" s="949"/>
      <c r="FW102" s="947"/>
      <c r="FX102" s="949"/>
      <c r="FY102" s="580"/>
      <c r="FZ102" s="508">
        <v>2295416.66</v>
      </c>
      <c r="GA102" s="949">
        <f t="shared" si="204"/>
        <v>1.2648710071682268E-3</v>
      </c>
      <c r="GB102" s="949"/>
      <c r="GC102" s="508">
        <v>3524606.0300000003</v>
      </c>
      <c r="GD102" s="949">
        <f t="shared" si="205"/>
        <v>1.8743031844735232E-3</v>
      </c>
      <c r="GE102" s="508">
        <v>6129815.080000001</v>
      </c>
      <c r="GF102" s="949">
        <f t="shared" si="206"/>
        <v>3.200261615540401E-3</v>
      </c>
      <c r="GG102" s="508">
        <v>8248931.2100000009</v>
      </c>
      <c r="GH102" s="949">
        <f t="shared" si="207"/>
        <v>4.210729999340493E-3</v>
      </c>
      <c r="GI102" s="508">
        <v>11378354.591895433</v>
      </c>
      <c r="GJ102" s="949">
        <f t="shared" si="208"/>
        <v>5.6379817836050127E-3</v>
      </c>
      <c r="GK102" s="508">
        <v>13549818.350000001</v>
      </c>
      <c r="GL102" s="949">
        <f t="shared" si="209"/>
        <v>6.621371251440974E-3</v>
      </c>
      <c r="GM102" s="508">
        <v>14909286.66</v>
      </c>
      <c r="GN102" s="949">
        <f t="shared" si="210"/>
        <v>7.5021529529673212E-3</v>
      </c>
      <c r="GO102" s="508">
        <v>15821297.219999999</v>
      </c>
      <c r="GP102" s="949">
        <f t="shared" si="211"/>
        <v>7.9556372967787403E-3</v>
      </c>
      <c r="GQ102" s="1026">
        <v>15437465.740000002</v>
      </c>
      <c r="GR102" s="949">
        <f t="shared" si="212"/>
        <v>7.8015537630859253E-3</v>
      </c>
      <c r="GS102" s="949"/>
      <c r="GT102" s="1034">
        <v>15347459.109999996</v>
      </c>
      <c r="GU102" s="949">
        <f t="shared" si="213"/>
        <v>8.0052434062870912E-3</v>
      </c>
      <c r="GV102" s="949"/>
      <c r="GW102" s="1052">
        <v>14117484.710000005</v>
      </c>
      <c r="GX102" s="949">
        <f t="shared" si="214"/>
        <v>7.7735753264188759E-3</v>
      </c>
      <c r="GY102" s="949"/>
      <c r="GZ102" s="1034">
        <v>15160639.150000002</v>
      </c>
      <c r="HA102" s="949">
        <f t="shared" si="215"/>
        <v>8.3889182796123545E-3</v>
      </c>
      <c r="HB102" s="949"/>
      <c r="HC102" s="1034">
        <v>15097866.049999997</v>
      </c>
      <c r="HD102" s="949">
        <f t="shared" si="216"/>
        <v>8.5414845932378011E-3</v>
      </c>
      <c r="HE102" s="949"/>
      <c r="HF102" s="1034">
        <v>16734713.420000002</v>
      </c>
      <c r="HG102" s="949">
        <f t="shared" si="217"/>
        <v>9.4453577533863634E-3</v>
      </c>
      <c r="HH102" s="949"/>
      <c r="HI102" s="1034">
        <v>18210729.162447572</v>
      </c>
      <c r="HJ102" s="949">
        <f t="shared" si="218"/>
        <v>1.0026314498290454E-2</v>
      </c>
      <c r="HK102" s="949"/>
      <c r="HL102" s="1034">
        <v>18139003.259292345</v>
      </c>
      <c r="HM102" s="949">
        <f t="shared" si="219"/>
        <v>1.0062216803304474E-2</v>
      </c>
      <c r="HN102" s="949"/>
      <c r="HO102" s="1034">
        <v>18689953.419999994</v>
      </c>
      <c r="HP102" s="949">
        <f t="shared" si="220"/>
        <v>1.0936336431685579E-2</v>
      </c>
      <c r="HQ102" s="580"/>
      <c r="HR102" s="1034">
        <v>18689953.419999994</v>
      </c>
      <c r="HS102" s="949">
        <f t="shared" si="221"/>
        <v>1.0936336431685579E-2</v>
      </c>
      <c r="HT102" s="580"/>
      <c r="HU102" s="1034">
        <v>18689953.419999994</v>
      </c>
      <c r="HV102" s="949">
        <f t="shared" si="222"/>
        <v>1.0936336431685579E-2</v>
      </c>
      <c r="HW102" s="580"/>
      <c r="HX102" s="580"/>
      <c r="HY102" s="580"/>
      <c r="HZ102" s="580"/>
      <c r="IA102" s="580"/>
      <c r="IB102" s="580"/>
      <c r="JE102" s="232"/>
    </row>
    <row r="103" spans="1:265" ht="14.25" customHeight="1">
      <c r="B103" s="324" t="s">
        <v>783</v>
      </c>
      <c r="D103" s="267"/>
      <c r="E103" s="436"/>
      <c r="F103" s="946"/>
      <c r="G103" s="436"/>
      <c r="H103" s="410"/>
      <c r="I103" s="436"/>
      <c r="J103" s="410"/>
      <c r="K103" s="436"/>
      <c r="L103" s="410"/>
      <c r="M103" s="436"/>
      <c r="N103" s="410"/>
      <c r="O103" s="436"/>
      <c r="P103" s="410"/>
      <c r="Q103" s="436"/>
      <c r="R103" s="410"/>
      <c r="S103" s="436"/>
      <c r="T103" s="410"/>
      <c r="U103" s="436"/>
      <c r="V103" s="410"/>
      <c r="W103" s="436"/>
      <c r="X103" s="410"/>
      <c r="Y103" s="436"/>
      <c r="Z103" s="410"/>
      <c r="AA103" s="436"/>
      <c r="AB103" s="410"/>
      <c r="AC103" s="436"/>
      <c r="AD103" s="410"/>
      <c r="AE103" s="436"/>
      <c r="AF103" s="410"/>
      <c r="AG103" s="436"/>
      <c r="AH103" s="410"/>
      <c r="AI103" s="436"/>
      <c r="AJ103" s="410"/>
      <c r="AK103" s="436"/>
      <c r="AL103" s="410"/>
      <c r="AM103" s="436"/>
      <c r="AN103" s="410"/>
      <c r="AO103" s="436"/>
      <c r="AP103" s="410"/>
      <c r="AQ103" s="436"/>
      <c r="AR103" s="410"/>
      <c r="AS103" s="436"/>
      <c r="AT103" s="410"/>
      <c r="AU103" s="436"/>
      <c r="AV103" s="410"/>
      <c r="AW103" s="436"/>
      <c r="AX103" s="410"/>
      <c r="AY103" s="436"/>
      <c r="AZ103" s="410"/>
      <c r="BA103" s="436"/>
      <c r="BB103" s="410"/>
      <c r="BC103" s="436"/>
      <c r="BD103" s="410"/>
      <c r="BE103" s="436"/>
      <c r="BF103" s="410"/>
      <c r="BG103" s="436"/>
      <c r="BH103" s="410"/>
      <c r="BI103" s="436"/>
      <c r="BJ103" s="410"/>
      <c r="BK103" s="436"/>
      <c r="BL103" s="410"/>
      <c r="BM103" s="436"/>
      <c r="BN103" s="410"/>
      <c r="BO103" s="436"/>
      <c r="BP103" s="410"/>
      <c r="BQ103" s="436"/>
      <c r="BR103" s="410"/>
      <c r="BS103" s="436"/>
      <c r="BT103" s="410"/>
      <c r="BU103" s="436"/>
      <c r="BV103" s="410"/>
      <c r="BW103" s="436"/>
      <c r="BX103" s="410"/>
      <c r="BY103" s="436"/>
      <c r="BZ103" s="410"/>
      <c r="CA103" s="436"/>
      <c r="CB103" s="410"/>
      <c r="CC103" s="436"/>
      <c r="CD103" s="410"/>
      <c r="CE103" s="436"/>
      <c r="CF103" s="410"/>
      <c r="CG103" s="436"/>
      <c r="CH103" s="410"/>
      <c r="CI103" s="436"/>
      <c r="CJ103" s="436"/>
      <c r="CK103" s="436"/>
      <c r="CL103" s="436"/>
      <c r="CM103" s="436"/>
      <c r="CN103" s="436"/>
      <c r="CO103" s="436"/>
      <c r="CP103" s="436"/>
      <c r="CQ103" s="436"/>
      <c r="CR103" s="436"/>
      <c r="CS103" s="436"/>
      <c r="CT103" s="436"/>
      <c r="CU103" s="436"/>
      <c r="CV103" s="198"/>
      <c r="CW103" s="436"/>
      <c r="CX103" s="436"/>
      <c r="CY103" s="436"/>
      <c r="CZ103" s="436"/>
      <c r="DA103" s="436"/>
      <c r="DB103" s="436"/>
      <c r="DC103" s="436"/>
      <c r="DD103" s="436"/>
      <c r="DE103" s="436"/>
      <c r="DF103" s="580"/>
      <c r="DG103" s="436"/>
      <c r="DH103" s="436"/>
      <c r="DI103" s="580"/>
      <c r="DJ103" s="436"/>
      <c r="DK103" s="436"/>
      <c r="DL103" s="580"/>
      <c r="DM103" s="436"/>
      <c r="DN103" s="436"/>
      <c r="DO103" s="580"/>
      <c r="DP103" s="580"/>
      <c r="DQ103" s="580"/>
      <c r="DR103" s="580"/>
      <c r="DS103" s="580"/>
      <c r="DT103" s="580"/>
      <c r="DU103" s="580"/>
      <c r="DV103" s="580"/>
      <c r="DW103" s="580"/>
      <c r="DX103" s="580"/>
      <c r="DY103" s="580"/>
      <c r="DZ103" s="580"/>
      <c r="EA103" s="580"/>
      <c r="EB103" s="580"/>
      <c r="EC103" s="580"/>
      <c r="ED103" s="580"/>
      <c r="EE103" s="580"/>
      <c r="EF103" s="580"/>
      <c r="EG103" s="436"/>
      <c r="EH103" s="436"/>
      <c r="EI103" s="436"/>
      <c r="EJ103" s="436"/>
      <c r="EK103" s="436"/>
      <c r="EL103" s="436"/>
      <c r="EM103" s="436"/>
      <c r="EN103" s="436"/>
      <c r="EO103" s="436"/>
      <c r="EP103" s="580"/>
      <c r="EQ103" s="436"/>
      <c r="ER103" s="436"/>
      <c r="ES103" s="580"/>
      <c r="ET103" s="436"/>
      <c r="EU103" s="436"/>
      <c r="EV103" s="580"/>
      <c r="EW103" s="436"/>
      <c r="EX103" s="436"/>
      <c r="EY103" s="580"/>
      <c r="EZ103" s="580"/>
      <c r="FA103" s="580"/>
      <c r="FB103" s="580"/>
      <c r="FC103" s="580"/>
      <c r="FD103" s="580"/>
      <c r="FE103" s="580"/>
      <c r="FF103" s="580"/>
      <c r="FG103" s="580"/>
      <c r="FH103" s="580"/>
      <c r="FI103" s="580"/>
      <c r="FJ103" s="580"/>
      <c r="FK103" s="580"/>
      <c r="FL103" s="580"/>
      <c r="FM103" s="580"/>
      <c r="FN103" s="580"/>
      <c r="FO103" s="580"/>
      <c r="FP103" s="580"/>
      <c r="FQ103" s="947"/>
      <c r="FR103" s="949"/>
      <c r="FS103" s="580"/>
      <c r="FT103" s="947"/>
      <c r="FU103" s="949"/>
      <c r="FW103" s="947"/>
      <c r="FX103" s="949"/>
      <c r="FY103" s="580"/>
      <c r="FZ103" s="508">
        <v>1958418.7899999998</v>
      </c>
      <c r="GA103" s="949">
        <f t="shared" si="204"/>
        <v>1.0791710239501703E-3</v>
      </c>
      <c r="GB103" s="949"/>
      <c r="GC103" s="508">
        <v>3266561.69</v>
      </c>
      <c r="GD103" s="949">
        <f t="shared" si="205"/>
        <v>1.7370812299967078E-3</v>
      </c>
      <c r="GE103" s="508">
        <v>4532387.7600000007</v>
      </c>
      <c r="GF103" s="949">
        <f t="shared" si="206"/>
        <v>2.366274738433568E-3</v>
      </c>
      <c r="GG103" s="508">
        <v>5364712.4000000004</v>
      </c>
      <c r="GH103" s="949">
        <f t="shared" si="207"/>
        <v>2.7384584578823193E-3</v>
      </c>
      <c r="GI103" s="508">
        <v>6557796.461570506</v>
      </c>
      <c r="GJ103" s="949">
        <f t="shared" si="208"/>
        <v>3.249392229106556E-3</v>
      </c>
      <c r="GK103" s="508">
        <v>7303710.4699999988</v>
      </c>
      <c r="GL103" s="949">
        <f t="shared" si="209"/>
        <v>3.5690942332748271E-3</v>
      </c>
      <c r="GM103" s="508">
        <v>6862576.8599999994</v>
      </c>
      <c r="GN103" s="949">
        <f t="shared" si="210"/>
        <v>3.4531565747770122E-3</v>
      </c>
      <c r="GO103" s="508">
        <v>7091239.9199999999</v>
      </c>
      <c r="GP103" s="949">
        <f t="shared" si="211"/>
        <v>3.5657842718890718E-3</v>
      </c>
      <c r="GQ103" s="1026">
        <v>7546590.1400000006</v>
      </c>
      <c r="GR103" s="949">
        <f t="shared" si="212"/>
        <v>3.8137819831808831E-3</v>
      </c>
      <c r="GS103" s="949"/>
      <c r="GT103" s="1034">
        <v>7377848.6100000003</v>
      </c>
      <c r="GU103" s="949">
        <f t="shared" si="213"/>
        <v>3.848290033840455E-3</v>
      </c>
      <c r="GV103" s="949"/>
      <c r="GW103" s="1052">
        <v>7598195.8700000001</v>
      </c>
      <c r="GX103" s="949">
        <f t="shared" si="214"/>
        <v>4.1838294252581334E-3</v>
      </c>
      <c r="GY103" s="949"/>
      <c r="GZ103" s="1034">
        <v>8105297.9199999999</v>
      </c>
      <c r="HA103" s="949">
        <f t="shared" si="215"/>
        <v>4.4849482406414233E-3</v>
      </c>
      <c r="HB103" s="949"/>
      <c r="HC103" s="1034">
        <v>9217711.7400000002</v>
      </c>
      <c r="HD103" s="949">
        <f t="shared" si="216"/>
        <v>5.2148391402715632E-3</v>
      </c>
      <c r="HE103" s="949"/>
      <c r="HF103" s="1034">
        <v>8809717.0899999999</v>
      </c>
      <c r="HG103" s="949">
        <f t="shared" si="217"/>
        <v>4.9723546219635137E-3</v>
      </c>
      <c r="HH103" s="949"/>
      <c r="HI103" s="1034">
        <v>9360814.6353229992</v>
      </c>
      <c r="HJ103" s="949">
        <f t="shared" si="218"/>
        <v>5.1538008531523379E-3</v>
      </c>
      <c r="HK103" s="949"/>
      <c r="HL103" s="1034">
        <v>10252441.211546108</v>
      </c>
      <c r="HM103" s="949">
        <f t="shared" si="219"/>
        <v>5.6873183580725137E-3</v>
      </c>
      <c r="HN103" s="949"/>
      <c r="HO103" s="1034">
        <v>10320799.250000002</v>
      </c>
      <c r="HP103" s="949">
        <f t="shared" si="220"/>
        <v>6.039166085941388E-3</v>
      </c>
      <c r="HQ103" s="580"/>
      <c r="HR103" s="1034">
        <v>10320799.250000002</v>
      </c>
      <c r="HS103" s="949">
        <f t="shared" si="221"/>
        <v>6.039166085941388E-3</v>
      </c>
      <c r="HT103" s="580"/>
      <c r="HU103" s="1034">
        <v>10320799.250000002</v>
      </c>
      <c r="HV103" s="949">
        <f t="shared" si="222"/>
        <v>6.039166085941388E-3</v>
      </c>
      <c r="HW103" s="580"/>
      <c r="HX103" s="580"/>
      <c r="HY103" s="580"/>
      <c r="HZ103" s="580"/>
      <c r="IA103" s="580"/>
      <c r="IB103" s="580"/>
      <c r="JE103" s="232"/>
    </row>
    <row r="104" spans="1:265" ht="14.25" customHeight="1">
      <c r="B104" s="324" t="s">
        <v>784</v>
      </c>
      <c r="D104" s="267"/>
      <c r="E104" s="436"/>
      <c r="F104" s="946"/>
      <c r="G104" s="436"/>
      <c r="H104" s="410"/>
      <c r="I104" s="436"/>
      <c r="J104" s="410"/>
      <c r="K104" s="436"/>
      <c r="L104" s="410"/>
      <c r="M104" s="436"/>
      <c r="N104" s="410"/>
      <c r="O104" s="436"/>
      <c r="P104" s="410"/>
      <c r="Q104" s="436"/>
      <c r="R104" s="410"/>
      <c r="S104" s="436"/>
      <c r="T104" s="410"/>
      <c r="U104" s="436"/>
      <c r="V104" s="410"/>
      <c r="W104" s="436"/>
      <c r="X104" s="410"/>
      <c r="Y104" s="436"/>
      <c r="Z104" s="410"/>
      <c r="AA104" s="436"/>
      <c r="AB104" s="410"/>
      <c r="AC104" s="436"/>
      <c r="AD104" s="410"/>
      <c r="AE104" s="436"/>
      <c r="AF104" s="410"/>
      <c r="AG104" s="436"/>
      <c r="AH104" s="410"/>
      <c r="AI104" s="436"/>
      <c r="AJ104" s="410"/>
      <c r="AK104" s="436"/>
      <c r="AL104" s="410"/>
      <c r="AM104" s="436"/>
      <c r="AN104" s="410"/>
      <c r="AO104" s="436"/>
      <c r="AP104" s="410"/>
      <c r="AQ104" s="436"/>
      <c r="AR104" s="410"/>
      <c r="AS104" s="436"/>
      <c r="AT104" s="410"/>
      <c r="AU104" s="436"/>
      <c r="AV104" s="410"/>
      <c r="AW104" s="436"/>
      <c r="AX104" s="410"/>
      <c r="AY104" s="436"/>
      <c r="AZ104" s="410"/>
      <c r="BA104" s="436"/>
      <c r="BB104" s="410"/>
      <c r="BC104" s="436"/>
      <c r="BD104" s="410"/>
      <c r="BE104" s="436"/>
      <c r="BF104" s="410"/>
      <c r="BG104" s="436"/>
      <c r="BH104" s="410"/>
      <c r="BI104" s="436"/>
      <c r="BJ104" s="410"/>
      <c r="BK104" s="436"/>
      <c r="BL104" s="410"/>
      <c r="BM104" s="436"/>
      <c r="BN104" s="410"/>
      <c r="BO104" s="436"/>
      <c r="BP104" s="410"/>
      <c r="BQ104" s="436"/>
      <c r="BR104" s="410"/>
      <c r="BS104" s="436"/>
      <c r="BT104" s="410"/>
      <c r="BU104" s="436"/>
      <c r="BV104" s="410"/>
      <c r="BW104" s="436"/>
      <c r="BX104" s="410"/>
      <c r="BY104" s="436"/>
      <c r="BZ104" s="410"/>
      <c r="CA104" s="436"/>
      <c r="CB104" s="410"/>
      <c r="CC104" s="436"/>
      <c r="CD104" s="410"/>
      <c r="CE104" s="436"/>
      <c r="CF104" s="410"/>
      <c r="CG104" s="436"/>
      <c r="CH104" s="410"/>
      <c r="CI104" s="436"/>
      <c r="CJ104" s="436"/>
      <c r="CK104" s="436"/>
      <c r="CL104" s="436"/>
      <c r="CM104" s="436"/>
      <c r="CN104" s="436"/>
      <c r="CO104" s="436"/>
      <c r="CP104" s="436"/>
      <c r="CQ104" s="436"/>
      <c r="CR104" s="436"/>
      <c r="CS104" s="436"/>
      <c r="CT104" s="436"/>
      <c r="CU104" s="436"/>
      <c r="CV104" s="198"/>
      <c r="CW104" s="436"/>
      <c r="CX104" s="436"/>
      <c r="CY104" s="436"/>
      <c r="CZ104" s="436"/>
      <c r="DA104" s="436"/>
      <c r="DB104" s="436"/>
      <c r="DC104" s="436"/>
      <c r="DD104" s="436"/>
      <c r="DE104" s="436"/>
      <c r="DF104" s="580"/>
      <c r="DG104" s="436"/>
      <c r="DH104" s="436"/>
      <c r="DI104" s="580"/>
      <c r="DJ104" s="436"/>
      <c r="DK104" s="436"/>
      <c r="DL104" s="580"/>
      <c r="DM104" s="436"/>
      <c r="DN104" s="436"/>
      <c r="DO104" s="580"/>
      <c r="DP104" s="580"/>
      <c r="DQ104" s="580"/>
      <c r="DR104" s="580"/>
      <c r="DS104" s="580"/>
      <c r="DT104" s="580"/>
      <c r="DU104" s="580"/>
      <c r="DV104" s="580"/>
      <c r="DW104" s="580"/>
      <c r="DX104" s="580"/>
      <c r="DY104" s="580"/>
      <c r="DZ104" s="580"/>
      <c r="EA104" s="580"/>
      <c r="EB104" s="580"/>
      <c r="EC104" s="580"/>
      <c r="ED104" s="580"/>
      <c r="EE104" s="580"/>
      <c r="EF104" s="580"/>
      <c r="EG104" s="436"/>
      <c r="EH104" s="436"/>
      <c r="EI104" s="436"/>
      <c r="EJ104" s="436"/>
      <c r="EK104" s="436"/>
      <c r="EL104" s="436"/>
      <c r="EM104" s="436"/>
      <c r="EN104" s="436"/>
      <c r="EO104" s="436"/>
      <c r="EP104" s="580"/>
      <c r="EQ104" s="436"/>
      <c r="ER104" s="436"/>
      <c r="ES104" s="580"/>
      <c r="ET104" s="436"/>
      <c r="EU104" s="436"/>
      <c r="EV104" s="580"/>
      <c r="EW104" s="436"/>
      <c r="EX104" s="436"/>
      <c r="EY104" s="580"/>
      <c r="EZ104" s="580"/>
      <c r="FA104" s="580"/>
      <c r="FB104" s="580"/>
      <c r="FC104" s="580"/>
      <c r="FD104" s="580"/>
      <c r="FE104" s="580"/>
      <c r="FF104" s="580"/>
      <c r="FG104" s="580"/>
      <c r="FH104" s="580"/>
      <c r="FI104" s="580"/>
      <c r="FJ104" s="580"/>
      <c r="FK104" s="580"/>
      <c r="FL104" s="580"/>
      <c r="FM104" s="580"/>
      <c r="FN104" s="580"/>
      <c r="FO104" s="580"/>
      <c r="FP104" s="580"/>
      <c r="FQ104" s="947"/>
      <c r="FR104" s="949"/>
      <c r="FS104" s="580"/>
      <c r="FT104" s="947"/>
      <c r="FU104" s="949"/>
      <c r="FW104" s="947"/>
      <c r="FX104" s="949"/>
      <c r="FY104" s="580"/>
      <c r="FZ104" s="508">
        <v>522904060.06998903</v>
      </c>
      <c r="GA104" s="949">
        <f t="shared" si="204"/>
        <v>0.28814210362709569</v>
      </c>
      <c r="GB104" s="949"/>
      <c r="GC104" s="508">
        <v>523037499.10999852</v>
      </c>
      <c r="GD104" s="949">
        <f t="shared" si="205"/>
        <v>0.27813912869601987</v>
      </c>
      <c r="GE104" s="508">
        <v>512204370.61999875</v>
      </c>
      <c r="GF104" s="949">
        <f t="shared" si="206"/>
        <v>0.26741230611596384</v>
      </c>
      <c r="GG104" s="508">
        <v>514179027.67000002</v>
      </c>
      <c r="GH104" s="949">
        <f t="shared" si="207"/>
        <v>0.26246661558010426</v>
      </c>
      <c r="GI104" s="508">
        <v>505562682.49292469</v>
      </c>
      <c r="GJ104" s="949">
        <f t="shared" si="208"/>
        <v>0.25050662390112555</v>
      </c>
      <c r="GK104" s="508">
        <v>498956607.43000001</v>
      </c>
      <c r="GL104" s="949">
        <f t="shared" si="209"/>
        <v>0.24382444478700496</v>
      </c>
      <c r="GM104" s="508">
        <v>476298467.38999957</v>
      </c>
      <c r="GN104" s="949">
        <f t="shared" si="210"/>
        <v>0.23966699649087669</v>
      </c>
      <c r="GO104" s="508">
        <v>491131719.29000086</v>
      </c>
      <c r="GP104" s="949">
        <f t="shared" si="211"/>
        <v>0.24696241839609395</v>
      </c>
      <c r="GQ104" s="1026">
        <v>492179526.94</v>
      </c>
      <c r="GR104" s="949">
        <f t="shared" si="212"/>
        <v>0.24873027122342992</v>
      </c>
      <c r="GS104" s="949"/>
      <c r="GT104" s="1034">
        <v>502793681.91000044</v>
      </c>
      <c r="GU104" s="949">
        <f t="shared" si="213"/>
        <v>0.26225747063305527</v>
      </c>
      <c r="GV104" s="949"/>
      <c r="GW104" s="1052">
        <v>497401909.28000057</v>
      </c>
      <c r="GX104" s="949">
        <f t="shared" si="214"/>
        <v>0.27388669360865564</v>
      </c>
      <c r="GY104" s="949"/>
      <c r="GZ104" s="1034">
        <v>487823957.26999974</v>
      </c>
      <c r="HA104" s="949">
        <f t="shared" si="215"/>
        <v>0.26993026295828276</v>
      </c>
      <c r="HB104" s="949"/>
      <c r="HC104" s="1034">
        <v>448430969.93999946</v>
      </c>
      <c r="HD104" s="949">
        <f t="shared" si="216"/>
        <v>0.25369586722973936</v>
      </c>
      <c r="HE104" s="949"/>
      <c r="HF104" s="1034">
        <v>466002035.31999993</v>
      </c>
      <c r="HG104" s="949">
        <f t="shared" si="217"/>
        <v>0.26301949886654147</v>
      </c>
      <c r="HH104" s="949"/>
      <c r="HI104" s="1034">
        <v>461398539.46373492</v>
      </c>
      <c r="HJ104" s="949">
        <f t="shared" si="218"/>
        <v>0.25403303868001303</v>
      </c>
      <c r="HK104" s="949"/>
      <c r="HL104" s="1034">
        <v>465839144.97491181</v>
      </c>
      <c r="HM104" s="949">
        <f t="shared" si="219"/>
        <v>0.25841411488816363</v>
      </c>
      <c r="HN104" s="949"/>
      <c r="HO104" s="1034">
        <v>482698243.91999996</v>
      </c>
      <c r="HP104" s="949">
        <f t="shared" si="220"/>
        <v>0.28244855788907308</v>
      </c>
      <c r="HQ104" s="580"/>
      <c r="HR104" s="1034">
        <v>482698243.91999996</v>
      </c>
      <c r="HS104" s="949">
        <f t="shared" si="221"/>
        <v>0.28244855788907308</v>
      </c>
      <c r="HT104" s="580"/>
      <c r="HU104" s="1034">
        <v>482698243.91999996</v>
      </c>
      <c r="HV104" s="949">
        <f t="shared" si="222"/>
        <v>0.28244855788907308</v>
      </c>
      <c r="HW104" s="580"/>
      <c r="HX104" s="580"/>
      <c r="HY104" s="580"/>
      <c r="HZ104" s="580"/>
      <c r="IA104" s="580"/>
      <c r="IB104" s="580"/>
      <c r="JE104" s="232"/>
    </row>
    <row r="105" spans="1:265" ht="14.25" customHeight="1">
      <c r="B105" s="324" t="s">
        <v>785</v>
      </c>
      <c r="D105" s="267"/>
      <c r="E105" s="436"/>
      <c r="F105" s="946"/>
      <c r="G105" s="436"/>
      <c r="H105" s="410"/>
      <c r="I105" s="436"/>
      <c r="J105" s="410"/>
      <c r="K105" s="436"/>
      <c r="L105" s="410"/>
      <c r="M105" s="436"/>
      <c r="N105" s="410"/>
      <c r="O105" s="436"/>
      <c r="P105" s="410"/>
      <c r="Q105" s="436"/>
      <c r="R105" s="410"/>
      <c r="S105" s="436"/>
      <c r="T105" s="410"/>
      <c r="U105" s="436"/>
      <c r="V105" s="410"/>
      <c r="W105" s="436"/>
      <c r="X105" s="410"/>
      <c r="Y105" s="436"/>
      <c r="Z105" s="410"/>
      <c r="AA105" s="436"/>
      <c r="AB105" s="410"/>
      <c r="AC105" s="436"/>
      <c r="AD105" s="410"/>
      <c r="AE105" s="436"/>
      <c r="AF105" s="410"/>
      <c r="AG105" s="436"/>
      <c r="AH105" s="410"/>
      <c r="AI105" s="436"/>
      <c r="AJ105" s="410"/>
      <c r="AK105" s="436"/>
      <c r="AL105" s="410"/>
      <c r="AM105" s="436"/>
      <c r="AN105" s="410"/>
      <c r="AO105" s="436"/>
      <c r="AP105" s="410"/>
      <c r="AQ105" s="436"/>
      <c r="AR105" s="410"/>
      <c r="AS105" s="436"/>
      <c r="AT105" s="410"/>
      <c r="AU105" s="436"/>
      <c r="AV105" s="410"/>
      <c r="AW105" s="436"/>
      <c r="AX105" s="410"/>
      <c r="AY105" s="436"/>
      <c r="AZ105" s="410"/>
      <c r="BA105" s="436"/>
      <c r="BB105" s="410"/>
      <c r="BC105" s="436"/>
      <c r="BD105" s="410"/>
      <c r="BE105" s="436"/>
      <c r="BF105" s="410"/>
      <c r="BG105" s="436"/>
      <c r="BH105" s="410"/>
      <c r="BI105" s="436"/>
      <c r="BJ105" s="410"/>
      <c r="BK105" s="436"/>
      <c r="BL105" s="410"/>
      <c r="BM105" s="436"/>
      <c r="BN105" s="410"/>
      <c r="BO105" s="436"/>
      <c r="BP105" s="410"/>
      <c r="BQ105" s="436"/>
      <c r="BR105" s="410"/>
      <c r="BS105" s="436"/>
      <c r="BT105" s="410"/>
      <c r="BU105" s="436"/>
      <c r="BV105" s="410"/>
      <c r="BW105" s="436"/>
      <c r="BX105" s="410"/>
      <c r="BY105" s="436"/>
      <c r="BZ105" s="410"/>
      <c r="CA105" s="436"/>
      <c r="CB105" s="410"/>
      <c r="CC105" s="436"/>
      <c r="CD105" s="410"/>
      <c r="CE105" s="436"/>
      <c r="CF105" s="410"/>
      <c r="CG105" s="436"/>
      <c r="CH105" s="410"/>
      <c r="CI105" s="436"/>
      <c r="CJ105" s="436"/>
      <c r="CK105" s="436"/>
      <c r="CL105" s="436"/>
      <c r="CM105" s="436"/>
      <c r="CN105" s="436"/>
      <c r="CO105" s="436"/>
      <c r="CP105" s="436"/>
      <c r="CQ105" s="436"/>
      <c r="CR105" s="436"/>
      <c r="CS105" s="436"/>
      <c r="CT105" s="436"/>
      <c r="CU105" s="436"/>
      <c r="CV105" s="198"/>
      <c r="CW105" s="436"/>
      <c r="CX105" s="436"/>
      <c r="CY105" s="436"/>
      <c r="CZ105" s="436"/>
      <c r="DA105" s="436"/>
      <c r="DB105" s="436"/>
      <c r="DC105" s="436"/>
      <c r="DD105" s="436"/>
      <c r="DE105" s="436"/>
      <c r="DF105" s="580"/>
      <c r="DG105" s="436"/>
      <c r="DH105" s="436"/>
      <c r="DI105" s="580"/>
      <c r="DJ105" s="436"/>
      <c r="DK105" s="436"/>
      <c r="DL105" s="580"/>
      <c r="DM105" s="436"/>
      <c r="DN105" s="436"/>
      <c r="DO105" s="580"/>
      <c r="DP105" s="580"/>
      <c r="DQ105" s="580"/>
      <c r="DR105" s="580"/>
      <c r="DS105" s="580"/>
      <c r="DT105" s="580"/>
      <c r="DU105" s="580"/>
      <c r="DV105" s="580"/>
      <c r="DW105" s="580"/>
      <c r="DX105" s="580"/>
      <c r="DY105" s="580"/>
      <c r="DZ105" s="580"/>
      <c r="EA105" s="580"/>
      <c r="EB105" s="580"/>
      <c r="EC105" s="580"/>
      <c r="ED105" s="580"/>
      <c r="EE105" s="580"/>
      <c r="EF105" s="580"/>
      <c r="EG105" s="436"/>
      <c r="EH105" s="436"/>
      <c r="EI105" s="436"/>
      <c r="EJ105" s="436"/>
      <c r="EK105" s="436"/>
      <c r="EL105" s="436"/>
      <c r="EM105" s="436"/>
      <c r="EN105" s="436"/>
      <c r="EO105" s="436"/>
      <c r="EP105" s="580"/>
      <c r="EQ105" s="436"/>
      <c r="ER105" s="436"/>
      <c r="ES105" s="580"/>
      <c r="ET105" s="436"/>
      <c r="EU105" s="436"/>
      <c r="EV105" s="580"/>
      <c r="EW105" s="436"/>
      <c r="EX105" s="436"/>
      <c r="EY105" s="580"/>
      <c r="EZ105" s="580"/>
      <c r="FA105" s="580"/>
      <c r="FB105" s="580"/>
      <c r="FC105" s="580"/>
      <c r="FD105" s="580"/>
      <c r="FE105" s="580"/>
      <c r="FF105" s="580"/>
      <c r="FG105" s="580"/>
      <c r="FH105" s="580"/>
      <c r="FI105" s="580"/>
      <c r="FJ105" s="580"/>
      <c r="FK105" s="580"/>
      <c r="FL105" s="580"/>
      <c r="FM105" s="580"/>
      <c r="FN105" s="580"/>
      <c r="FO105" s="580"/>
      <c r="FP105" s="580"/>
      <c r="FQ105" s="947"/>
      <c r="FR105" s="949"/>
      <c r="FS105" s="580"/>
      <c r="FT105" s="947"/>
      <c r="FU105" s="949"/>
      <c r="FW105" s="947"/>
      <c r="FX105" s="949"/>
      <c r="FY105" s="580"/>
      <c r="FZ105" s="508">
        <v>35989254.570000008</v>
      </c>
      <c r="GA105" s="949">
        <f t="shared" si="204"/>
        <v>1.9831591130470238E-2</v>
      </c>
      <c r="GB105" s="949"/>
      <c r="GC105" s="508">
        <v>35249953.290000074</v>
      </c>
      <c r="GD105" s="949">
        <f t="shared" si="205"/>
        <v>1.8745102045912936E-2</v>
      </c>
      <c r="GE105" s="508">
        <v>35232314.819999978</v>
      </c>
      <c r="GF105" s="949">
        <f t="shared" si="206"/>
        <v>1.839413151515186E-2</v>
      </c>
      <c r="GG105" s="508">
        <v>32832176.570000008</v>
      </c>
      <c r="GH105" s="949">
        <f t="shared" si="207"/>
        <v>1.6759435532611631E-2</v>
      </c>
      <c r="GI105" s="508">
        <v>33945998.951555379</v>
      </c>
      <c r="GJ105" s="949">
        <f t="shared" si="208"/>
        <v>1.682026361276041E-2</v>
      </c>
      <c r="GK105" s="508">
        <v>31831206.510000002</v>
      </c>
      <c r="GL105" s="949">
        <f t="shared" si="209"/>
        <v>1.5554912268177732E-2</v>
      </c>
      <c r="GM105" s="508">
        <v>27533861.370000012</v>
      </c>
      <c r="GN105" s="949">
        <f t="shared" si="210"/>
        <v>1.3854669515324648E-2</v>
      </c>
      <c r="GO105" s="508">
        <v>27261152.739999995</v>
      </c>
      <c r="GP105" s="949">
        <f t="shared" si="211"/>
        <v>1.3708094884745862E-2</v>
      </c>
      <c r="GQ105" s="1026">
        <v>25859020.060000002</v>
      </c>
      <c r="GR105" s="949">
        <f t="shared" si="212"/>
        <v>1.3068241812260529E-2</v>
      </c>
      <c r="GS105" s="949"/>
      <c r="GT105" s="1034">
        <v>22560776.520000003</v>
      </c>
      <c r="GU105" s="949">
        <f t="shared" si="213"/>
        <v>1.1767713872569927E-2</v>
      </c>
      <c r="GV105" s="949"/>
      <c r="GW105" s="1052">
        <v>19440783.670000002</v>
      </c>
      <c r="GX105" s="949">
        <f t="shared" si="214"/>
        <v>1.0704767837029162E-2</v>
      </c>
      <c r="GY105" s="949"/>
      <c r="GZ105" s="1034">
        <v>19057532.16</v>
      </c>
      <c r="HA105" s="949">
        <f t="shared" si="215"/>
        <v>1.0545207119537853E-2</v>
      </c>
      <c r="HB105" s="949"/>
      <c r="HC105" s="1034">
        <v>17584504.27</v>
      </c>
      <c r="HD105" s="949">
        <f t="shared" si="216"/>
        <v>9.9482782404159264E-3</v>
      </c>
      <c r="HE105" s="949"/>
      <c r="HF105" s="1034">
        <v>17421597.149999999</v>
      </c>
      <c r="HG105" s="949">
        <f t="shared" si="217"/>
        <v>9.8330466490370427E-3</v>
      </c>
      <c r="HH105" s="949"/>
      <c r="HI105" s="1034">
        <v>14037433.012230013</v>
      </c>
      <c r="HJ105" s="949">
        <f t="shared" si="218"/>
        <v>7.7286151956798676E-3</v>
      </c>
      <c r="HK105" s="949"/>
      <c r="HL105" s="1034">
        <v>17531531.887403626</v>
      </c>
      <c r="HM105" s="949">
        <f t="shared" si="219"/>
        <v>9.725235296748222E-3</v>
      </c>
      <c r="HN105" s="949"/>
      <c r="HO105" s="1034">
        <v>19524708.559999999</v>
      </c>
      <c r="HP105" s="949">
        <f t="shared" si="220"/>
        <v>1.1424789390554368E-2</v>
      </c>
      <c r="HQ105" s="580"/>
      <c r="HR105" s="1034">
        <v>19524708.559999999</v>
      </c>
      <c r="HS105" s="949">
        <f t="shared" si="221"/>
        <v>1.1424789390554368E-2</v>
      </c>
      <c r="HT105" s="580"/>
      <c r="HU105" s="1034">
        <v>19524708.559999999</v>
      </c>
      <c r="HV105" s="949">
        <f t="shared" si="222"/>
        <v>1.1424789390554368E-2</v>
      </c>
      <c r="HW105" s="580"/>
      <c r="HX105" s="580"/>
      <c r="HY105" s="580"/>
      <c r="HZ105" s="580"/>
      <c r="IA105" s="580"/>
      <c r="IB105" s="580"/>
      <c r="JE105" s="232"/>
    </row>
    <row r="106" spans="1:265" ht="14.1" customHeight="1">
      <c r="B106" s="324" t="s">
        <v>786</v>
      </c>
      <c r="D106" s="267"/>
      <c r="E106" s="436"/>
      <c r="F106" s="946"/>
      <c r="G106" s="436"/>
      <c r="H106" s="410"/>
      <c r="I106" s="436"/>
      <c r="J106" s="410"/>
      <c r="K106" s="436"/>
      <c r="L106" s="410"/>
      <c r="M106" s="436"/>
      <c r="N106" s="410"/>
      <c r="O106" s="436"/>
      <c r="P106" s="410"/>
      <c r="Q106" s="436"/>
      <c r="R106" s="410"/>
      <c r="S106" s="436"/>
      <c r="T106" s="410"/>
      <c r="U106" s="436"/>
      <c r="V106" s="410"/>
      <c r="W106" s="436"/>
      <c r="X106" s="410"/>
      <c r="Y106" s="436"/>
      <c r="Z106" s="410"/>
      <c r="AA106" s="436"/>
      <c r="AB106" s="410"/>
      <c r="AC106" s="436"/>
      <c r="AD106" s="410"/>
      <c r="AE106" s="436"/>
      <c r="AF106" s="410"/>
      <c r="AG106" s="436"/>
      <c r="AH106" s="410"/>
      <c r="AI106" s="436"/>
      <c r="AJ106" s="410"/>
      <c r="AK106" s="436"/>
      <c r="AL106" s="410"/>
      <c r="AM106" s="436"/>
      <c r="AN106" s="410"/>
      <c r="AO106" s="436"/>
      <c r="AP106" s="410"/>
      <c r="AQ106" s="436"/>
      <c r="AR106" s="410"/>
      <c r="AS106" s="436"/>
      <c r="AT106" s="410"/>
      <c r="AU106" s="436"/>
      <c r="AV106" s="410"/>
      <c r="AW106" s="436"/>
      <c r="AX106" s="410"/>
      <c r="AY106" s="436"/>
      <c r="AZ106" s="410"/>
      <c r="BA106" s="436"/>
      <c r="BB106" s="410"/>
      <c r="BC106" s="436"/>
      <c r="BD106" s="410"/>
      <c r="BE106" s="436"/>
      <c r="BF106" s="410"/>
      <c r="BG106" s="436"/>
      <c r="BH106" s="410"/>
      <c r="BI106" s="436"/>
      <c r="BJ106" s="410"/>
      <c r="BK106" s="436"/>
      <c r="BL106" s="410"/>
      <c r="BM106" s="436"/>
      <c r="BN106" s="410"/>
      <c r="BO106" s="436"/>
      <c r="BP106" s="410"/>
      <c r="BQ106" s="436"/>
      <c r="BR106" s="410"/>
      <c r="BS106" s="436"/>
      <c r="BT106" s="410"/>
      <c r="BU106" s="436"/>
      <c r="BV106" s="410"/>
      <c r="BW106" s="436"/>
      <c r="BX106" s="410"/>
      <c r="BY106" s="436"/>
      <c r="BZ106" s="410"/>
      <c r="CA106" s="436"/>
      <c r="CB106" s="410"/>
      <c r="CC106" s="436"/>
      <c r="CD106" s="410"/>
      <c r="CE106" s="436"/>
      <c r="CF106" s="410"/>
      <c r="CG106" s="436"/>
      <c r="CH106" s="410"/>
      <c r="CI106" s="436"/>
      <c r="CJ106" s="436"/>
      <c r="CK106" s="436"/>
      <c r="CL106" s="436"/>
      <c r="CM106" s="436"/>
      <c r="CN106" s="436"/>
      <c r="CO106" s="436"/>
      <c r="CP106" s="436"/>
      <c r="CQ106" s="436"/>
      <c r="CR106" s="436"/>
      <c r="CS106" s="436"/>
      <c r="CT106" s="436"/>
      <c r="CU106" s="436"/>
      <c r="CV106" s="198"/>
      <c r="CW106" s="436"/>
      <c r="CX106" s="436"/>
      <c r="CY106" s="436"/>
      <c r="CZ106" s="436"/>
      <c r="DA106" s="436"/>
      <c r="DB106" s="436"/>
      <c r="DC106" s="436"/>
      <c r="DD106" s="436"/>
      <c r="DE106" s="436"/>
      <c r="DF106" s="580"/>
      <c r="DG106" s="436"/>
      <c r="DH106" s="436"/>
      <c r="DI106" s="580"/>
      <c r="DJ106" s="436"/>
      <c r="DK106" s="436"/>
      <c r="DL106" s="580"/>
      <c r="DM106" s="436"/>
      <c r="DN106" s="436"/>
      <c r="DO106" s="580"/>
      <c r="DP106" s="580"/>
      <c r="DQ106" s="580"/>
      <c r="DR106" s="580"/>
      <c r="DS106" s="580"/>
      <c r="DT106" s="580"/>
      <c r="DU106" s="580"/>
      <c r="DV106" s="580"/>
      <c r="DW106" s="580"/>
      <c r="DX106" s="580"/>
      <c r="DY106" s="580"/>
      <c r="DZ106" s="580"/>
      <c r="EA106" s="580"/>
      <c r="EB106" s="580"/>
      <c r="EC106" s="580"/>
      <c r="ED106" s="580"/>
      <c r="EE106" s="580"/>
      <c r="EF106" s="580"/>
      <c r="EG106" s="436"/>
      <c r="EH106" s="436"/>
      <c r="EI106" s="436"/>
      <c r="EJ106" s="436"/>
      <c r="EK106" s="436"/>
      <c r="EL106" s="436"/>
      <c r="EM106" s="436"/>
      <c r="EN106" s="436"/>
      <c r="EO106" s="436"/>
      <c r="EP106" s="580"/>
      <c r="EQ106" s="436"/>
      <c r="ER106" s="436"/>
      <c r="ES106" s="580"/>
      <c r="ET106" s="436"/>
      <c r="EU106" s="436"/>
      <c r="EV106" s="580"/>
      <c r="EW106" s="436"/>
      <c r="EX106" s="436"/>
      <c r="EY106" s="580"/>
      <c r="EZ106" s="580"/>
      <c r="FA106" s="580"/>
      <c r="FB106" s="580"/>
      <c r="FC106" s="580"/>
      <c r="FD106" s="580"/>
      <c r="FE106" s="580"/>
      <c r="FF106" s="580"/>
      <c r="FG106" s="580"/>
      <c r="FH106" s="580"/>
      <c r="FI106" s="580"/>
      <c r="FJ106" s="580"/>
      <c r="FK106" s="580"/>
      <c r="FL106" s="580"/>
      <c r="FM106" s="580"/>
      <c r="FN106" s="580"/>
      <c r="FO106" s="580"/>
      <c r="FP106" s="580"/>
      <c r="FQ106" s="947"/>
      <c r="FR106" s="949"/>
      <c r="FS106" s="580"/>
      <c r="FT106" s="947"/>
      <c r="FU106" s="949"/>
      <c r="FW106" s="947"/>
      <c r="FX106" s="949"/>
      <c r="FY106" s="580"/>
      <c r="FZ106" s="508">
        <v>303333.33999999997</v>
      </c>
      <c r="GA106" s="949">
        <f t="shared" si="204"/>
        <v>1.671494129843521E-4</v>
      </c>
      <c r="GB106" s="949"/>
      <c r="GC106" s="508">
        <v>782583.35</v>
      </c>
      <c r="GD106" s="949">
        <f t="shared" si="205"/>
        <v>4.1615955160269574E-4</v>
      </c>
      <c r="GE106" s="508">
        <v>1759664.5399999998</v>
      </c>
      <c r="GF106" s="949">
        <f t="shared" si="206"/>
        <v>9.1868789026985703E-4</v>
      </c>
      <c r="GG106" s="508">
        <v>1982510.7</v>
      </c>
      <c r="GH106" s="949">
        <f t="shared" si="207"/>
        <v>1.0119877431373947E-3</v>
      </c>
      <c r="GI106" s="508">
        <v>2410610.6950457515</v>
      </c>
      <c r="GJ106" s="949">
        <f t="shared" si="208"/>
        <v>1.1944591000628455E-3</v>
      </c>
      <c r="GK106" s="508">
        <v>2343672.5600000005</v>
      </c>
      <c r="GL106" s="949">
        <f t="shared" si="209"/>
        <v>1.1452792731774942E-3</v>
      </c>
      <c r="GM106" s="508">
        <v>2734377.1199999992</v>
      </c>
      <c r="GN106" s="949">
        <f t="shared" si="210"/>
        <v>1.3759018692940117E-3</v>
      </c>
      <c r="GO106" s="508">
        <v>3425456.94</v>
      </c>
      <c r="GP106" s="949">
        <f t="shared" si="211"/>
        <v>1.7224689361074767E-3</v>
      </c>
      <c r="GQ106" s="1026">
        <v>3235498.66</v>
      </c>
      <c r="GR106" s="949">
        <f t="shared" si="212"/>
        <v>1.6351075475411851E-3</v>
      </c>
      <c r="GS106" s="949"/>
      <c r="GT106" s="1034">
        <v>3184942.88</v>
      </c>
      <c r="GU106" s="949">
        <f t="shared" si="213"/>
        <v>1.6612680188154627E-3</v>
      </c>
      <c r="GV106" s="949"/>
      <c r="GW106" s="1052">
        <v>2951299.49</v>
      </c>
      <c r="GX106" s="949">
        <f t="shared" si="214"/>
        <v>1.6250875681902265E-3</v>
      </c>
      <c r="GY106" s="949"/>
      <c r="GZ106" s="1034">
        <v>3492442.54</v>
      </c>
      <c r="HA106" s="949">
        <f t="shared" si="215"/>
        <v>1.9324920786272918E-3</v>
      </c>
      <c r="HB106" s="949"/>
      <c r="HC106" s="1034">
        <v>3335139.0299999993</v>
      </c>
      <c r="HD106" s="949">
        <f t="shared" si="216"/>
        <v>1.8868254988294233E-3</v>
      </c>
      <c r="HE106" s="949"/>
      <c r="HF106" s="1034">
        <v>3033599.6500000004</v>
      </c>
      <c r="HG106" s="949">
        <f t="shared" si="217"/>
        <v>1.712215396563251E-3</v>
      </c>
      <c r="HH106" s="949"/>
      <c r="HI106" s="1034">
        <v>3504647.0719386963</v>
      </c>
      <c r="HJ106" s="949">
        <f t="shared" si="218"/>
        <v>1.9295599553053482E-3</v>
      </c>
      <c r="HK106" s="949"/>
      <c r="HL106" s="1034">
        <v>3731119.5683036442</v>
      </c>
      <c r="HM106" s="949">
        <f t="shared" si="219"/>
        <v>2.0697572782060205E-3</v>
      </c>
      <c r="HN106" s="949"/>
      <c r="HO106" s="1034">
        <v>3782126.94</v>
      </c>
      <c r="HP106" s="949">
        <f t="shared" si="220"/>
        <v>2.2130934044447452E-3</v>
      </c>
      <c r="HQ106" s="580"/>
      <c r="HR106" s="1034">
        <v>3782126.94</v>
      </c>
      <c r="HS106" s="949">
        <f t="shared" si="221"/>
        <v>2.2130934044447452E-3</v>
      </c>
      <c r="HT106" s="580"/>
      <c r="HU106" s="1034">
        <v>3782126.94</v>
      </c>
      <c r="HV106" s="949">
        <f t="shared" si="222"/>
        <v>2.2130934044447452E-3</v>
      </c>
      <c r="HW106" s="580"/>
      <c r="HX106" s="580"/>
      <c r="HY106" s="580"/>
      <c r="HZ106" s="580"/>
      <c r="IA106" s="580"/>
      <c r="IB106" s="580"/>
      <c r="JE106" s="232"/>
    </row>
    <row r="107" spans="1:265" ht="14.25" customHeight="1">
      <c r="B107" s="324" t="s">
        <v>787</v>
      </c>
      <c r="D107" s="267"/>
      <c r="E107" s="436"/>
      <c r="F107" s="946"/>
      <c r="G107" s="436"/>
      <c r="H107" s="410"/>
      <c r="I107" s="436"/>
      <c r="J107" s="410"/>
      <c r="K107" s="436"/>
      <c r="L107" s="410"/>
      <c r="M107" s="436"/>
      <c r="N107" s="410"/>
      <c r="O107" s="436"/>
      <c r="P107" s="410"/>
      <c r="Q107" s="436"/>
      <c r="R107" s="410"/>
      <c r="S107" s="436"/>
      <c r="T107" s="410"/>
      <c r="U107" s="436"/>
      <c r="V107" s="410"/>
      <c r="W107" s="436"/>
      <c r="X107" s="410"/>
      <c r="Y107" s="436"/>
      <c r="Z107" s="410"/>
      <c r="AA107" s="436"/>
      <c r="AB107" s="410"/>
      <c r="AC107" s="436"/>
      <c r="AD107" s="410"/>
      <c r="AE107" s="436"/>
      <c r="AF107" s="410"/>
      <c r="AG107" s="436"/>
      <c r="AH107" s="410"/>
      <c r="AI107" s="436"/>
      <c r="AJ107" s="410"/>
      <c r="AK107" s="436"/>
      <c r="AL107" s="410"/>
      <c r="AM107" s="436"/>
      <c r="AN107" s="410"/>
      <c r="AO107" s="436"/>
      <c r="AP107" s="410"/>
      <c r="AQ107" s="436"/>
      <c r="AR107" s="410"/>
      <c r="AS107" s="436"/>
      <c r="AT107" s="410"/>
      <c r="AU107" s="436"/>
      <c r="AV107" s="410"/>
      <c r="AW107" s="436"/>
      <c r="AX107" s="410"/>
      <c r="AY107" s="436"/>
      <c r="AZ107" s="410"/>
      <c r="BA107" s="436"/>
      <c r="BB107" s="410"/>
      <c r="BC107" s="436"/>
      <c r="BD107" s="410"/>
      <c r="BE107" s="436"/>
      <c r="BF107" s="410"/>
      <c r="BG107" s="436"/>
      <c r="BH107" s="410"/>
      <c r="BI107" s="436"/>
      <c r="BJ107" s="410"/>
      <c r="BK107" s="436"/>
      <c r="BL107" s="410"/>
      <c r="BM107" s="436"/>
      <c r="BN107" s="410"/>
      <c r="BO107" s="436"/>
      <c r="BP107" s="410"/>
      <c r="BQ107" s="436"/>
      <c r="BR107" s="410"/>
      <c r="BS107" s="436"/>
      <c r="BT107" s="410"/>
      <c r="BU107" s="436"/>
      <c r="BV107" s="410"/>
      <c r="BW107" s="436"/>
      <c r="BX107" s="410"/>
      <c r="BY107" s="436"/>
      <c r="BZ107" s="410"/>
      <c r="CA107" s="436"/>
      <c r="CB107" s="410"/>
      <c r="CC107" s="436"/>
      <c r="CD107" s="410"/>
      <c r="CE107" s="436"/>
      <c r="CF107" s="410"/>
      <c r="CG107" s="436"/>
      <c r="CH107" s="410"/>
      <c r="CI107" s="436"/>
      <c r="CJ107" s="436"/>
      <c r="CK107" s="436"/>
      <c r="CL107" s="436"/>
      <c r="CM107" s="436"/>
      <c r="CN107" s="436"/>
      <c r="CO107" s="436"/>
      <c r="CP107" s="436"/>
      <c r="CQ107" s="436"/>
      <c r="CR107" s="436"/>
      <c r="CS107" s="436"/>
      <c r="CT107" s="436"/>
      <c r="CU107" s="436"/>
      <c r="CV107" s="198"/>
      <c r="CW107" s="436"/>
      <c r="CX107" s="436"/>
      <c r="CY107" s="436"/>
      <c r="CZ107" s="436"/>
      <c r="DA107" s="436"/>
      <c r="DB107" s="436"/>
      <c r="DC107" s="436"/>
      <c r="DD107" s="436"/>
      <c r="DE107" s="436"/>
      <c r="DF107" s="580"/>
      <c r="DG107" s="436"/>
      <c r="DH107" s="436"/>
      <c r="DI107" s="580"/>
      <c r="DJ107" s="436"/>
      <c r="DK107" s="436"/>
      <c r="DL107" s="580"/>
      <c r="DM107" s="436"/>
      <c r="DN107" s="436"/>
      <c r="DO107" s="580"/>
      <c r="DP107" s="580"/>
      <c r="DQ107" s="580"/>
      <c r="DR107" s="580"/>
      <c r="DS107" s="580"/>
      <c r="DT107" s="580"/>
      <c r="DU107" s="580"/>
      <c r="DV107" s="580"/>
      <c r="DW107" s="580"/>
      <c r="DX107" s="580"/>
      <c r="DY107" s="580"/>
      <c r="DZ107" s="580"/>
      <c r="EA107" s="580"/>
      <c r="EB107" s="580"/>
      <c r="EC107" s="580"/>
      <c r="ED107" s="580"/>
      <c r="EE107" s="580"/>
      <c r="EF107" s="580"/>
      <c r="EG107" s="436"/>
      <c r="EH107" s="436"/>
      <c r="EI107" s="436"/>
      <c r="EJ107" s="436"/>
      <c r="EK107" s="436"/>
      <c r="EL107" s="436"/>
      <c r="EM107" s="436"/>
      <c r="EN107" s="436"/>
      <c r="EO107" s="436"/>
      <c r="EP107" s="580"/>
      <c r="EQ107" s="436"/>
      <c r="ER107" s="436"/>
      <c r="ES107" s="580"/>
      <c r="ET107" s="436"/>
      <c r="EU107" s="436"/>
      <c r="EV107" s="580"/>
      <c r="EW107" s="436"/>
      <c r="EX107" s="436"/>
      <c r="EY107" s="580"/>
      <c r="EZ107" s="580"/>
      <c r="FA107" s="580"/>
      <c r="FB107" s="580"/>
      <c r="FC107" s="580"/>
      <c r="FD107" s="580"/>
      <c r="FE107" s="580"/>
      <c r="FF107" s="580"/>
      <c r="FG107" s="580"/>
      <c r="FH107" s="580"/>
      <c r="FI107" s="580"/>
      <c r="FJ107" s="580"/>
      <c r="FK107" s="580"/>
      <c r="FL107" s="580"/>
      <c r="FM107" s="580"/>
      <c r="FN107" s="580"/>
      <c r="FO107" s="580"/>
      <c r="FP107" s="580"/>
      <c r="FQ107" s="947"/>
      <c r="FR107" s="949"/>
      <c r="FS107" s="580"/>
      <c r="FT107" s="947"/>
      <c r="FU107" s="949"/>
      <c r="FW107" s="947"/>
      <c r="FX107" s="949"/>
      <c r="FY107" s="580"/>
      <c r="FZ107" s="508">
        <v>61109575.649999969</v>
      </c>
      <c r="GA107" s="949">
        <f t="shared" si="204"/>
        <v>3.3673943318002407E-2</v>
      </c>
      <c r="GB107" s="949"/>
      <c r="GC107" s="508">
        <v>64762017.680000015</v>
      </c>
      <c r="GD107" s="949">
        <f t="shared" si="205"/>
        <v>3.4438928758955399E-2</v>
      </c>
      <c r="GE107" s="508">
        <v>61908822.350000009</v>
      </c>
      <c r="GF107" s="949">
        <f t="shared" si="206"/>
        <v>3.232143633116167E-2</v>
      </c>
      <c r="GG107" s="508">
        <v>46199911.770000018</v>
      </c>
      <c r="GH107" s="949">
        <f t="shared" si="207"/>
        <v>2.3583098161976672E-2</v>
      </c>
      <c r="GI107" s="508">
        <v>30743832.294788402</v>
      </c>
      <c r="GJ107" s="949">
        <f t="shared" si="208"/>
        <v>1.5233588040900583E-2</v>
      </c>
      <c r="GK107" s="508">
        <v>24823912.729999989</v>
      </c>
      <c r="GL107" s="949">
        <f t="shared" si="209"/>
        <v>1.2130667574499369E-2</v>
      </c>
      <c r="GM107" s="508">
        <v>21995488.600000001</v>
      </c>
      <c r="GN107" s="949">
        <f t="shared" si="210"/>
        <v>1.1067834666776006E-2</v>
      </c>
      <c r="GO107" s="508">
        <v>21112233.579999998</v>
      </c>
      <c r="GP107" s="949">
        <f t="shared" si="211"/>
        <v>1.061615053126172E-2</v>
      </c>
      <c r="GQ107" s="1026">
        <v>20438186.82</v>
      </c>
      <c r="GR107" s="949">
        <f t="shared" si="212"/>
        <v>1.0328742811915976E-2</v>
      </c>
      <c r="GS107" s="949"/>
      <c r="GT107" s="1034">
        <v>18891464.089999996</v>
      </c>
      <c r="GU107" s="949">
        <f t="shared" si="213"/>
        <v>9.8537984208111606E-3</v>
      </c>
      <c r="GV107" s="949"/>
      <c r="GW107" s="1052">
        <v>16743504.480000004</v>
      </c>
      <c r="GX107" s="949">
        <f t="shared" si="214"/>
        <v>9.219552631164982E-3</v>
      </c>
      <c r="GY107" s="949"/>
      <c r="GZ107" s="1034">
        <v>11793919.120000001</v>
      </c>
      <c r="HA107" s="949">
        <f t="shared" si="215"/>
        <v>6.525992915940991E-3</v>
      </c>
      <c r="HB107" s="949"/>
      <c r="HC107" s="1034">
        <v>10189986.800000001</v>
      </c>
      <c r="HD107" s="949">
        <f t="shared" si="216"/>
        <v>5.7648951824881625E-3</v>
      </c>
      <c r="HE107" s="949"/>
      <c r="HF107" s="1034">
        <v>9255398.5600000005</v>
      </c>
      <c r="HG107" s="949">
        <f t="shared" si="217"/>
        <v>5.2239048470886203E-3</v>
      </c>
      <c r="HH107" s="949"/>
      <c r="HI107" s="1034">
        <v>6960892.515711193</v>
      </c>
      <c r="HJ107" s="949">
        <f t="shared" si="218"/>
        <v>3.8324713375692417E-3</v>
      </c>
      <c r="HK107" s="949"/>
      <c r="HL107" s="1034">
        <v>9771211.074940538</v>
      </c>
      <c r="HM107" s="949">
        <f t="shared" si="219"/>
        <v>5.4203664259519623E-3</v>
      </c>
      <c r="HN107" s="949"/>
      <c r="HO107" s="1034">
        <v>15978601.709999993</v>
      </c>
      <c r="HP107" s="949">
        <f t="shared" si="220"/>
        <v>9.3498020076107011E-3</v>
      </c>
      <c r="HQ107" s="580"/>
      <c r="HR107" s="1034">
        <v>15978601.709999993</v>
      </c>
      <c r="HS107" s="949">
        <f t="shared" si="221"/>
        <v>9.3498020076107011E-3</v>
      </c>
      <c r="HT107" s="580"/>
      <c r="HU107" s="1034">
        <v>15978601.709999993</v>
      </c>
      <c r="HV107" s="949">
        <f t="shared" si="222"/>
        <v>9.3498020076107011E-3</v>
      </c>
      <c r="HW107" s="580"/>
      <c r="HX107" s="580"/>
      <c r="HY107" s="580"/>
      <c r="HZ107" s="580"/>
      <c r="IA107" s="580"/>
      <c r="IB107" s="580"/>
      <c r="JE107" s="232"/>
    </row>
    <row r="108" spans="1:265" ht="14.25" customHeight="1">
      <c r="B108" s="324" t="s">
        <v>788</v>
      </c>
      <c r="D108" s="267"/>
      <c r="E108" s="436"/>
      <c r="F108" s="946"/>
      <c r="G108" s="436"/>
      <c r="H108" s="410"/>
      <c r="I108" s="436"/>
      <c r="J108" s="410"/>
      <c r="K108" s="436"/>
      <c r="L108" s="410"/>
      <c r="M108" s="436"/>
      <c r="N108" s="410"/>
      <c r="O108" s="436"/>
      <c r="P108" s="410"/>
      <c r="Q108" s="436"/>
      <c r="R108" s="410"/>
      <c r="S108" s="436"/>
      <c r="T108" s="410"/>
      <c r="U108" s="436"/>
      <c r="V108" s="410"/>
      <c r="W108" s="436"/>
      <c r="X108" s="410"/>
      <c r="Y108" s="436"/>
      <c r="Z108" s="410"/>
      <c r="AA108" s="436"/>
      <c r="AB108" s="410"/>
      <c r="AC108" s="436"/>
      <c r="AD108" s="410"/>
      <c r="AE108" s="436"/>
      <c r="AF108" s="410"/>
      <c r="AG108" s="436"/>
      <c r="AH108" s="410"/>
      <c r="AI108" s="436"/>
      <c r="AJ108" s="410"/>
      <c r="AK108" s="436"/>
      <c r="AL108" s="410"/>
      <c r="AM108" s="436"/>
      <c r="AN108" s="410"/>
      <c r="AO108" s="436"/>
      <c r="AP108" s="410"/>
      <c r="AQ108" s="436"/>
      <c r="AR108" s="410"/>
      <c r="AS108" s="436"/>
      <c r="AT108" s="410"/>
      <c r="AU108" s="436"/>
      <c r="AV108" s="410"/>
      <c r="AW108" s="436"/>
      <c r="AX108" s="410"/>
      <c r="AY108" s="436"/>
      <c r="AZ108" s="410"/>
      <c r="BA108" s="436"/>
      <c r="BB108" s="410"/>
      <c r="BC108" s="436"/>
      <c r="BD108" s="410"/>
      <c r="BE108" s="436"/>
      <c r="BF108" s="410"/>
      <c r="BG108" s="436"/>
      <c r="BH108" s="410"/>
      <c r="BI108" s="436"/>
      <c r="BJ108" s="410"/>
      <c r="BK108" s="436"/>
      <c r="BL108" s="410"/>
      <c r="BM108" s="436"/>
      <c r="BN108" s="410"/>
      <c r="BO108" s="436"/>
      <c r="BP108" s="410"/>
      <c r="BQ108" s="436"/>
      <c r="BR108" s="410"/>
      <c r="BS108" s="436"/>
      <c r="BT108" s="410"/>
      <c r="BU108" s="436"/>
      <c r="BV108" s="410"/>
      <c r="BW108" s="436"/>
      <c r="BX108" s="410"/>
      <c r="BY108" s="436"/>
      <c r="BZ108" s="410"/>
      <c r="CA108" s="436"/>
      <c r="CB108" s="410"/>
      <c r="CC108" s="436"/>
      <c r="CD108" s="410"/>
      <c r="CE108" s="436"/>
      <c r="CF108" s="410"/>
      <c r="CG108" s="436"/>
      <c r="CH108" s="410"/>
      <c r="CI108" s="436"/>
      <c r="CJ108" s="436"/>
      <c r="CK108" s="436"/>
      <c r="CL108" s="436"/>
      <c r="CM108" s="436"/>
      <c r="CN108" s="436"/>
      <c r="CO108" s="436"/>
      <c r="CP108" s="436"/>
      <c r="CQ108" s="436"/>
      <c r="CR108" s="436"/>
      <c r="CS108" s="436"/>
      <c r="CT108" s="436"/>
      <c r="CU108" s="436"/>
      <c r="CV108" s="198"/>
      <c r="CW108" s="436"/>
      <c r="CX108" s="436"/>
      <c r="CY108" s="436"/>
      <c r="CZ108" s="436"/>
      <c r="DA108" s="436"/>
      <c r="DB108" s="436"/>
      <c r="DC108" s="436"/>
      <c r="DD108" s="436"/>
      <c r="DE108" s="436"/>
      <c r="DF108" s="580"/>
      <c r="DG108" s="436"/>
      <c r="DH108" s="436"/>
      <c r="DI108" s="580"/>
      <c r="DJ108" s="436"/>
      <c r="DK108" s="436"/>
      <c r="DL108" s="580"/>
      <c r="DM108" s="436"/>
      <c r="DN108" s="436"/>
      <c r="DO108" s="580"/>
      <c r="DP108" s="580"/>
      <c r="DQ108" s="580"/>
      <c r="DR108" s="580"/>
      <c r="DS108" s="580"/>
      <c r="DT108" s="580"/>
      <c r="DU108" s="580"/>
      <c r="DV108" s="580"/>
      <c r="DW108" s="580"/>
      <c r="DX108" s="580"/>
      <c r="DY108" s="580"/>
      <c r="DZ108" s="580"/>
      <c r="EA108" s="580"/>
      <c r="EB108" s="580"/>
      <c r="EC108" s="580"/>
      <c r="ED108" s="580"/>
      <c r="EE108" s="580"/>
      <c r="EF108" s="580"/>
      <c r="EG108" s="436"/>
      <c r="EH108" s="436"/>
      <c r="EI108" s="436"/>
      <c r="EJ108" s="436"/>
      <c r="EK108" s="436"/>
      <c r="EL108" s="436"/>
      <c r="EM108" s="436"/>
      <c r="EN108" s="436"/>
      <c r="EO108" s="436"/>
      <c r="EP108" s="580"/>
      <c r="EQ108" s="436"/>
      <c r="ER108" s="436"/>
      <c r="ES108" s="580"/>
      <c r="ET108" s="436"/>
      <c r="EU108" s="436"/>
      <c r="EV108" s="580"/>
      <c r="EW108" s="436"/>
      <c r="EX108" s="436"/>
      <c r="EY108" s="580"/>
      <c r="EZ108" s="580"/>
      <c r="FA108" s="580"/>
      <c r="FB108" s="580"/>
      <c r="FC108" s="580"/>
      <c r="FD108" s="580"/>
      <c r="FE108" s="580"/>
      <c r="FF108" s="580"/>
      <c r="FG108" s="580"/>
      <c r="FH108" s="580"/>
      <c r="FI108" s="580"/>
      <c r="FJ108" s="580"/>
      <c r="FK108" s="580"/>
      <c r="FL108" s="580"/>
      <c r="FM108" s="580"/>
      <c r="FN108" s="580"/>
      <c r="FO108" s="580"/>
      <c r="FP108" s="580"/>
      <c r="FQ108" s="947"/>
      <c r="FR108" s="949"/>
      <c r="FS108" s="580"/>
      <c r="FT108" s="947"/>
      <c r="FU108" s="949"/>
      <c r="FW108" s="947"/>
      <c r="FX108" s="949"/>
      <c r="FY108" s="580"/>
      <c r="FZ108" s="508">
        <v>2356253.1499999906</v>
      </c>
      <c r="GA108" s="949">
        <f t="shared" si="204"/>
        <v>1.2983944688210963E-3</v>
      </c>
      <c r="GB108" s="949"/>
      <c r="GC108" s="508">
        <v>2332980.4199999911</v>
      </c>
      <c r="GD108" s="949">
        <f t="shared" si="205"/>
        <v>1.2406245104563814E-3</v>
      </c>
      <c r="GE108" s="508">
        <v>2270787.2699999972</v>
      </c>
      <c r="GF108" s="949">
        <f t="shared" si="206"/>
        <v>1.1855354920818862E-3</v>
      </c>
      <c r="GG108" s="508">
        <v>1948895.42</v>
      </c>
      <c r="GH108" s="949">
        <f t="shared" si="207"/>
        <v>9.9482856647210285E-4</v>
      </c>
      <c r="GI108" s="508">
        <v>2234427.2353628972</v>
      </c>
      <c r="GJ108" s="949">
        <f t="shared" si="208"/>
        <v>1.1071600861112182E-3</v>
      </c>
      <c r="GK108" s="508">
        <v>1725759.8699999996</v>
      </c>
      <c r="GL108" s="949">
        <f t="shared" si="209"/>
        <v>8.4332472177448112E-4</v>
      </c>
      <c r="GM108" s="508">
        <v>1593284.4499999997</v>
      </c>
      <c r="GN108" s="949">
        <f t="shared" si="210"/>
        <v>8.0171935211046589E-4</v>
      </c>
      <c r="GO108" s="508">
        <v>1870702.0299999986</v>
      </c>
      <c r="GP108" s="949">
        <f t="shared" si="211"/>
        <v>9.4067045414040291E-4</v>
      </c>
      <c r="GQ108" s="1026">
        <v>2071741.81</v>
      </c>
      <c r="GR108" s="949">
        <f t="shared" si="212"/>
        <v>1.0469856507644593E-3</v>
      </c>
      <c r="GS108" s="949"/>
      <c r="GT108" s="1034">
        <v>1701969.8999999994</v>
      </c>
      <c r="GU108" s="949">
        <f t="shared" si="213"/>
        <v>8.8774846846124608E-4</v>
      </c>
      <c r="GV108" s="949"/>
      <c r="GW108" s="1052">
        <v>1239755.99</v>
      </c>
      <c r="GX108" s="949">
        <f t="shared" si="214"/>
        <v>6.8265252434220654E-4</v>
      </c>
      <c r="GY108" s="949"/>
      <c r="GZ108" s="1034">
        <v>1277460.8199999996</v>
      </c>
      <c r="HA108" s="949">
        <f t="shared" si="215"/>
        <v>7.0686428971476333E-4</v>
      </c>
      <c r="HB108" s="949"/>
      <c r="HC108" s="1034">
        <v>1193490.3</v>
      </c>
      <c r="HD108" s="949">
        <f t="shared" si="216"/>
        <v>6.7520661369417591E-4</v>
      </c>
      <c r="HE108" s="949"/>
      <c r="HF108" s="1034">
        <v>1253854.6699999992</v>
      </c>
      <c r="HG108" s="949">
        <f t="shared" si="217"/>
        <v>7.0769696687785833E-4</v>
      </c>
      <c r="HH108" s="949"/>
      <c r="HI108" s="1034">
        <v>1167209.8665473347</v>
      </c>
      <c r="HJ108" s="949">
        <f t="shared" si="218"/>
        <v>6.4263287335268441E-4</v>
      </c>
      <c r="HK108" s="949"/>
      <c r="HL108" s="1034">
        <v>1231286.534140673</v>
      </c>
      <c r="HM108" s="949">
        <f t="shared" si="219"/>
        <v>6.8302937467999312E-4</v>
      </c>
      <c r="HN108" s="949"/>
      <c r="HO108" s="1034">
        <v>1190302.0399999993</v>
      </c>
      <c r="HP108" s="949">
        <f t="shared" si="220"/>
        <v>6.9649951887154908E-4</v>
      </c>
      <c r="HQ108" s="580"/>
      <c r="HR108" s="1034">
        <v>1190302.0399999993</v>
      </c>
      <c r="HS108" s="949">
        <f t="shared" si="221"/>
        <v>6.9649951887154908E-4</v>
      </c>
      <c r="HT108" s="580"/>
      <c r="HU108" s="1034">
        <v>1190302.0399999993</v>
      </c>
      <c r="HV108" s="949">
        <f t="shared" si="222"/>
        <v>6.9649951887154908E-4</v>
      </c>
      <c r="HW108" s="580"/>
      <c r="HX108" s="580"/>
      <c r="HY108" s="580"/>
      <c r="HZ108" s="580"/>
      <c r="IA108" s="580"/>
      <c r="IB108" s="580"/>
      <c r="JE108" s="232"/>
    </row>
    <row r="109" spans="1:265" ht="14.25" customHeight="1">
      <c r="B109" s="324" t="s">
        <v>789</v>
      </c>
      <c r="D109" s="267"/>
      <c r="E109" s="436"/>
      <c r="F109" s="946"/>
      <c r="G109" s="436"/>
      <c r="H109" s="410"/>
      <c r="I109" s="436"/>
      <c r="J109" s="410"/>
      <c r="K109" s="436"/>
      <c r="L109" s="410"/>
      <c r="M109" s="436"/>
      <c r="N109" s="410"/>
      <c r="O109" s="436"/>
      <c r="P109" s="410"/>
      <c r="Q109" s="436"/>
      <c r="R109" s="410"/>
      <c r="S109" s="436"/>
      <c r="T109" s="410"/>
      <c r="U109" s="436"/>
      <c r="V109" s="410"/>
      <c r="W109" s="436"/>
      <c r="X109" s="410"/>
      <c r="Y109" s="436"/>
      <c r="Z109" s="410"/>
      <c r="AA109" s="436"/>
      <c r="AB109" s="410"/>
      <c r="AC109" s="436"/>
      <c r="AD109" s="410"/>
      <c r="AE109" s="436"/>
      <c r="AF109" s="410"/>
      <c r="AG109" s="436"/>
      <c r="AH109" s="410"/>
      <c r="AI109" s="436"/>
      <c r="AJ109" s="410"/>
      <c r="AK109" s="436"/>
      <c r="AL109" s="410"/>
      <c r="AM109" s="436"/>
      <c r="AN109" s="410"/>
      <c r="AO109" s="436"/>
      <c r="AP109" s="410"/>
      <c r="AQ109" s="436"/>
      <c r="AR109" s="410"/>
      <c r="AS109" s="436"/>
      <c r="AT109" s="410"/>
      <c r="AU109" s="436"/>
      <c r="AV109" s="410"/>
      <c r="AW109" s="436"/>
      <c r="AX109" s="410"/>
      <c r="AY109" s="436"/>
      <c r="AZ109" s="410"/>
      <c r="BA109" s="436"/>
      <c r="BB109" s="410"/>
      <c r="BC109" s="436"/>
      <c r="BD109" s="410"/>
      <c r="BE109" s="436"/>
      <c r="BF109" s="410"/>
      <c r="BG109" s="436"/>
      <c r="BH109" s="410"/>
      <c r="BI109" s="436"/>
      <c r="BJ109" s="410"/>
      <c r="BK109" s="436"/>
      <c r="BL109" s="410"/>
      <c r="BM109" s="436"/>
      <c r="BN109" s="410"/>
      <c r="BO109" s="436"/>
      <c r="BP109" s="410"/>
      <c r="BQ109" s="436"/>
      <c r="BR109" s="410"/>
      <c r="BS109" s="436"/>
      <c r="BT109" s="410"/>
      <c r="BU109" s="436"/>
      <c r="BV109" s="410"/>
      <c r="BW109" s="436"/>
      <c r="BX109" s="410"/>
      <c r="BY109" s="436"/>
      <c r="BZ109" s="410"/>
      <c r="CA109" s="436"/>
      <c r="CB109" s="410"/>
      <c r="CC109" s="436"/>
      <c r="CD109" s="410"/>
      <c r="CE109" s="436"/>
      <c r="CF109" s="410"/>
      <c r="CG109" s="436"/>
      <c r="CH109" s="410"/>
      <c r="CI109" s="436"/>
      <c r="CJ109" s="436"/>
      <c r="CK109" s="436"/>
      <c r="CL109" s="436"/>
      <c r="CM109" s="436"/>
      <c r="CN109" s="436"/>
      <c r="CO109" s="436"/>
      <c r="CP109" s="436"/>
      <c r="CQ109" s="436"/>
      <c r="CR109" s="436"/>
      <c r="CS109" s="436"/>
      <c r="CT109" s="436"/>
      <c r="CU109" s="436"/>
      <c r="CV109" s="198"/>
      <c r="CW109" s="436"/>
      <c r="CX109" s="436"/>
      <c r="CY109" s="436"/>
      <c r="CZ109" s="436"/>
      <c r="DA109" s="436"/>
      <c r="DB109" s="436"/>
      <c r="DC109" s="436"/>
      <c r="DD109" s="436"/>
      <c r="DE109" s="436"/>
      <c r="DF109" s="580"/>
      <c r="DG109" s="436"/>
      <c r="DH109" s="436"/>
      <c r="DI109" s="580"/>
      <c r="DJ109" s="436"/>
      <c r="DK109" s="436"/>
      <c r="DL109" s="580"/>
      <c r="DM109" s="436"/>
      <c r="DN109" s="436"/>
      <c r="DO109" s="580"/>
      <c r="DP109" s="580"/>
      <c r="DQ109" s="580"/>
      <c r="DR109" s="580"/>
      <c r="DS109" s="580"/>
      <c r="DT109" s="580"/>
      <c r="DU109" s="580"/>
      <c r="DV109" s="580"/>
      <c r="DW109" s="580"/>
      <c r="DX109" s="580"/>
      <c r="DY109" s="580"/>
      <c r="DZ109" s="580"/>
      <c r="EA109" s="580"/>
      <c r="EB109" s="580"/>
      <c r="EC109" s="580"/>
      <c r="ED109" s="580"/>
      <c r="EE109" s="580"/>
      <c r="EF109" s="580"/>
      <c r="EG109" s="436"/>
      <c r="EH109" s="436"/>
      <c r="EI109" s="436"/>
      <c r="EJ109" s="436"/>
      <c r="EK109" s="436"/>
      <c r="EL109" s="436"/>
      <c r="EM109" s="436"/>
      <c r="EN109" s="436"/>
      <c r="EO109" s="436"/>
      <c r="EP109" s="580"/>
      <c r="EQ109" s="436"/>
      <c r="ER109" s="436"/>
      <c r="ES109" s="580"/>
      <c r="ET109" s="436"/>
      <c r="EU109" s="436"/>
      <c r="EV109" s="580"/>
      <c r="EW109" s="436"/>
      <c r="EX109" s="436"/>
      <c r="EY109" s="580"/>
      <c r="EZ109" s="580"/>
      <c r="FA109" s="580"/>
      <c r="FB109" s="580"/>
      <c r="FC109" s="580"/>
      <c r="FD109" s="580"/>
      <c r="FE109" s="580"/>
      <c r="FF109" s="580"/>
      <c r="FG109" s="580"/>
      <c r="FH109" s="580"/>
      <c r="FI109" s="580"/>
      <c r="FJ109" s="580"/>
      <c r="FK109" s="580"/>
      <c r="FL109" s="580"/>
      <c r="FM109" s="580"/>
      <c r="FN109" s="580"/>
      <c r="FO109" s="580"/>
      <c r="FP109" s="580"/>
      <c r="FQ109" s="947"/>
      <c r="FR109" s="949"/>
      <c r="FS109" s="580"/>
      <c r="FT109" s="947"/>
      <c r="FU109" s="949"/>
      <c r="FW109" s="947"/>
      <c r="FX109" s="949"/>
      <c r="FY109" s="580"/>
      <c r="FZ109" s="508">
        <v>48333.71</v>
      </c>
      <c r="GA109" s="949">
        <f t="shared" si="204"/>
        <v>2.6633904647131468E-5</v>
      </c>
      <c r="GB109" s="949"/>
      <c r="GC109" s="508">
        <v>304167.02000000014</v>
      </c>
      <c r="GD109" s="949">
        <f t="shared" si="205"/>
        <v>1.61748918700517E-4</v>
      </c>
      <c r="GE109" s="508">
        <v>3010581.5799999991</v>
      </c>
      <c r="GF109" s="949">
        <f t="shared" si="206"/>
        <v>1.571768241812438E-3</v>
      </c>
      <c r="GG109" s="508">
        <v>4409162.22</v>
      </c>
      <c r="GH109" s="949">
        <f t="shared" si="207"/>
        <v>2.2506905633066523E-3</v>
      </c>
      <c r="GI109" s="508">
        <v>6625413.0764951874</v>
      </c>
      <c r="GJ109" s="949">
        <f t="shared" si="208"/>
        <v>3.282896303894832E-3</v>
      </c>
      <c r="GK109" s="508">
        <v>6797399.0900000008</v>
      </c>
      <c r="GL109" s="949">
        <f t="shared" si="209"/>
        <v>3.3216757418077889E-3</v>
      </c>
      <c r="GM109" s="508">
        <v>4502283.0599999996</v>
      </c>
      <c r="GN109" s="949">
        <f t="shared" si="210"/>
        <v>2.2654884116148416E-3</v>
      </c>
      <c r="GO109" s="508">
        <v>3723235.23</v>
      </c>
      <c r="GP109" s="949">
        <f t="shared" si="211"/>
        <v>1.8722048292616916E-3</v>
      </c>
      <c r="GQ109" s="1026">
        <v>3447696.22</v>
      </c>
      <c r="GR109" s="949">
        <f t="shared" si="212"/>
        <v>1.7423447521845718E-3</v>
      </c>
      <c r="GS109" s="949"/>
      <c r="GT109" s="1034">
        <v>2878326.0699999994</v>
      </c>
      <c r="GU109" s="949">
        <f>GT109/GT$110</f>
        <v>1.5013365162183994E-3</v>
      </c>
      <c r="GV109" s="949"/>
      <c r="GW109" s="1052">
        <v>2617387.1799999997</v>
      </c>
      <c r="GX109" s="949">
        <f>GW109/GW$110</f>
        <v>1.4412239021389436E-3</v>
      </c>
      <c r="GY109" s="949"/>
      <c r="GZ109" s="1034">
        <v>2844604.4099999997</v>
      </c>
      <c r="HA109" s="949">
        <f>GZ109/GZ$110</f>
        <v>1.5740203099098833E-3</v>
      </c>
      <c r="HB109" s="949"/>
      <c r="HC109" s="1034">
        <v>3313762.14</v>
      </c>
      <c r="HD109" s="949">
        <f>HC109/HC$110</f>
        <v>1.8747317118013994E-3</v>
      </c>
      <c r="HE109" s="949"/>
      <c r="HF109" s="1034">
        <v>3221756.9499999997</v>
      </c>
      <c r="HG109" s="949">
        <f>HF109/HF$110</f>
        <v>1.8184145867021903E-3</v>
      </c>
      <c r="HH109" s="949"/>
      <c r="HI109" s="1034">
        <v>4287624.5456221066</v>
      </c>
      <c r="HJ109" s="949">
        <f>HI109/HI$110</f>
        <v>2.360645296600474E-3</v>
      </c>
      <c r="HK109" s="949"/>
      <c r="HL109" s="1034">
        <v>3680240.9959352948</v>
      </c>
      <c r="HM109" s="949">
        <f>HL109/HL$110</f>
        <v>2.0415334988453391E-3</v>
      </c>
      <c r="HN109" s="949"/>
      <c r="HO109" s="1034">
        <v>3052278.3899999997</v>
      </c>
      <c r="HP109" s="949">
        <f>HO109/HO$110</f>
        <v>1.7860260326001182E-3</v>
      </c>
      <c r="HQ109" s="580"/>
      <c r="HR109" s="1034">
        <v>3052278.3899999997</v>
      </c>
      <c r="HS109" s="949">
        <f>HR109/HR$110</f>
        <v>1.7860260326001182E-3</v>
      </c>
      <c r="HT109" s="580"/>
      <c r="HU109" s="1034">
        <v>3052278.3899999997</v>
      </c>
      <c r="HV109" s="949">
        <f>HU109/HU$110</f>
        <v>1.7860260326001182E-3</v>
      </c>
      <c r="HW109" s="580"/>
      <c r="HX109" s="580"/>
      <c r="HY109" s="580"/>
      <c r="HZ109" s="580"/>
      <c r="IA109" s="580"/>
      <c r="IB109" s="580"/>
      <c r="JE109" s="232"/>
    </row>
    <row r="110" spans="1:265" ht="14.25" customHeight="1">
      <c r="B110" s="212" t="s">
        <v>399</v>
      </c>
      <c r="D110" s="267"/>
      <c r="E110" s="436"/>
      <c r="F110" s="946"/>
      <c r="G110" s="436"/>
      <c r="H110" s="410"/>
      <c r="I110" s="436"/>
      <c r="J110" s="410"/>
      <c r="K110" s="436"/>
      <c r="L110" s="410"/>
      <c r="M110" s="436"/>
      <c r="N110" s="410"/>
      <c r="O110" s="436"/>
      <c r="P110" s="410"/>
      <c r="Q110" s="436"/>
      <c r="R110" s="410"/>
      <c r="S110" s="436"/>
      <c r="T110" s="410"/>
      <c r="U110" s="436"/>
      <c r="V110" s="410"/>
      <c r="W110" s="436"/>
      <c r="X110" s="410"/>
      <c r="Y110" s="436"/>
      <c r="Z110" s="410"/>
      <c r="AA110" s="436"/>
      <c r="AB110" s="410"/>
      <c r="AC110" s="436"/>
      <c r="AD110" s="410"/>
      <c r="AE110" s="436"/>
      <c r="AF110" s="410"/>
      <c r="AG110" s="436"/>
      <c r="AH110" s="410"/>
      <c r="AI110" s="436"/>
      <c r="AJ110" s="410"/>
      <c r="AK110" s="436"/>
      <c r="AL110" s="410"/>
      <c r="AM110" s="436"/>
      <c r="AN110" s="410"/>
      <c r="AO110" s="436"/>
      <c r="AP110" s="410"/>
      <c r="AQ110" s="436"/>
      <c r="AR110" s="410"/>
      <c r="AS110" s="436"/>
      <c r="AT110" s="410"/>
      <c r="AU110" s="436"/>
      <c r="AV110" s="410"/>
      <c r="AW110" s="436"/>
      <c r="AX110" s="410"/>
      <c r="AY110" s="436"/>
      <c r="AZ110" s="410"/>
      <c r="BA110" s="436"/>
      <c r="BB110" s="410"/>
      <c r="BC110" s="436"/>
      <c r="BD110" s="410"/>
      <c r="BE110" s="436"/>
      <c r="BF110" s="410"/>
      <c r="BG110" s="436"/>
      <c r="BH110" s="410"/>
      <c r="BI110" s="436"/>
      <c r="BJ110" s="410"/>
      <c r="BK110" s="436"/>
      <c r="BL110" s="410"/>
      <c r="BM110" s="436"/>
      <c r="BN110" s="410"/>
      <c r="BO110" s="436"/>
      <c r="BP110" s="410"/>
      <c r="BQ110" s="436"/>
      <c r="BR110" s="410"/>
      <c r="BS110" s="436"/>
      <c r="BT110" s="410"/>
      <c r="BU110" s="436"/>
      <c r="BV110" s="410"/>
      <c r="BW110" s="436"/>
      <c r="BX110" s="410"/>
      <c r="BY110" s="436"/>
      <c r="BZ110" s="410"/>
      <c r="CA110" s="436"/>
      <c r="CB110" s="410"/>
      <c r="CC110" s="436"/>
      <c r="CD110" s="410"/>
      <c r="CE110" s="436"/>
      <c r="CF110" s="410"/>
      <c r="CG110" s="436"/>
      <c r="CH110" s="410"/>
      <c r="CI110" s="436"/>
      <c r="CJ110" s="436"/>
      <c r="CK110" s="436"/>
      <c r="CL110" s="436"/>
      <c r="CM110" s="436"/>
      <c r="CN110" s="436"/>
      <c r="CO110" s="436"/>
      <c r="CP110" s="436"/>
      <c r="CQ110" s="436"/>
      <c r="CR110" s="436"/>
      <c r="CS110" s="436"/>
      <c r="CT110" s="436"/>
      <c r="CU110" s="436"/>
      <c r="CV110" s="198"/>
      <c r="CW110" s="436"/>
      <c r="CX110" s="436"/>
      <c r="CY110" s="436"/>
      <c r="CZ110" s="436"/>
      <c r="DA110" s="436"/>
      <c r="DB110" s="436"/>
      <c r="DC110" s="436"/>
      <c r="DD110" s="436"/>
      <c r="DE110" s="436"/>
      <c r="DF110" s="580"/>
      <c r="DG110" s="436"/>
      <c r="DH110" s="436"/>
      <c r="DI110" s="580"/>
      <c r="DJ110" s="436"/>
      <c r="DK110" s="436"/>
      <c r="DL110" s="580"/>
      <c r="DM110" s="436"/>
      <c r="DN110" s="436"/>
      <c r="DO110" s="580"/>
      <c r="DP110" s="580"/>
      <c r="DQ110" s="580"/>
      <c r="DR110" s="580"/>
      <c r="DS110" s="580"/>
      <c r="DT110" s="580"/>
      <c r="DU110" s="580"/>
      <c r="DV110" s="580"/>
      <c r="DW110" s="580"/>
      <c r="DX110" s="580"/>
      <c r="DY110" s="580"/>
      <c r="DZ110" s="580"/>
      <c r="EA110" s="580"/>
      <c r="EB110" s="580"/>
      <c r="EC110" s="580"/>
      <c r="ED110" s="580"/>
      <c r="EE110" s="580"/>
      <c r="EF110" s="580"/>
      <c r="EG110" s="436"/>
      <c r="EH110" s="436"/>
      <c r="EI110" s="436"/>
      <c r="EJ110" s="436"/>
      <c r="EK110" s="436"/>
      <c r="EL110" s="436"/>
      <c r="EM110" s="436"/>
      <c r="EN110" s="436"/>
      <c r="EO110" s="436"/>
      <c r="EP110" s="580"/>
      <c r="EQ110" s="436"/>
      <c r="ER110" s="436"/>
      <c r="ES110" s="580"/>
      <c r="ET110" s="436"/>
      <c r="EU110" s="436"/>
      <c r="EV110" s="580"/>
      <c r="EW110" s="436"/>
      <c r="EX110" s="436"/>
      <c r="EY110" s="580"/>
      <c r="EZ110" s="580"/>
      <c r="FA110" s="580"/>
      <c r="FB110" s="580"/>
      <c r="FC110" s="580"/>
      <c r="FD110" s="580"/>
      <c r="FE110" s="580"/>
      <c r="FF110" s="580"/>
      <c r="FG110" s="580"/>
      <c r="FH110" s="580"/>
      <c r="FI110" s="580"/>
      <c r="FJ110" s="580"/>
      <c r="FK110" s="580"/>
      <c r="FL110" s="580"/>
      <c r="FM110" s="580"/>
      <c r="FN110" s="580"/>
      <c r="FO110" s="580"/>
      <c r="FP110" s="580"/>
      <c r="FQ110" s="948"/>
      <c r="FR110" s="580"/>
      <c r="FS110" s="580"/>
      <c r="FT110" s="948">
        <f>SUM(FT90:FT109)</f>
        <v>0</v>
      </c>
      <c r="FU110" s="580"/>
      <c r="FV110" s="580"/>
      <c r="FW110" s="948">
        <f>SUM(FW90:FW109)</f>
        <v>0</v>
      </c>
      <c r="FX110" s="580"/>
      <c r="FY110" s="580"/>
      <c r="FZ110" s="948">
        <f>SUM(FZ90:FZ109)</f>
        <v>1814743675.039989</v>
      </c>
      <c r="GA110" s="580"/>
      <c r="GB110" s="580"/>
      <c r="GC110" s="948">
        <f>SUM(GC90:GC109)</f>
        <v>1880488738.0000019</v>
      </c>
      <c r="GD110" s="580"/>
      <c r="GE110" s="948">
        <v>1915410618.3799949</v>
      </c>
      <c r="GF110" s="580"/>
      <c r="GG110" s="948">
        <f>SUM(GG90:GG109)</f>
        <v>1959026394.7800007</v>
      </c>
      <c r="GH110" s="580"/>
      <c r="GI110" s="948">
        <f>SUM(GI90:GI109)</f>
        <v>2018160935.7063119</v>
      </c>
      <c r="GJ110" s="580"/>
      <c r="GK110" s="948">
        <f>SUM(GK90:GK109)</f>
        <v>2046376473.3099999</v>
      </c>
      <c r="GL110" s="580"/>
      <c r="GM110" s="948">
        <f>SUM(GM90:GM109)</f>
        <v>1987334403.0000002</v>
      </c>
      <c r="GN110" s="580"/>
      <c r="GO110" s="948">
        <f>SUM(GO90:GO109)</f>
        <v>1988690111.1499999</v>
      </c>
      <c r="GP110" s="580"/>
      <c r="GQ110" s="948">
        <f>SUM(GQ90:GQ109)</f>
        <v>1978768102.97</v>
      </c>
      <c r="GR110" s="580"/>
      <c r="GS110" s="580"/>
      <c r="GT110" s="948">
        <f>SUM(GT90:GT109)</f>
        <v>1917175822.2799993</v>
      </c>
      <c r="GU110" s="580"/>
      <c r="GV110" s="580"/>
      <c r="GW110" s="1053">
        <f>SUM(GW90:GW109)</f>
        <v>1816086436.0599997</v>
      </c>
      <c r="GX110" s="580"/>
      <c r="GY110" s="580"/>
      <c r="GZ110" s="948">
        <f>SUM(GZ90:GZ109)</f>
        <v>1807222176.29</v>
      </c>
      <c r="HA110" s="580"/>
      <c r="HB110" s="580"/>
      <c r="HC110" s="948">
        <f>SUM(HC90:HC109)</f>
        <v>1767592727.6100001</v>
      </c>
      <c r="HD110" s="580"/>
      <c r="HE110" s="580"/>
      <c r="HF110" s="948">
        <f>SUM(HF90:HF109)</f>
        <v>1771739499.6499999</v>
      </c>
      <c r="HG110" s="580"/>
      <c r="HH110" s="580"/>
      <c r="HI110" s="948">
        <f>SUM(HI90:HI109)</f>
        <v>1816293431.2057147</v>
      </c>
      <c r="HJ110" s="580"/>
      <c r="HK110" s="580"/>
      <c r="HL110" s="948">
        <f>SUM(HL90:HL109)</f>
        <v>1802684598.6200001</v>
      </c>
      <c r="HM110" s="580"/>
      <c r="HN110" s="580"/>
      <c r="HO110" s="948">
        <f>SUM(HO90:HO109)</f>
        <v>1708977548.0799997</v>
      </c>
      <c r="HP110" s="580"/>
      <c r="HQ110" s="580"/>
      <c r="HR110" s="948">
        <f>SUM(HR90:HR109)</f>
        <v>1708977548.0799997</v>
      </c>
      <c r="HS110" s="580"/>
      <c r="HT110" s="580"/>
      <c r="HU110" s="948">
        <f>SUM(HU90:HU109)</f>
        <v>1708977548.0799997</v>
      </c>
      <c r="HV110" s="580"/>
      <c r="HW110" s="580"/>
      <c r="HX110" s="580"/>
      <c r="HY110" s="580"/>
      <c r="HZ110" s="580"/>
      <c r="IA110" s="580"/>
      <c r="IB110" s="580"/>
    </row>
    <row r="111" spans="1:265" ht="14.25" customHeight="1">
      <c r="D111" s="267"/>
      <c r="E111" s="436"/>
      <c r="F111" s="946"/>
      <c r="G111" s="436"/>
      <c r="H111" s="410"/>
      <c r="I111" s="436"/>
      <c r="J111" s="410"/>
      <c r="K111" s="436"/>
      <c r="L111" s="410"/>
      <c r="M111" s="436"/>
      <c r="N111" s="410"/>
      <c r="O111" s="436"/>
      <c r="P111" s="410"/>
      <c r="Q111" s="436"/>
      <c r="R111" s="410"/>
      <c r="S111" s="436"/>
      <c r="T111" s="410"/>
      <c r="U111" s="436"/>
      <c r="V111" s="410"/>
      <c r="W111" s="436"/>
      <c r="X111" s="410"/>
      <c r="Y111" s="436"/>
      <c r="Z111" s="410"/>
      <c r="AA111" s="436"/>
      <c r="AB111" s="410"/>
      <c r="AC111" s="436"/>
      <c r="AD111" s="410"/>
      <c r="AE111" s="436"/>
      <c r="AF111" s="410"/>
      <c r="AG111" s="436"/>
      <c r="AH111" s="410"/>
      <c r="AI111" s="436"/>
      <c r="AJ111" s="410"/>
      <c r="AK111" s="436"/>
      <c r="AL111" s="410"/>
      <c r="AM111" s="436"/>
      <c r="AN111" s="410"/>
      <c r="AO111" s="436"/>
      <c r="AP111" s="410"/>
      <c r="AQ111" s="436"/>
      <c r="AR111" s="410"/>
      <c r="AS111" s="436"/>
      <c r="AT111" s="410"/>
      <c r="AU111" s="436"/>
      <c r="AV111" s="410"/>
      <c r="AW111" s="436"/>
      <c r="AX111" s="410"/>
      <c r="AY111" s="436"/>
      <c r="AZ111" s="410"/>
      <c r="BA111" s="436"/>
      <c r="BB111" s="410"/>
      <c r="BC111" s="436"/>
      <c r="BD111" s="410"/>
      <c r="BE111" s="436"/>
      <c r="BF111" s="410"/>
      <c r="BG111" s="436"/>
      <c r="BH111" s="410"/>
      <c r="BI111" s="436"/>
      <c r="BJ111" s="410"/>
      <c r="BK111" s="436"/>
      <c r="BL111" s="410"/>
      <c r="BM111" s="436"/>
      <c r="BN111" s="410"/>
      <c r="BO111" s="436"/>
      <c r="BP111" s="410"/>
      <c r="BQ111" s="436"/>
      <c r="BR111" s="410"/>
      <c r="BS111" s="436"/>
      <c r="BT111" s="410"/>
      <c r="BU111" s="436"/>
      <c r="BV111" s="410"/>
      <c r="BW111" s="436"/>
      <c r="BX111" s="410"/>
      <c r="BY111" s="436"/>
      <c r="BZ111" s="410"/>
      <c r="CA111" s="436"/>
      <c r="CB111" s="410"/>
      <c r="CC111" s="436"/>
      <c r="CD111" s="410"/>
      <c r="CE111" s="436"/>
      <c r="CF111" s="410"/>
      <c r="CG111" s="436"/>
      <c r="CH111" s="410"/>
      <c r="CI111" s="436"/>
      <c r="CJ111" s="436"/>
      <c r="CK111" s="436"/>
      <c r="CL111" s="436"/>
      <c r="CM111" s="436"/>
      <c r="CN111" s="436"/>
      <c r="CO111" s="436"/>
      <c r="CP111" s="436"/>
      <c r="CQ111" s="436"/>
      <c r="CR111" s="436"/>
      <c r="CS111" s="436"/>
      <c r="CT111" s="436"/>
      <c r="CU111" s="436"/>
      <c r="CV111" s="198"/>
      <c r="CW111" s="436"/>
      <c r="CX111" s="436"/>
      <c r="CY111" s="436"/>
      <c r="CZ111" s="436"/>
      <c r="DA111" s="436"/>
      <c r="DB111" s="436"/>
      <c r="DC111" s="436"/>
      <c r="DD111" s="436"/>
      <c r="DE111" s="436"/>
      <c r="DF111" s="580"/>
      <c r="DG111" s="436"/>
      <c r="DH111" s="436"/>
      <c r="DI111" s="580"/>
      <c r="DJ111" s="436"/>
      <c r="DK111" s="436"/>
      <c r="DL111" s="580"/>
      <c r="DM111" s="436"/>
      <c r="DN111" s="436"/>
      <c r="DO111" s="580"/>
      <c r="DP111" s="580"/>
      <c r="DQ111" s="580"/>
      <c r="DR111" s="580"/>
      <c r="DS111" s="580"/>
      <c r="DT111" s="580"/>
      <c r="DU111" s="580"/>
      <c r="DV111" s="580"/>
      <c r="DW111" s="580"/>
      <c r="DX111" s="580"/>
      <c r="DY111" s="580"/>
      <c r="DZ111" s="580"/>
      <c r="EA111" s="580"/>
      <c r="EB111" s="580"/>
      <c r="EC111" s="580"/>
      <c r="ED111" s="580"/>
      <c r="EE111" s="580"/>
      <c r="EF111" s="580"/>
      <c r="EG111" s="436"/>
      <c r="EH111" s="436"/>
      <c r="EI111" s="436"/>
      <c r="EJ111" s="436"/>
      <c r="EK111" s="436"/>
      <c r="EL111" s="436"/>
      <c r="EM111" s="436"/>
      <c r="EN111" s="436"/>
      <c r="EO111" s="436"/>
      <c r="EP111" s="580"/>
      <c r="EQ111" s="436"/>
      <c r="ER111" s="436"/>
      <c r="ES111" s="580"/>
      <c r="ET111" s="436"/>
      <c r="EU111" s="436"/>
      <c r="EV111" s="580"/>
      <c r="EW111" s="436"/>
      <c r="EX111" s="436"/>
      <c r="EY111" s="580"/>
      <c r="EZ111" s="580"/>
      <c r="FA111" s="580"/>
      <c r="FB111" s="580"/>
      <c r="FC111" s="580"/>
      <c r="FD111" s="580"/>
      <c r="FE111" s="580"/>
      <c r="FF111" s="580"/>
      <c r="FG111" s="580"/>
      <c r="FH111" s="580"/>
      <c r="FI111" s="580"/>
      <c r="FJ111" s="580"/>
      <c r="FK111" s="580"/>
      <c r="FL111" s="580"/>
      <c r="FM111" s="580"/>
      <c r="FN111" s="580"/>
      <c r="FO111" s="580"/>
      <c r="FP111" s="580"/>
      <c r="FQ111" s="580"/>
      <c r="FR111" s="580"/>
      <c r="FS111" s="580"/>
      <c r="FT111" s="580"/>
      <c r="FU111" s="580"/>
      <c r="FV111" s="580"/>
      <c r="FW111" s="580"/>
      <c r="FX111" s="580"/>
      <c r="FY111" s="580"/>
      <c r="FZ111" s="580"/>
      <c r="GA111" s="580"/>
      <c r="GB111" s="580"/>
      <c r="GC111" s="580"/>
      <c r="GD111" s="580"/>
      <c r="GE111" s="580"/>
      <c r="GF111" s="580"/>
      <c r="GG111" s="580"/>
      <c r="GH111" s="580"/>
      <c r="GI111" s="580"/>
      <c r="GJ111" s="580"/>
      <c r="GK111" s="580"/>
      <c r="GL111" s="580"/>
      <c r="GM111" s="580"/>
      <c r="GN111" s="580"/>
      <c r="GO111" s="580"/>
      <c r="GP111" s="580"/>
      <c r="GQ111" s="580"/>
      <c r="GR111" s="580"/>
      <c r="GS111" s="580"/>
      <c r="GT111" s="1035">
        <f>+GT37-GT110</f>
        <v>0</v>
      </c>
      <c r="GU111" s="580"/>
      <c r="GV111" s="580"/>
      <c r="GW111" s="1054">
        <f>+GW37-GW110</f>
        <v>0</v>
      </c>
      <c r="GX111" s="580"/>
      <c r="GY111" s="580"/>
      <c r="GZ111" s="1035">
        <f>+GZ37-GZ110</f>
        <v>0</v>
      </c>
      <c r="HA111" s="580"/>
      <c r="HB111" s="580"/>
      <c r="HC111" s="1035">
        <f>+HC37-HC110</f>
        <v>0</v>
      </c>
      <c r="HD111" s="580"/>
      <c r="HE111" s="580"/>
      <c r="HF111" s="1035">
        <f>+HF37-HF110</f>
        <v>0</v>
      </c>
      <c r="HG111" s="580"/>
      <c r="HH111" s="580"/>
      <c r="HI111" s="1035">
        <f>+HI37-HI110</f>
        <v>0</v>
      </c>
      <c r="HJ111" s="580"/>
      <c r="HK111" s="580"/>
      <c r="HL111" s="1035">
        <f>+HL37-HL110</f>
        <v>0</v>
      </c>
      <c r="HM111" s="580"/>
      <c r="HN111" s="580"/>
      <c r="HO111" s="1035">
        <f>+HO37-HO110</f>
        <v>57332213.683211565</v>
      </c>
      <c r="HP111" s="580"/>
      <c r="HQ111" s="580"/>
      <c r="HR111" s="1035">
        <f>+HR37-HR110</f>
        <v>55769509.509029388</v>
      </c>
      <c r="HS111" s="580"/>
      <c r="HT111" s="580"/>
      <c r="HU111" s="1035">
        <f>+HU37-HU110</f>
        <v>36475690.475890636</v>
      </c>
      <c r="HV111" s="580"/>
      <c r="HW111" s="580"/>
      <c r="HX111" s="580"/>
      <c r="HY111" s="580"/>
      <c r="HZ111" s="580"/>
      <c r="IA111" s="580"/>
      <c r="IB111" s="580"/>
    </row>
    <row r="112" spans="1:265" ht="14.25" customHeight="1">
      <c r="A112" s="1011" t="s">
        <v>471</v>
      </c>
      <c r="B112" s="1011"/>
      <c r="C112" s="230"/>
      <c r="D112" s="286"/>
      <c r="E112" s="234"/>
      <c r="F112" s="287"/>
      <c r="G112" s="234"/>
      <c r="H112" s="287"/>
      <c r="I112" s="233"/>
      <c r="J112" s="287"/>
      <c r="K112" s="233"/>
      <c r="L112" s="287"/>
      <c r="M112" s="233"/>
      <c r="N112" s="287"/>
      <c r="O112" s="233"/>
      <c r="P112" s="287"/>
      <c r="Q112" s="233"/>
      <c r="R112" s="287"/>
      <c r="S112" s="233"/>
      <c r="T112" s="287"/>
      <c r="U112" s="233"/>
      <c r="V112" s="287"/>
      <c r="W112" s="233"/>
      <c r="X112" s="287"/>
      <c r="Y112" s="233"/>
      <c r="Z112" s="287"/>
      <c r="AA112" s="233"/>
      <c r="AB112" s="287"/>
      <c r="AC112" s="233"/>
      <c r="AD112" s="287"/>
      <c r="AE112" s="233"/>
      <c r="AF112" s="287"/>
      <c r="AG112" s="233"/>
      <c r="AH112" s="287"/>
      <c r="AI112" s="233"/>
      <c r="AJ112" s="287"/>
      <c r="AK112" s="233"/>
      <c r="AL112" s="287"/>
      <c r="AM112" s="233"/>
      <c r="AN112" s="287"/>
      <c r="AO112" s="233"/>
      <c r="AP112" s="287"/>
      <c r="AQ112" s="233"/>
      <c r="AR112" s="287"/>
      <c r="AS112" s="233"/>
      <c r="AT112" s="287"/>
      <c r="AU112" s="233"/>
      <c r="AV112" s="287"/>
      <c r="AW112" s="233"/>
      <c r="AX112" s="287"/>
      <c r="AY112" s="233"/>
      <c r="AZ112" s="287"/>
      <c r="BA112" s="233"/>
      <c r="BB112" s="287"/>
      <c r="BC112" s="233"/>
      <c r="BD112" s="287"/>
      <c r="BE112" s="233"/>
      <c r="BF112" s="287"/>
      <c r="BG112" s="234"/>
      <c r="BH112" s="287"/>
      <c r="BI112" s="234"/>
      <c r="BJ112" s="287"/>
      <c r="BK112" s="234"/>
      <c r="BL112" s="287"/>
      <c r="BM112" s="234"/>
      <c r="BN112" s="287"/>
      <c r="BO112" s="234"/>
      <c r="BP112" s="287"/>
      <c r="BQ112" s="234"/>
      <c r="BR112" s="287"/>
      <c r="BS112" s="234"/>
      <c r="BT112" s="287"/>
      <c r="BU112" s="234"/>
      <c r="BV112" s="287"/>
      <c r="BW112" s="234"/>
      <c r="BX112" s="287"/>
      <c r="BY112" s="234"/>
      <c r="BZ112" s="287"/>
      <c r="CA112" s="234"/>
      <c r="CB112" s="287"/>
      <c r="CC112" s="234"/>
      <c r="CD112" s="287"/>
      <c r="CE112" s="234"/>
      <c r="CF112" s="287"/>
      <c r="CG112" s="234"/>
      <c r="CH112" s="287"/>
      <c r="CI112" s="234"/>
      <c r="CJ112" s="234"/>
      <c r="CK112" s="234"/>
      <c r="CL112" s="234"/>
      <c r="CM112" s="234"/>
      <c r="CN112" s="234"/>
      <c r="CO112" s="234"/>
      <c r="CP112" s="234"/>
      <c r="CQ112" s="234"/>
      <c r="CR112" s="234"/>
      <c r="CS112" s="234"/>
      <c r="CT112" s="234"/>
      <c r="CU112" s="234"/>
      <c r="CV112" s="198"/>
      <c r="CW112" s="234"/>
      <c r="CX112" s="234"/>
      <c r="CY112" s="436"/>
      <c r="CZ112" s="234"/>
      <c r="DA112" s="234"/>
      <c r="DB112" s="436"/>
      <c r="DC112" s="234"/>
      <c r="DD112" s="234"/>
      <c r="DE112" s="436"/>
      <c r="DF112" s="425"/>
      <c r="DG112" s="234"/>
      <c r="DH112" s="436"/>
      <c r="DI112" s="425"/>
      <c r="DJ112" s="234"/>
      <c r="DK112" s="436"/>
      <c r="DL112" s="425"/>
      <c r="DM112" s="234"/>
      <c r="DN112" s="436"/>
      <c r="DO112" s="425"/>
      <c r="DP112" s="425"/>
      <c r="DQ112" s="580"/>
      <c r="DR112" s="425"/>
      <c r="DS112" s="425"/>
      <c r="DT112" s="580"/>
      <c r="DU112" s="425"/>
      <c r="DV112" s="425"/>
      <c r="DW112" s="580"/>
      <c r="DX112" s="580"/>
      <c r="DY112" s="580"/>
      <c r="DZ112" s="580"/>
      <c r="EA112" s="580"/>
      <c r="EB112" s="580"/>
      <c r="EC112" s="580"/>
      <c r="ED112" s="580"/>
      <c r="EE112" s="580"/>
      <c r="EF112" s="580"/>
      <c r="EG112" s="234"/>
      <c r="EH112" s="234"/>
      <c r="EI112" s="436"/>
      <c r="EJ112" s="234"/>
      <c r="EK112" s="234"/>
      <c r="EL112" s="436"/>
      <c r="EM112" s="234"/>
      <c r="EN112" s="234"/>
      <c r="EO112" s="436"/>
      <c r="EP112" s="425"/>
      <c r="EQ112" s="234"/>
      <c r="ER112" s="436"/>
      <c r="ES112" s="425"/>
      <c r="ET112" s="234"/>
      <c r="EU112" s="436"/>
      <c r="EV112" s="425"/>
      <c r="EW112" s="234"/>
      <c r="EX112" s="436"/>
      <c r="EY112" s="425"/>
      <c r="EZ112" s="425"/>
      <c r="FA112" s="580"/>
      <c r="FB112" s="425"/>
      <c r="FC112" s="425"/>
      <c r="FD112" s="580"/>
      <c r="FE112" s="425"/>
      <c r="FF112" s="425"/>
      <c r="FG112" s="580"/>
      <c r="FH112" s="580"/>
      <c r="FI112" s="580"/>
      <c r="FJ112" s="580"/>
      <c r="FK112" s="580"/>
      <c r="FL112" s="580"/>
      <c r="FM112" s="580"/>
      <c r="FN112" s="580"/>
      <c r="FO112" s="580"/>
      <c r="FP112" s="580"/>
      <c r="FQ112" s="580"/>
      <c r="FR112" s="580"/>
      <c r="FS112" s="580"/>
      <c r="FT112" s="580"/>
      <c r="FU112" s="580"/>
      <c r="FV112" s="580"/>
      <c r="FW112" s="580"/>
      <c r="FX112" s="580"/>
      <c r="FY112" s="580"/>
      <c r="FZ112" s="580"/>
      <c r="GA112" s="580"/>
      <c r="GB112" s="580"/>
      <c r="GC112" s="580"/>
      <c r="GD112" s="580"/>
      <c r="GE112" s="580"/>
      <c r="GF112" s="580"/>
      <c r="GG112" s="580"/>
      <c r="GH112" s="580"/>
      <c r="GI112" s="580"/>
      <c r="GJ112" s="580"/>
      <c r="GK112" s="580"/>
      <c r="GL112" s="580"/>
      <c r="GM112" s="580"/>
      <c r="GN112" s="580"/>
      <c r="GO112" s="580"/>
      <c r="GP112" s="580"/>
      <c r="GQ112" s="580"/>
      <c r="GR112" s="580"/>
      <c r="GS112" s="580"/>
      <c r="GT112" s="580"/>
      <c r="GU112" s="580"/>
      <c r="GV112" s="580"/>
      <c r="GW112" s="1036"/>
      <c r="GX112" s="580"/>
      <c r="GY112" s="580"/>
      <c r="GZ112" s="1036"/>
      <c r="HA112" s="580"/>
      <c r="HB112" s="580"/>
      <c r="HC112" s="1036"/>
      <c r="HD112" s="580"/>
      <c r="HE112" s="580"/>
      <c r="HF112" s="1036"/>
      <c r="HG112" s="580"/>
      <c r="HH112" s="580"/>
      <c r="HI112" s="1036"/>
      <c r="HJ112" s="580"/>
      <c r="HK112" s="580"/>
      <c r="HL112" s="1036"/>
      <c r="HM112" s="580"/>
      <c r="HN112" s="580"/>
      <c r="HO112" s="580"/>
      <c r="HP112" s="580"/>
      <c r="HQ112" s="580"/>
      <c r="HR112" s="580"/>
      <c r="HS112" s="580"/>
      <c r="HT112" s="580"/>
      <c r="HU112" s="580"/>
      <c r="HV112" s="580"/>
      <c r="HW112" s="580"/>
      <c r="HX112" s="580"/>
      <c r="HY112" s="580"/>
      <c r="HZ112" s="580"/>
      <c r="IA112" s="580"/>
      <c r="IB112" s="580"/>
    </row>
    <row r="113" spans="2:257" ht="14.25" customHeight="1">
      <c r="B113" s="1011" t="s">
        <v>472</v>
      </c>
      <c r="C113" s="230"/>
      <c r="D113" s="286"/>
      <c r="E113" s="234"/>
      <c r="F113" s="287"/>
      <c r="G113" s="234"/>
      <c r="H113" s="287"/>
      <c r="I113" s="233"/>
      <c r="J113" s="287"/>
      <c r="K113" s="233"/>
      <c r="L113" s="287"/>
      <c r="M113" s="233"/>
      <c r="N113" s="287"/>
      <c r="O113" s="233"/>
      <c r="P113" s="287"/>
      <c r="Q113" s="233"/>
      <c r="R113" s="287"/>
      <c r="S113" s="233"/>
      <c r="T113" s="287"/>
      <c r="U113" s="233"/>
      <c r="V113" s="287"/>
      <c r="W113" s="233"/>
      <c r="X113" s="287"/>
      <c r="Y113" s="233"/>
      <c r="Z113" s="287"/>
      <c r="AA113" s="233"/>
      <c r="AB113" s="287"/>
      <c r="AC113" s="233"/>
      <c r="AD113" s="287"/>
      <c r="AE113" s="233"/>
      <c r="AF113" s="287"/>
      <c r="AG113" s="233"/>
      <c r="AH113" s="287"/>
      <c r="AI113" s="233"/>
      <c r="AJ113" s="287"/>
      <c r="AK113" s="233"/>
      <c r="AL113" s="287"/>
      <c r="AM113" s="233"/>
      <c r="AN113" s="287"/>
      <c r="AO113" s="233"/>
      <c r="AP113" s="287"/>
      <c r="AQ113" s="233"/>
      <c r="AR113" s="287"/>
      <c r="AS113" s="233"/>
      <c r="AT113" s="287"/>
      <c r="AU113" s="233"/>
      <c r="AV113" s="287"/>
      <c r="AW113" s="233"/>
      <c r="AX113" s="287"/>
      <c r="AY113" s="233"/>
      <c r="AZ113" s="287"/>
      <c r="BA113" s="233"/>
      <c r="BB113" s="287"/>
      <c r="BC113" s="233"/>
      <c r="BD113" s="287"/>
      <c r="BE113" s="233"/>
      <c r="BF113" s="287"/>
      <c r="BG113" s="234"/>
      <c r="BH113" s="287"/>
      <c r="BI113" s="234"/>
      <c r="BJ113" s="287"/>
      <c r="BK113" s="234"/>
      <c r="BL113" s="287"/>
      <c r="BM113" s="234"/>
      <c r="BN113" s="287"/>
      <c r="BO113" s="234"/>
      <c r="BP113" s="287"/>
      <c r="BQ113" s="234"/>
      <c r="BR113" s="287"/>
      <c r="BS113" s="234"/>
      <c r="BT113" s="287"/>
      <c r="BU113" s="234"/>
      <c r="BV113" s="287"/>
      <c r="BW113" s="234"/>
      <c r="BX113" s="287"/>
      <c r="BY113" s="234"/>
      <c r="BZ113" s="287"/>
      <c r="CA113" s="234"/>
      <c r="CB113" s="287"/>
      <c r="CC113" s="234"/>
      <c r="CD113" s="287"/>
      <c r="CE113" s="234"/>
      <c r="CF113" s="287"/>
      <c r="CG113" s="234"/>
      <c r="CH113" s="287"/>
      <c r="CI113" s="234"/>
      <c r="CJ113" s="234"/>
      <c r="CK113" s="234"/>
      <c r="CL113" s="234"/>
      <c r="CM113" s="234"/>
      <c r="CN113" s="234"/>
      <c r="CO113" s="234"/>
      <c r="CP113" s="234"/>
      <c r="CQ113" s="234"/>
      <c r="CR113" s="234"/>
      <c r="CS113" s="234"/>
      <c r="CT113" s="234"/>
      <c r="CU113" s="234"/>
      <c r="CV113" s="198"/>
      <c r="CW113" s="234"/>
      <c r="CX113" s="234"/>
      <c r="CY113" s="436"/>
      <c r="CZ113" s="234"/>
      <c r="DA113" s="234"/>
      <c r="DB113" s="436"/>
      <c r="DC113" s="234"/>
      <c r="DD113" s="234"/>
      <c r="DE113" s="436"/>
      <c r="DF113" s="425"/>
      <c r="DG113" s="234"/>
      <c r="DH113" s="436"/>
      <c r="DI113" s="425"/>
      <c r="DJ113" s="234"/>
      <c r="DK113" s="436"/>
      <c r="DL113" s="425"/>
      <c r="DM113" s="234"/>
      <c r="DN113" s="436"/>
      <c r="DO113" s="425"/>
      <c r="DP113" s="425"/>
      <c r="DQ113" s="580"/>
      <c r="DR113" s="425"/>
      <c r="DS113" s="425"/>
      <c r="DT113" s="580"/>
      <c r="DU113" s="425"/>
      <c r="DV113" s="425"/>
      <c r="DW113" s="580"/>
      <c r="DX113" s="580"/>
      <c r="DY113" s="580"/>
      <c r="DZ113" s="580"/>
      <c r="EA113" s="580"/>
      <c r="EB113" s="580"/>
      <c r="EC113" s="580"/>
      <c r="ED113" s="580"/>
      <c r="EE113" s="580"/>
      <c r="EF113" s="580"/>
      <c r="EG113" s="234"/>
      <c r="EH113" s="234"/>
      <c r="EI113" s="436"/>
      <c r="EJ113" s="234"/>
      <c r="EK113" s="234"/>
      <c r="EL113" s="436"/>
      <c r="EM113" s="234"/>
      <c r="EN113" s="234"/>
      <c r="EO113" s="436"/>
      <c r="EP113" s="425"/>
      <c r="EQ113" s="234"/>
      <c r="ER113" s="436"/>
      <c r="ES113" s="425"/>
      <c r="ET113" s="234"/>
      <c r="EU113" s="436"/>
      <c r="EV113" s="425"/>
      <c r="EW113" s="234"/>
      <c r="EX113" s="436"/>
      <c r="EY113" s="425"/>
      <c r="EZ113" s="425"/>
      <c r="FA113" s="580"/>
      <c r="FB113" s="425"/>
      <c r="FC113" s="425"/>
      <c r="FD113" s="580"/>
      <c r="FE113" s="425"/>
      <c r="FF113" s="425"/>
      <c r="FG113" s="580"/>
      <c r="FH113" s="580"/>
      <c r="FI113" s="580"/>
      <c r="FJ113" s="580"/>
      <c r="FK113" s="580"/>
      <c r="FL113" s="580"/>
      <c r="FM113" s="580"/>
      <c r="FN113" s="580"/>
      <c r="FO113" s="580"/>
      <c r="FP113" s="580"/>
      <c r="FQ113" s="580"/>
      <c r="FR113" s="580"/>
      <c r="FS113" s="580"/>
      <c r="FT113" s="580"/>
      <c r="FU113" s="580"/>
      <c r="FV113" s="580"/>
      <c r="FW113" s="580"/>
      <c r="FX113" s="580"/>
      <c r="FY113" s="580"/>
      <c r="FZ113" s="580"/>
      <c r="GA113" s="580"/>
      <c r="GB113" s="580"/>
      <c r="GC113" s="580"/>
      <c r="GD113" s="580"/>
      <c r="GE113" s="580"/>
      <c r="GF113" s="580"/>
      <c r="GG113" s="580"/>
      <c r="GH113" s="580"/>
      <c r="GI113" s="580"/>
      <c r="GJ113" s="580"/>
      <c r="GK113" s="580"/>
      <c r="GL113" s="580"/>
      <c r="GM113" s="580"/>
      <c r="GN113" s="580"/>
      <c r="GO113" s="580"/>
      <c r="GP113" s="580"/>
      <c r="GQ113" s="580"/>
      <c r="GR113" s="580"/>
      <c r="GS113" s="580"/>
      <c r="GT113" s="580"/>
      <c r="GU113" s="580"/>
      <c r="GV113" s="580"/>
      <c r="GW113" s="1036"/>
      <c r="GX113" s="580"/>
      <c r="GY113" s="580"/>
      <c r="GZ113" s="1036"/>
      <c r="HA113" s="580"/>
      <c r="HB113" s="580"/>
      <c r="HC113" s="1036"/>
      <c r="HD113" s="580"/>
      <c r="HE113" s="580"/>
      <c r="HF113" s="1036"/>
      <c r="HG113" s="580"/>
      <c r="HH113" s="580"/>
      <c r="HI113" s="1036"/>
      <c r="HJ113" s="580"/>
      <c r="HK113" s="580"/>
      <c r="HL113" s="1036"/>
      <c r="HM113" s="580"/>
      <c r="HN113" s="580"/>
      <c r="HO113" s="580"/>
      <c r="HP113" s="580"/>
      <c r="HQ113" s="580"/>
      <c r="HR113" s="580"/>
      <c r="HS113" s="580"/>
      <c r="HT113" s="580"/>
      <c r="HU113" s="580"/>
      <c r="HV113" s="580"/>
      <c r="HW113" s="580"/>
      <c r="HX113" s="580"/>
      <c r="HY113" s="580"/>
      <c r="HZ113" s="580"/>
      <c r="IA113" s="580"/>
      <c r="IB113" s="580"/>
    </row>
    <row r="114" spans="2:257" ht="14.25" customHeight="1">
      <c r="B114" s="242" t="s">
        <v>867</v>
      </c>
      <c r="C114" s="230"/>
      <c r="D114" s="289"/>
      <c r="E114" s="234"/>
      <c r="F114" s="289"/>
      <c r="G114" s="234"/>
      <c r="H114" s="289"/>
      <c r="I114" s="233"/>
      <c r="J114" s="289"/>
      <c r="K114" s="233"/>
      <c r="L114" s="289"/>
      <c r="M114" s="233"/>
      <c r="N114" s="289"/>
      <c r="O114" s="233"/>
      <c r="P114" s="289"/>
      <c r="Q114" s="233"/>
      <c r="R114" s="289"/>
      <c r="S114" s="233"/>
      <c r="T114" s="289"/>
      <c r="U114" s="233"/>
      <c r="V114" s="289"/>
      <c r="W114" s="233"/>
      <c r="X114" s="289"/>
      <c r="Y114" s="233"/>
      <c r="Z114" s="289"/>
      <c r="AA114" s="233"/>
      <c r="AB114" s="289"/>
      <c r="AC114" s="233"/>
      <c r="AD114" s="289"/>
      <c r="AE114" s="233"/>
      <c r="AF114" s="289"/>
      <c r="AG114" s="233"/>
      <c r="AH114" s="289"/>
      <c r="AI114" s="233"/>
      <c r="AJ114" s="289"/>
      <c r="AK114" s="233"/>
      <c r="AL114" s="289"/>
      <c r="AM114" s="233"/>
      <c r="AN114" s="289"/>
      <c r="AO114" s="233"/>
      <c r="AP114" s="289"/>
      <c r="AQ114" s="233"/>
      <c r="AR114" s="289"/>
      <c r="AS114" s="233"/>
      <c r="AT114" s="289"/>
      <c r="AU114" s="233"/>
      <c r="AV114" s="289"/>
      <c r="AW114" s="233"/>
      <c r="AX114" s="289"/>
      <c r="AY114" s="233"/>
      <c r="AZ114" s="289"/>
      <c r="BA114" s="233"/>
      <c r="BB114" s="289" t="e">
        <f>+#REF!</f>
        <v>#REF!</v>
      </c>
      <c r="BC114" s="233"/>
      <c r="BD114" s="289" t="e">
        <f>#REF!</f>
        <v>#REF!</v>
      </c>
      <c r="BE114" s="233"/>
      <c r="BF114" s="290" t="e">
        <f>#REF!</f>
        <v>#REF!</v>
      </c>
      <c r="BG114" s="234"/>
      <c r="BH114" s="290">
        <v>52629</v>
      </c>
      <c r="BI114" s="234"/>
      <c r="BJ114" s="290">
        <v>1532225</v>
      </c>
      <c r="BK114" s="234"/>
      <c r="BL114" s="290">
        <v>2228334.2199999997</v>
      </c>
      <c r="BM114" s="234"/>
      <c r="BN114" s="290">
        <v>956870.79</v>
      </c>
      <c r="BO114" s="234"/>
      <c r="BP114" s="290">
        <v>2340700.92</v>
      </c>
      <c r="BQ114" s="234"/>
      <c r="BR114" s="290">
        <v>413664.99</v>
      </c>
      <c r="BS114" s="234"/>
      <c r="BT114" s="290">
        <v>1979958.8900000001</v>
      </c>
      <c r="BU114" s="234"/>
      <c r="BV114" s="290">
        <v>332021</v>
      </c>
      <c r="BW114" s="234"/>
      <c r="BX114" s="290">
        <v>1918735</v>
      </c>
      <c r="BY114" s="234"/>
      <c r="BZ114" s="290">
        <v>2178397.89</v>
      </c>
      <c r="CA114" s="234"/>
      <c r="CB114" s="290">
        <v>1051399.1000000001</v>
      </c>
      <c r="CC114" s="234"/>
      <c r="CD114" s="290"/>
      <c r="CE114" s="234"/>
      <c r="CF114" s="290">
        <v>1260000</v>
      </c>
      <c r="CG114" s="234"/>
      <c r="CH114" s="289">
        <v>1550000</v>
      </c>
      <c r="CI114" s="234"/>
      <c r="CJ114" s="234"/>
      <c r="CK114" s="289">
        <v>2150000</v>
      </c>
      <c r="CL114" s="234"/>
      <c r="CM114" s="234"/>
      <c r="CN114" s="289">
        <v>1049573</v>
      </c>
      <c r="CO114" s="234"/>
      <c r="CP114" s="234"/>
      <c r="CQ114" s="289">
        <v>411000</v>
      </c>
      <c r="CR114" s="234"/>
      <c r="CS114" s="234"/>
      <c r="CT114" s="289">
        <v>1041766.64</v>
      </c>
      <c r="CU114" s="234"/>
      <c r="CV114" s="291"/>
      <c r="CW114" s="289">
        <v>1380000</v>
      </c>
      <c r="CX114" s="234"/>
      <c r="CY114" s="436"/>
      <c r="CZ114" s="289">
        <v>150000</v>
      </c>
      <c r="DA114" s="234"/>
      <c r="DB114" s="436"/>
      <c r="DC114" s="289">
        <v>210000</v>
      </c>
      <c r="DD114" s="234"/>
      <c r="DE114" s="436"/>
      <c r="DF114" s="289">
        <v>3030000</v>
      </c>
      <c r="DG114" s="234"/>
      <c r="DH114" s="436"/>
      <c r="DI114" s="289">
        <v>1720000</v>
      </c>
      <c r="DJ114" s="234"/>
      <c r="DK114" s="436"/>
      <c r="DL114" s="289">
        <v>5210000</v>
      </c>
      <c r="DM114" s="234"/>
      <c r="DN114" s="436"/>
      <c r="DO114" s="289">
        <v>716777.69000000006</v>
      </c>
      <c r="DP114" s="425"/>
      <c r="DQ114" s="580"/>
      <c r="DR114" s="289">
        <v>710000</v>
      </c>
      <c r="DS114" s="425"/>
      <c r="DT114" s="580"/>
      <c r="DU114" s="289">
        <v>125000</v>
      </c>
      <c r="DV114" s="425"/>
      <c r="DW114" s="580"/>
      <c r="DX114" s="289">
        <v>80000</v>
      </c>
      <c r="DY114" s="580"/>
      <c r="DZ114" s="580"/>
      <c r="EA114" s="289">
        <v>460000</v>
      </c>
      <c r="EB114" s="627"/>
      <c r="EC114" s="627"/>
      <c r="ED114" s="289">
        <v>200000</v>
      </c>
      <c r="EE114" s="627"/>
      <c r="EF114" s="627"/>
      <c r="EG114" s="289">
        <v>0</v>
      </c>
      <c r="EH114" s="234"/>
      <c r="EI114" s="436"/>
      <c r="EJ114" s="289">
        <v>57633.35</v>
      </c>
      <c r="EK114" s="234"/>
      <c r="EL114" s="436"/>
      <c r="EM114" s="289">
        <v>0</v>
      </c>
      <c r="EN114" s="234"/>
      <c r="EO114" s="436"/>
      <c r="EP114" s="289">
        <v>160000</v>
      </c>
      <c r="EQ114" s="234"/>
      <c r="ER114" s="436"/>
      <c r="ES114" s="289">
        <v>0</v>
      </c>
      <c r="ET114" s="234"/>
      <c r="EU114" s="436"/>
      <c r="EV114" s="813">
        <v>0</v>
      </c>
      <c r="EW114" s="234"/>
      <c r="EX114" s="436"/>
      <c r="EY114" s="289">
        <v>0</v>
      </c>
      <c r="EZ114" s="425"/>
      <c r="FA114" s="580"/>
      <c r="FB114" s="289">
        <v>0</v>
      </c>
      <c r="FC114" s="425"/>
      <c r="FD114" s="580"/>
      <c r="FE114" s="289">
        <v>0</v>
      </c>
      <c r="FF114" s="425"/>
      <c r="FG114" s="580"/>
      <c r="FH114" s="289">
        <v>0</v>
      </c>
      <c r="FI114" s="580"/>
      <c r="FJ114" s="580"/>
      <c r="FK114" s="289">
        <v>0</v>
      </c>
      <c r="FL114" s="627"/>
      <c r="FM114" s="627"/>
      <c r="FN114" s="289">
        <v>20000</v>
      </c>
      <c r="FO114" s="627"/>
      <c r="FP114" s="627"/>
      <c r="FQ114" s="289">
        <v>0</v>
      </c>
      <c r="FR114" s="627"/>
      <c r="FS114" s="627"/>
      <c r="FT114" s="289">
        <v>0</v>
      </c>
      <c r="FU114" s="627"/>
      <c r="FV114" s="627"/>
      <c r="FW114" s="289">
        <v>0</v>
      </c>
      <c r="FX114" s="627"/>
      <c r="FY114" s="627"/>
      <c r="FZ114" s="289">
        <v>0</v>
      </c>
      <c r="GA114" s="627"/>
      <c r="GB114" s="627"/>
      <c r="GC114" s="289">
        <v>0</v>
      </c>
      <c r="GD114" s="627"/>
      <c r="GE114" s="289">
        <v>0</v>
      </c>
      <c r="GF114" s="627"/>
      <c r="GG114" s="289">
        <v>0</v>
      </c>
      <c r="GH114" s="627"/>
      <c r="GI114" s="289">
        <v>0</v>
      </c>
      <c r="GJ114" s="627"/>
      <c r="GK114" s="289">
        <v>0</v>
      </c>
      <c r="GL114" s="627"/>
      <c r="GM114" s="289">
        <v>0</v>
      </c>
      <c r="GN114" s="627"/>
      <c r="GO114" s="289">
        <v>0</v>
      </c>
      <c r="GP114" s="627"/>
      <c r="GQ114" s="289">
        <v>0</v>
      </c>
      <c r="GR114" s="627"/>
      <c r="GS114" s="627"/>
      <c r="GT114" s="289">
        <v>100000</v>
      </c>
      <c r="GU114" s="627"/>
      <c r="GV114" s="627"/>
      <c r="GW114" s="813">
        <v>0</v>
      </c>
      <c r="GX114" s="627"/>
      <c r="GY114" s="627"/>
      <c r="GZ114" s="289">
        <v>0</v>
      </c>
      <c r="HA114" s="627"/>
      <c r="HB114" s="627"/>
      <c r="HC114" s="289">
        <v>0</v>
      </c>
      <c r="HD114" s="627"/>
      <c r="HE114" s="627"/>
      <c r="HF114" s="289">
        <v>45000</v>
      </c>
      <c r="HG114" s="627"/>
      <c r="HH114" s="627"/>
      <c r="HI114" s="289">
        <v>0</v>
      </c>
      <c r="HJ114" s="627"/>
      <c r="HK114" s="627"/>
      <c r="HL114" s="289">
        <v>0</v>
      </c>
      <c r="HM114" s="627"/>
      <c r="HN114" s="627"/>
      <c r="HO114" s="289">
        <v>0</v>
      </c>
      <c r="HP114" s="627"/>
      <c r="HQ114" s="627"/>
      <c r="HR114" s="289">
        <v>0</v>
      </c>
      <c r="HS114" s="627"/>
      <c r="HT114" s="627"/>
      <c r="HU114" s="289">
        <v>0</v>
      </c>
      <c r="HV114" s="627"/>
      <c r="HW114" s="627"/>
      <c r="HX114" s="627"/>
      <c r="HY114" s="627"/>
      <c r="HZ114" s="627"/>
      <c r="IA114" s="289">
        <v>200000</v>
      </c>
      <c r="IB114" s="627"/>
    </row>
    <row r="115" spans="2:257" ht="14.85" hidden="1" customHeight="1">
      <c r="B115" s="242" t="s">
        <v>451</v>
      </c>
      <c r="C115" s="230"/>
      <c r="D115" s="292"/>
      <c r="E115" s="234"/>
      <c r="F115" s="292"/>
      <c r="G115" s="234"/>
      <c r="H115" s="292"/>
      <c r="I115" s="233"/>
      <c r="J115" s="292"/>
      <c r="K115" s="233"/>
      <c r="L115" s="292"/>
      <c r="M115" s="233"/>
      <c r="N115" s="292"/>
      <c r="O115" s="233"/>
      <c r="P115" s="292"/>
      <c r="Q115" s="233"/>
      <c r="R115" s="292"/>
      <c r="S115" s="233"/>
      <c r="T115" s="292"/>
      <c r="U115" s="233"/>
      <c r="V115" s="292"/>
      <c r="W115" s="233"/>
      <c r="X115" s="292"/>
      <c r="Y115" s="233"/>
      <c r="Z115" s="292"/>
      <c r="AA115" s="233"/>
      <c r="AB115" s="292"/>
      <c r="AC115" s="233"/>
      <c r="AD115" s="292"/>
      <c r="AE115" s="233"/>
      <c r="AF115" s="292"/>
      <c r="AG115" s="233"/>
      <c r="AH115" s="292"/>
      <c r="AI115" s="233"/>
      <c r="AJ115" s="292"/>
      <c r="AK115" s="233"/>
      <c r="AL115" s="292"/>
      <c r="AM115" s="233"/>
      <c r="AN115" s="292"/>
      <c r="AO115" s="233"/>
      <c r="AP115" s="292"/>
      <c r="AQ115" s="233"/>
      <c r="AR115" s="292"/>
      <c r="AS115" s="233"/>
      <c r="AT115" s="292"/>
      <c r="AU115" s="233"/>
      <c r="AV115" s="292"/>
      <c r="AW115" s="233"/>
      <c r="AX115" s="292"/>
      <c r="AY115" s="233"/>
      <c r="AZ115" s="292"/>
      <c r="BA115" s="233"/>
      <c r="BB115" s="292"/>
      <c r="BC115" s="233"/>
      <c r="BD115" s="292"/>
      <c r="BE115" s="233"/>
      <c r="BF115" s="293"/>
      <c r="BG115" s="234"/>
      <c r="BH115" s="293"/>
      <c r="BI115" s="234"/>
      <c r="BJ115" s="293"/>
      <c r="BK115" s="234"/>
      <c r="BL115" s="293"/>
      <c r="BM115" s="234"/>
      <c r="BN115" s="293"/>
      <c r="BO115" s="234"/>
      <c r="BP115" s="293"/>
      <c r="BQ115" s="234"/>
      <c r="BR115" s="293"/>
      <c r="BS115" s="234"/>
      <c r="BT115" s="293"/>
      <c r="BU115" s="234"/>
      <c r="BV115" s="293"/>
      <c r="BW115" s="234"/>
      <c r="BX115" s="293"/>
      <c r="BY115" s="234"/>
      <c r="BZ115" s="293"/>
      <c r="CA115" s="234"/>
      <c r="CB115" s="293"/>
      <c r="CC115" s="234"/>
      <c r="CD115" s="293"/>
      <c r="CE115" s="234"/>
      <c r="CF115" s="293"/>
      <c r="CG115" s="234"/>
      <c r="CH115" s="292"/>
      <c r="CI115" s="234"/>
      <c r="CJ115" s="234"/>
      <c r="CK115" s="292"/>
      <c r="CL115" s="234"/>
      <c r="CM115" s="234"/>
      <c r="CN115" s="292"/>
      <c r="CO115" s="234"/>
      <c r="CP115" s="234"/>
      <c r="CQ115" s="292"/>
      <c r="CR115" s="234"/>
      <c r="CS115" s="234"/>
      <c r="CT115" s="292"/>
      <c r="CU115" s="234"/>
      <c r="CV115" s="291"/>
      <c r="CW115" s="292"/>
      <c r="CX115" s="234"/>
      <c r="CY115" s="436"/>
      <c r="CZ115" s="292"/>
      <c r="DA115" s="234"/>
      <c r="DB115" s="436"/>
      <c r="DC115" s="292"/>
      <c r="DD115" s="234"/>
      <c r="DE115" s="436"/>
      <c r="DF115" s="292"/>
      <c r="DG115" s="234"/>
      <c r="DH115" s="436"/>
      <c r="DI115" s="292"/>
      <c r="DJ115" s="234"/>
      <c r="DK115" s="436"/>
      <c r="DL115" s="292"/>
      <c r="DM115" s="234"/>
      <c r="DN115" s="436"/>
      <c r="DO115" s="292"/>
      <c r="DP115" s="425"/>
      <c r="DQ115" s="580"/>
      <c r="DR115" s="292"/>
      <c r="DS115" s="425"/>
      <c r="DT115" s="580"/>
      <c r="DU115" s="292"/>
      <c r="DV115" s="425"/>
      <c r="DW115" s="580"/>
      <c r="DX115" s="427"/>
      <c r="DY115" s="580"/>
      <c r="DZ115" s="580"/>
      <c r="EA115" s="427"/>
      <c r="EB115" s="580"/>
      <c r="EC115" s="580"/>
      <c r="ED115" s="427"/>
      <c r="EE115" s="580"/>
      <c r="EF115" s="580"/>
      <c r="EG115" s="292"/>
      <c r="EH115" s="234"/>
      <c r="EI115" s="436"/>
      <c r="EJ115" s="292"/>
      <c r="EK115" s="234"/>
      <c r="EL115" s="436"/>
      <c r="EM115" s="292"/>
      <c r="EN115" s="234"/>
      <c r="EO115" s="436"/>
      <c r="EP115" s="292"/>
      <c r="EQ115" s="234"/>
      <c r="ER115" s="436"/>
      <c r="ES115" s="292"/>
      <c r="ET115" s="234"/>
      <c r="EU115" s="436"/>
      <c r="EV115" s="814"/>
      <c r="EW115" s="234"/>
      <c r="EX115" s="436"/>
      <c r="EY115" s="292"/>
      <c r="EZ115" s="425"/>
      <c r="FA115" s="580"/>
      <c r="FB115" s="292"/>
      <c r="FC115" s="425"/>
      <c r="FD115" s="580"/>
      <c r="FE115" s="292"/>
      <c r="FF115" s="425"/>
      <c r="FG115" s="580"/>
      <c r="FH115" s="427"/>
      <c r="FI115" s="580"/>
      <c r="FJ115" s="580"/>
      <c r="FK115" s="427"/>
      <c r="FL115" s="580"/>
      <c r="FM115" s="580"/>
      <c r="FN115" s="427"/>
      <c r="FO115" s="580"/>
      <c r="FP115" s="580"/>
      <c r="FQ115" s="427"/>
      <c r="FR115" s="580"/>
      <c r="FS115" s="580"/>
      <c r="FT115" s="427"/>
      <c r="FU115" s="580"/>
      <c r="FV115" s="580"/>
      <c r="FW115" s="427"/>
      <c r="FX115" s="580"/>
      <c r="FY115" s="580"/>
      <c r="FZ115" s="427"/>
      <c r="GA115" s="580"/>
      <c r="GB115" s="580"/>
      <c r="GC115" s="427"/>
      <c r="GD115" s="580"/>
      <c r="GE115" s="427"/>
      <c r="GF115" s="580"/>
      <c r="GG115" s="427"/>
      <c r="GH115" s="580"/>
      <c r="GI115" s="427"/>
      <c r="GJ115" s="580"/>
      <c r="GK115" s="427"/>
      <c r="GL115" s="580"/>
      <c r="GM115" s="427">
        <v>0</v>
      </c>
      <c r="GN115" s="580"/>
      <c r="GO115" s="427">
        <v>0</v>
      </c>
      <c r="GP115" s="580"/>
      <c r="GQ115" s="427">
        <v>0</v>
      </c>
      <c r="GR115" s="580"/>
      <c r="GS115" s="580"/>
      <c r="GT115" s="427">
        <v>0</v>
      </c>
      <c r="GU115" s="580"/>
      <c r="GV115" s="580"/>
      <c r="GW115" s="821">
        <v>0</v>
      </c>
      <c r="GX115" s="580"/>
      <c r="GY115" s="580"/>
      <c r="GZ115" s="427"/>
      <c r="HA115" s="580"/>
      <c r="HB115" s="580"/>
      <c r="HC115" s="427"/>
      <c r="HD115" s="580"/>
      <c r="HE115" s="580"/>
      <c r="HF115" s="427"/>
      <c r="HG115" s="580"/>
      <c r="HH115" s="580"/>
      <c r="HI115" s="427"/>
      <c r="HJ115" s="580"/>
      <c r="HK115" s="580"/>
      <c r="HL115" s="427"/>
      <c r="HM115" s="580"/>
      <c r="HN115" s="580"/>
      <c r="HO115" s="427"/>
      <c r="HP115" s="580"/>
      <c r="HQ115" s="627"/>
      <c r="HR115" s="427"/>
      <c r="HS115" s="580"/>
      <c r="HT115" s="580"/>
      <c r="HU115" s="427"/>
      <c r="HV115" s="580"/>
      <c r="HW115" s="580"/>
      <c r="HX115" s="580"/>
      <c r="HY115" s="580"/>
      <c r="HZ115" s="580"/>
      <c r="IA115" s="427"/>
      <c r="IB115" s="580"/>
    </row>
    <row r="116" spans="2:257" ht="14.85" hidden="1" customHeight="1">
      <c r="B116" s="242" t="s">
        <v>452</v>
      </c>
      <c r="C116" s="230"/>
      <c r="D116" s="292"/>
      <c r="E116" s="234"/>
      <c r="F116" s="292"/>
      <c r="G116" s="234"/>
      <c r="H116" s="292"/>
      <c r="I116" s="233"/>
      <c r="J116" s="292"/>
      <c r="K116" s="233"/>
      <c r="L116" s="292"/>
      <c r="M116" s="233"/>
      <c r="N116" s="292"/>
      <c r="O116" s="233"/>
      <c r="P116" s="292"/>
      <c r="Q116" s="233"/>
      <c r="R116" s="292"/>
      <c r="S116" s="233"/>
      <c r="T116" s="292"/>
      <c r="U116" s="233"/>
      <c r="V116" s="292"/>
      <c r="W116" s="233"/>
      <c r="X116" s="292"/>
      <c r="Y116" s="233"/>
      <c r="Z116" s="292"/>
      <c r="AA116" s="233"/>
      <c r="AB116" s="292"/>
      <c r="AC116" s="233"/>
      <c r="AD116" s="292"/>
      <c r="AE116" s="233"/>
      <c r="AF116" s="292"/>
      <c r="AG116" s="233"/>
      <c r="AH116" s="292"/>
      <c r="AI116" s="233"/>
      <c r="AJ116" s="292"/>
      <c r="AK116" s="233"/>
      <c r="AL116" s="292"/>
      <c r="AM116" s="233"/>
      <c r="AN116" s="292"/>
      <c r="AO116" s="233"/>
      <c r="AP116" s="292"/>
      <c r="AQ116" s="233"/>
      <c r="AR116" s="292"/>
      <c r="AS116" s="233"/>
      <c r="AT116" s="292"/>
      <c r="AU116" s="233"/>
      <c r="AV116" s="292"/>
      <c r="AW116" s="233"/>
      <c r="AX116" s="292"/>
      <c r="AY116" s="233"/>
      <c r="AZ116" s="292"/>
      <c r="BA116" s="233"/>
      <c r="BB116" s="292"/>
      <c r="BC116" s="233"/>
      <c r="BD116" s="292"/>
      <c r="BE116" s="233"/>
      <c r="BF116" s="293"/>
      <c r="BG116" s="234"/>
      <c r="BH116" s="293"/>
      <c r="BI116" s="234"/>
      <c r="BJ116" s="293"/>
      <c r="BK116" s="234"/>
      <c r="BL116" s="293"/>
      <c r="BM116" s="234"/>
      <c r="BN116" s="293"/>
      <c r="BO116" s="234"/>
      <c r="BP116" s="293"/>
      <c r="BQ116" s="234"/>
      <c r="BR116" s="293">
        <v>120000</v>
      </c>
      <c r="BS116" s="234"/>
      <c r="BT116" s="293"/>
      <c r="BU116" s="234"/>
      <c r="BV116" s="293"/>
      <c r="BW116" s="234"/>
      <c r="BX116" s="293"/>
      <c r="BY116" s="234"/>
      <c r="BZ116" s="293"/>
      <c r="CA116" s="234"/>
      <c r="CB116" s="293"/>
      <c r="CC116" s="234"/>
      <c r="CD116" s="293"/>
      <c r="CE116" s="234"/>
      <c r="CF116" s="293"/>
      <c r="CG116" s="234"/>
      <c r="CH116" s="292"/>
      <c r="CI116" s="234"/>
      <c r="CJ116" s="234"/>
      <c r="CK116" s="292"/>
      <c r="CL116" s="234"/>
      <c r="CM116" s="234"/>
      <c r="CN116" s="292"/>
      <c r="CO116" s="234"/>
      <c r="CP116" s="234"/>
      <c r="CQ116" s="292"/>
      <c r="CR116" s="234"/>
      <c r="CS116" s="234"/>
      <c r="CT116" s="292"/>
      <c r="CU116" s="234"/>
      <c r="CV116" s="291"/>
      <c r="CW116" s="292"/>
      <c r="CX116" s="234"/>
      <c r="CY116" s="436"/>
      <c r="CZ116" s="292"/>
      <c r="DA116" s="234"/>
      <c r="DB116" s="436"/>
      <c r="DC116" s="292"/>
      <c r="DD116" s="234"/>
      <c r="DE116" s="436"/>
      <c r="DF116" s="292"/>
      <c r="DG116" s="234"/>
      <c r="DH116" s="436"/>
      <c r="DI116" s="292"/>
      <c r="DJ116" s="234"/>
      <c r="DK116" s="436"/>
      <c r="DL116" s="292"/>
      <c r="DM116" s="234"/>
      <c r="DN116" s="436"/>
      <c r="DO116" s="292"/>
      <c r="DP116" s="425"/>
      <c r="DQ116" s="580"/>
      <c r="DR116" s="292"/>
      <c r="DS116" s="425"/>
      <c r="DT116" s="580"/>
      <c r="DU116" s="292"/>
      <c r="DV116" s="425"/>
      <c r="DW116" s="580"/>
      <c r="DX116" s="427"/>
      <c r="DY116" s="580"/>
      <c r="DZ116" s="580"/>
      <c r="EA116" s="427"/>
      <c r="EB116" s="580"/>
      <c r="EC116" s="580"/>
      <c r="ED116" s="427"/>
      <c r="EE116" s="580"/>
      <c r="EF116" s="580"/>
      <c r="EG116" s="292"/>
      <c r="EH116" s="234"/>
      <c r="EI116" s="436"/>
      <c r="EJ116" s="292"/>
      <c r="EK116" s="234"/>
      <c r="EL116" s="436"/>
      <c r="EM116" s="292"/>
      <c r="EN116" s="234"/>
      <c r="EO116" s="436"/>
      <c r="EP116" s="292"/>
      <c r="EQ116" s="234"/>
      <c r="ER116" s="436"/>
      <c r="ES116" s="292"/>
      <c r="ET116" s="234"/>
      <c r="EU116" s="436"/>
      <c r="EV116" s="814"/>
      <c r="EW116" s="234"/>
      <c r="EX116" s="436"/>
      <c r="EY116" s="292"/>
      <c r="EZ116" s="425"/>
      <c r="FA116" s="580"/>
      <c r="FB116" s="292"/>
      <c r="FC116" s="425"/>
      <c r="FD116" s="580"/>
      <c r="FE116" s="292"/>
      <c r="FF116" s="425"/>
      <c r="FG116" s="580"/>
      <c r="FH116" s="427"/>
      <c r="FI116" s="580"/>
      <c r="FJ116" s="580"/>
      <c r="FK116" s="427"/>
      <c r="FL116" s="580"/>
      <c r="FM116" s="580"/>
      <c r="FN116" s="427"/>
      <c r="FO116" s="580"/>
      <c r="FP116" s="580"/>
      <c r="FQ116" s="427"/>
      <c r="FR116" s="580"/>
      <c r="FS116" s="580"/>
      <c r="FT116" s="427"/>
      <c r="FU116" s="580"/>
      <c r="FV116" s="580"/>
      <c r="FW116" s="427"/>
      <c r="FX116" s="580"/>
      <c r="FY116" s="580"/>
      <c r="FZ116" s="427"/>
      <c r="GA116" s="580"/>
      <c r="GB116" s="580"/>
      <c r="GC116" s="427"/>
      <c r="GD116" s="580"/>
      <c r="GE116" s="427"/>
      <c r="GF116" s="580"/>
      <c r="GG116" s="427"/>
      <c r="GH116" s="580"/>
      <c r="GI116" s="427"/>
      <c r="GJ116" s="580"/>
      <c r="GK116" s="427"/>
      <c r="GL116" s="580"/>
      <c r="GM116" s="427">
        <v>0</v>
      </c>
      <c r="GN116" s="580"/>
      <c r="GO116" s="427">
        <v>0</v>
      </c>
      <c r="GP116" s="580"/>
      <c r="GQ116" s="427">
        <v>0</v>
      </c>
      <c r="GR116" s="580"/>
      <c r="GS116" s="580"/>
      <c r="GT116" s="427">
        <v>0</v>
      </c>
      <c r="GU116" s="580"/>
      <c r="GV116" s="580"/>
      <c r="GW116" s="821">
        <v>0</v>
      </c>
      <c r="GX116" s="580"/>
      <c r="GY116" s="580"/>
      <c r="GZ116" s="427"/>
      <c r="HA116" s="580"/>
      <c r="HB116" s="580"/>
      <c r="HC116" s="427"/>
      <c r="HD116" s="580"/>
      <c r="HE116" s="580"/>
      <c r="HF116" s="427"/>
      <c r="HG116" s="580"/>
      <c r="HH116" s="580"/>
      <c r="HI116" s="427"/>
      <c r="HJ116" s="580"/>
      <c r="HK116" s="580"/>
      <c r="HL116" s="427"/>
      <c r="HM116" s="580"/>
      <c r="HN116" s="580"/>
      <c r="HO116" s="427"/>
      <c r="HP116" s="580"/>
      <c r="HQ116" s="627"/>
      <c r="HR116" s="427"/>
      <c r="HS116" s="580"/>
      <c r="HT116" s="580"/>
      <c r="HU116" s="427"/>
      <c r="HV116" s="580"/>
      <c r="HW116" s="580"/>
      <c r="HX116" s="580"/>
      <c r="HY116" s="580"/>
      <c r="HZ116" s="580"/>
      <c r="IA116" s="427"/>
      <c r="IB116" s="580"/>
    </row>
    <row r="117" spans="2:257" ht="14.25" customHeight="1">
      <c r="B117" s="242" t="s">
        <v>868</v>
      </c>
      <c r="C117" s="242"/>
      <c r="D117" s="292">
        <v>7165000</v>
      </c>
      <c r="E117" s="294"/>
      <c r="F117" s="292">
        <v>5929230.7300000004</v>
      </c>
      <c r="G117" s="294"/>
      <c r="H117" s="292">
        <v>9863596.5700000003</v>
      </c>
      <c r="I117" s="233"/>
      <c r="J117" s="292">
        <v>11600000</v>
      </c>
      <c r="K117" s="233"/>
      <c r="L117" s="292">
        <v>7645000</v>
      </c>
      <c r="M117" s="233"/>
      <c r="N117" s="292">
        <v>9117000</v>
      </c>
      <c r="O117" s="233"/>
      <c r="P117" s="292" t="e">
        <f>+#REF!</f>
        <v>#REF!</v>
      </c>
      <c r="Q117" s="233"/>
      <c r="R117" s="292" t="e">
        <f>+#REF!</f>
        <v>#REF!</v>
      </c>
      <c r="S117" s="233"/>
      <c r="T117" s="292" t="e">
        <f>+#REF!</f>
        <v>#REF!</v>
      </c>
      <c r="U117" s="233"/>
      <c r="V117" s="292" t="e">
        <f>+#REF!</f>
        <v>#REF!</v>
      </c>
      <c r="W117" s="233"/>
      <c r="X117" s="292" t="e">
        <f>+#REF!</f>
        <v>#REF!</v>
      </c>
      <c r="Y117" s="233"/>
      <c r="Z117" s="292" t="e">
        <f>+#REF!</f>
        <v>#REF!</v>
      </c>
      <c r="AA117" s="233"/>
      <c r="AB117" s="292" t="e">
        <f>+#REF!</f>
        <v>#REF!</v>
      </c>
      <c r="AC117" s="233"/>
      <c r="AD117" s="292" t="e">
        <f>+#REF!</f>
        <v>#REF!</v>
      </c>
      <c r="AE117" s="233"/>
      <c r="AF117" s="292" t="e">
        <f>+#REF!</f>
        <v>#REF!</v>
      </c>
      <c r="AG117" s="233"/>
      <c r="AH117" s="292">
        <v>10788423.48</v>
      </c>
      <c r="AI117" s="233"/>
      <c r="AJ117" s="292">
        <v>13927841.9</v>
      </c>
      <c r="AK117" s="233"/>
      <c r="AL117" s="292" t="e">
        <f>+#REF!</f>
        <v>#REF!</v>
      </c>
      <c r="AM117" s="233"/>
      <c r="AN117" s="292" t="e">
        <f>+#REF!</f>
        <v>#REF!</v>
      </c>
      <c r="AO117" s="233"/>
      <c r="AP117" s="292" t="e">
        <f>+#REF!</f>
        <v>#REF!</v>
      </c>
      <c r="AQ117" s="233"/>
      <c r="AR117" s="292" t="e">
        <f>+#REF!</f>
        <v>#REF!</v>
      </c>
      <c r="AS117" s="233"/>
      <c r="AT117" s="292">
        <v>22398700.550000001</v>
      </c>
      <c r="AU117" s="233"/>
      <c r="AV117" s="292" t="e">
        <f>+#REF!</f>
        <v>#REF!</v>
      </c>
      <c r="AW117" s="233"/>
      <c r="AX117" s="292" t="e">
        <f>+#REF!</f>
        <v>#REF!</v>
      </c>
      <c r="AY117" s="233"/>
      <c r="AZ117" s="292" t="e">
        <f>+#REF!</f>
        <v>#REF!</v>
      </c>
      <c r="BA117" s="233"/>
      <c r="BB117" s="292" t="e">
        <f>+#REF!</f>
        <v>#REF!</v>
      </c>
      <c r="BC117" s="233"/>
      <c r="BD117" s="292" t="e">
        <f>#REF!</f>
        <v>#REF!</v>
      </c>
      <c r="BE117" s="233"/>
      <c r="BF117" s="293" t="e">
        <f>#REF!</f>
        <v>#REF!</v>
      </c>
      <c r="BG117" s="234"/>
      <c r="BH117" s="293">
        <v>10022431.74</v>
      </c>
      <c r="BI117" s="234"/>
      <c r="BJ117" s="293">
        <v>10669979.140000001</v>
      </c>
      <c r="BK117" s="234"/>
      <c r="BL117" s="293">
        <v>13293335.029999997</v>
      </c>
      <c r="BM117" s="234"/>
      <c r="BN117" s="293">
        <v>11452621.339999998</v>
      </c>
      <c r="BO117" s="234"/>
      <c r="BP117" s="293">
        <v>13786829.800000001</v>
      </c>
      <c r="BQ117" s="234"/>
      <c r="BR117" s="293">
        <v>14388946.57</v>
      </c>
      <c r="BS117" s="234"/>
      <c r="BT117" s="293">
        <v>12960538.699999997</v>
      </c>
      <c r="BU117" s="234"/>
      <c r="BV117" s="293">
        <v>14734755.569999998</v>
      </c>
      <c r="BW117" s="234"/>
      <c r="BX117" s="293">
        <v>17212811.439999998</v>
      </c>
      <c r="BY117" s="234"/>
      <c r="BZ117" s="293">
        <v>17124396.020000003</v>
      </c>
      <c r="CA117" s="234"/>
      <c r="CB117" s="293">
        <v>17017343.469999995</v>
      </c>
      <c r="CC117" s="234"/>
      <c r="CD117" s="293">
        <v>22318626.130000003</v>
      </c>
      <c r="CE117" s="234"/>
      <c r="CF117" s="293">
        <v>22351365.440000001</v>
      </c>
      <c r="CG117" s="234"/>
      <c r="CH117" s="292">
        <v>28530816.819999997</v>
      </c>
      <c r="CI117" s="234"/>
      <c r="CJ117" s="234"/>
      <c r="CK117" s="292">
        <v>26942859.970000006</v>
      </c>
      <c r="CL117" s="234"/>
      <c r="CM117" s="234"/>
      <c r="CN117" s="292">
        <v>15034085</v>
      </c>
      <c r="CO117" s="234"/>
      <c r="CP117" s="234"/>
      <c r="CQ117" s="292">
        <v>15190669</v>
      </c>
      <c r="CR117" s="234"/>
      <c r="CS117" s="234"/>
      <c r="CT117" s="292">
        <v>15824604.469999997</v>
      </c>
      <c r="CU117" s="234"/>
      <c r="CV117" s="291"/>
      <c r="CW117" s="292">
        <v>20789400.569999993</v>
      </c>
      <c r="CX117" s="234"/>
      <c r="CY117" s="436"/>
      <c r="CZ117" s="292">
        <v>15284630.410000006</v>
      </c>
      <c r="DA117" s="234"/>
      <c r="DB117" s="436"/>
      <c r="DC117" s="292">
        <v>18648564.700000003</v>
      </c>
      <c r="DD117" s="234"/>
      <c r="DE117" s="436"/>
      <c r="DF117" s="292">
        <v>21204456.260000005</v>
      </c>
      <c r="DG117" s="234"/>
      <c r="DH117" s="436"/>
      <c r="DI117" s="292">
        <v>20080837.379999999</v>
      </c>
      <c r="DJ117" s="234"/>
      <c r="DK117" s="436"/>
      <c r="DL117" s="292">
        <v>25702248.169999998</v>
      </c>
      <c r="DM117" s="234"/>
      <c r="DN117" s="436"/>
      <c r="DO117" s="292">
        <v>20445967.279999994</v>
      </c>
      <c r="DP117" s="425"/>
      <c r="DQ117" s="580"/>
      <c r="DR117" s="292">
        <v>17735484.27</v>
      </c>
      <c r="DS117" s="425"/>
      <c r="DT117" s="580"/>
      <c r="DU117" s="292">
        <v>28660540.5</v>
      </c>
      <c r="DV117" s="425"/>
      <c r="DW117" s="580"/>
      <c r="DX117" s="427">
        <v>9897671.540000001</v>
      </c>
      <c r="DY117" s="580"/>
      <c r="DZ117" s="580"/>
      <c r="EA117" s="427">
        <v>11043519.409999998</v>
      </c>
      <c r="EB117" s="580"/>
      <c r="EC117" s="580"/>
      <c r="ED117" s="427">
        <v>7632994</v>
      </c>
      <c r="EE117" s="590"/>
      <c r="EF117" s="590"/>
      <c r="EG117" s="292">
        <v>4626016.63</v>
      </c>
      <c r="EH117" s="234"/>
      <c r="EI117" s="436"/>
      <c r="EJ117" s="292">
        <v>4119339.83</v>
      </c>
      <c r="EK117" s="234"/>
      <c r="EL117" s="436"/>
      <c r="EM117" s="292">
        <v>8583715.1999999993</v>
      </c>
      <c r="EN117" s="234"/>
      <c r="EO117" s="436"/>
      <c r="EP117" s="292">
        <v>4284385.42</v>
      </c>
      <c r="EQ117" s="234"/>
      <c r="ER117" s="436"/>
      <c r="ES117" s="292">
        <v>3076279.82</v>
      </c>
      <c r="ET117" s="234"/>
      <c r="EU117" s="436"/>
      <c r="EV117" s="814">
        <v>3613608.4</v>
      </c>
      <c r="EW117" s="234"/>
      <c r="EX117" s="436"/>
      <c r="EY117" s="292">
        <v>2374493.11</v>
      </c>
      <c r="EZ117" s="425"/>
      <c r="FA117" s="580"/>
      <c r="FB117" s="292">
        <v>6004606.8999999994</v>
      </c>
      <c r="FC117" s="425"/>
      <c r="FD117" s="580"/>
      <c r="FE117" s="292">
        <v>3580233.33</v>
      </c>
      <c r="FF117" s="425"/>
      <c r="FG117" s="580"/>
      <c r="FH117" s="427">
        <v>3478166.6500000004</v>
      </c>
      <c r="FI117" s="580"/>
      <c r="FJ117" s="580"/>
      <c r="FK117" s="427">
        <v>3424099.99</v>
      </c>
      <c r="FL117" s="580"/>
      <c r="FM117" s="580"/>
      <c r="FN117" s="427">
        <v>3540480.4699999997</v>
      </c>
      <c r="FO117" s="580"/>
      <c r="FP117" s="580"/>
      <c r="FQ117" s="427">
        <v>4109825.7099999995</v>
      </c>
      <c r="FR117" s="580"/>
      <c r="FS117" s="580"/>
      <c r="FT117" s="427">
        <v>5751666.7000000002</v>
      </c>
      <c r="FU117" s="580"/>
      <c r="FV117" s="580"/>
      <c r="FW117" s="427">
        <v>3720544.3200000003</v>
      </c>
      <c r="FX117" s="580"/>
      <c r="FY117" s="580"/>
      <c r="FZ117" s="427">
        <v>2185916.7599999998</v>
      </c>
      <c r="GA117" s="580"/>
      <c r="GB117" s="580"/>
      <c r="GC117" s="427">
        <v>3400733.3000000003</v>
      </c>
      <c r="GD117" s="580"/>
      <c r="GE117" s="427">
        <v>3082430</v>
      </c>
      <c r="GF117" s="580"/>
      <c r="GG117" s="427">
        <v>2761850.02</v>
      </c>
      <c r="GH117" s="580"/>
      <c r="GI117" s="427">
        <v>6147299.9800000004</v>
      </c>
      <c r="GJ117" s="580"/>
      <c r="GK117" s="427">
        <v>2114799.96</v>
      </c>
      <c r="GL117" s="580"/>
      <c r="GM117" s="427">
        <v>922066.66</v>
      </c>
      <c r="GN117" s="580"/>
      <c r="GO117" s="821">
        <v>16793313.579999998</v>
      </c>
      <c r="GP117" s="580"/>
      <c r="GQ117" s="821">
        <v>1673150</v>
      </c>
      <c r="GR117" s="580"/>
      <c r="GS117" s="580"/>
      <c r="GT117" s="821">
        <v>1135000</v>
      </c>
      <c r="GU117" s="580"/>
      <c r="GV117" s="580"/>
      <c r="GW117" s="821">
        <v>1606000</v>
      </c>
      <c r="GX117" s="580"/>
      <c r="GY117" s="580"/>
      <c r="GZ117" s="427">
        <v>1867740</v>
      </c>
      <c r="HA117" s="580"/>
      <c r="HB117" s="580"/>
      <c r="HC117" s="427">
        <v>2321500</v>
      </c>
      <c r="HD117" s="580"/>
      <c r="HE117" s="580"/>
      <c r="HF117" s="427">
        <v>1580000</v>
      </c>
      <c r="HG117" s="580"/>
      <c r="HH117" s="580"/>
      <c r="HI117" s="427">
        <v>1740533.29</v>
      </c>
      <c r="HJ117" s="580"/>
      <c r="HK117" s="580"/>
      <c r="HL117" s="427">
        <v>1551266.73</v>
      </c>
      <c r="HM117" s="580"/>
      <c r="HN117" s="580"/>
      <c r="HO117" s="427">
        <v>3013000</v>
      </c>
      <c r="HP117" s="580"/>
      <c r="HQ117" s="627"/>
      <c r="HR117" s="427">
        <v>3013000</v>
      </c>
      <c r="HS117" s="580"/>
      <c r="HT117" s="580"/>
      <c r="HU117" s="427">
        <v>3013000</v>
      </c>
      <c r="HV117" s="580"/>
      <c r="HW117" s="580"/>
      <c r="HX117" s="580"/>
      <c r="HY117" s="580"/>
      <c r="HZ117" s="580"/>
      <c r="IA117" s="427">
        <v>7632994</v>
      </c>
    </row>
    <row r="118" spans="2:257" ht="14.85" hidden="1" customHeight="1">
      <c r="B118" s="242" t="s">
        <v>453</v>
      </c>
      <c r="C118" s="242"/>
      <c r="D118" s="292"/>
      <c r="E118" s="294"/>
      <c r="F118" s="292"/>
      <c r="G118" s="294"/>
      <c r="H118" s="292"/>
      <c r="I118" s="233"/>
      <c r="J118" s="292"/>
      <c r="K118" s="233"/>
      <c r="L118" s="292"/>
      <c r="M118" s="233"/>
      <c r="N118" s="292"/>
      <c r="O118" s="233"/>
      <c r="P118" s="292"/>
      <c r="Q118" s="233"/>
      <c r="R118" s="292"/>
      <c r="S118" s="233"/>
      <c r="T118" s="292"/>
      <c r="U118" s="233"/>
      <c r="V118" s="292"/>
      <c r="W118" s="233"/>
      <c r="X118" s="292"/>
      <c r="Y118" s="233"/>
      <c r="Z118" s="292"/>
      <c r="AA118" s="233"/>
      <c r="AB118" s="292"/>
      <c r="AC118" s="233"/>
      <c r="AD118" s="292"/>
      <c r="AE118" s="233"/>
      <c r="AF118" s="292"/>
      <c r="AG118" s="233"/>
      <c r="AH118" s="292"/>
      <c r="AI118" s="233"/>
      <c r="AJ118" s="292"/>
      <c r="AK118" s="233"/>
      <c r="AL118" s="292"/>
      <c r="AM118" s="233"/>
      <c r="AN118" s="292"/>
      <c r="AO118" s="233"/>
      <c r="AP118" s="292"/>
      <c r="AQ118" s="233"/>
      <c r="AR118" s="292"/>
      <c r="AS118" s="233"/>
      <c r="AT118" s="292"/>
      <c r="AU118" s="233"/>
      <c r="AV118" s="292"/>
      <c r="AW118" s="233"/>
      <c r="AX118" s="292"/>
      <c r="AY118" s="233"/>
      <c r="AZ118" s="292"/>
      <c r="BA118" s="233"/>
      <c r="BB118" s="292"/>
      <c r="BC118" s="233"/>
      <c r="BD118" s="292"/>
      <c r="BE118" s="233"/>
      <c r="BF118" s="293"/>
      <c r="BG118" s="234"/>
      <c r="BH118" s="293"/>
      <c r="BI118" s="234"/>
      <c r="BJ118" s="293">
        <v>350000</v>
      </c>
      <c r="BK118" s="234"/>
      <c r="BL118" s="293">
        <v>0</v>
      </c>
      <c r="BM118" s="234"/>
      <c r="BN118" s="293"/>
      <c r="BO118" s="234"/>
      <c r="BP118" s="293">
        <v>0</v>
      </c>
      <c r="BQ118" s="234"/>
      <c r="BR118" s="293">
        <v>0</v>
      </c>
      <c r="BS118" s="234"/>
      <c r="BT118" s="293"/>
      <c r="BU118" s="234"/>
      <c r="BV118" s="293"/>
      <c r="BW118" s="234"/>
      <c r="BX118" s="293"/>
      <c r="BY118" s="234"/>
      <c r="BZ118" s="293"/>
      <c r="CA118" s="234"/>
      <c r="CB118" s="293"/>
      <c r="CC118" s="234"/>
      <c r="CD118" s="293"/>
      <c r="CE118" s="234"/>
      <c r="CF118" s="293"/>
      <c r="CG118" s="234"/>
      <c r="CH118" s="292"/>
      <c r="CI118" s="234"/>
      <c r="CJ118" s="234"/>
      <c r="CK118" s="292"/>
      <c r="CL118" s="234"/>
      <c r="CM118" s="234"/>
      <c r="CN118" s="292"/>
      <c r="CO118" s="234"/>
      <c r="CP118" s="234"/>
      <c r="CQ118" s="292"/>
      <c r="CR118" s="234"/>
      <c r="CS118" s="234"/>
      <c r="CT118" s="292"/>
      <c r="CU118" s="234"/>
      <c r="CV118" s="291"/>
      <c r="CW118" s="292"/>
      <c r="CX118" s="234"/>
      <c r="CY118" s="436"/>
      <c r="CZ118" s="292"/>
      <c r="DA118" s="234"/>
      <c r="DB118" s="436"/>
      <c r="DC118" s="292"/>
      <c r="DD118" s="234"/>
      <c r="DE118" s="436"/>
      <c r="DF118" s="292"/>
      <c r="DG118" s="234"/>
      <c r="DH118" s="436"/>
      <c r="DI118" s="292"/>
      <c r="DJ118" s="234"/>
      <c r="DK118" s="436"/>
      <c r="DL118" s="292"/>
      <c r="DM118" s="234"/>
      <c r="DN118" s="436"/>
      <c r="DO118" s="292"/>
      <c r="DP118" s="425"/>
      <c r="DQ118" s="580"/>
      <c r="DR118" s="292"/>
      <c r="DS118" s="425"/>
      <c r="DT118" s="580"/>
      <c r="DU118" s="292"/>
      <c r="DV118" s="425"/>
      <c r="DW118" s="580"/>
      <c r="DX118" s="427"/>
      <c r="DY118" s="580"/>
      <c r="DZ118" s="580"/>
      <c r="EA118" s="427"/>
      <c r="EB118" s="580"/>
      <c r="EC118" s="580"/>
      <c r="ED118" s="427"/>
      <c r="EE118" s="580"/>
      <c r="EF118" s="580"/>
      <c r="EG118" s="292"/>
      <c r="EH118" s="234"/>
      <c r="EI118" s="436"/>
      <c r="EJ118" s="292"/>
      <c r="EK118" s="234"/>
      <c r="EL118" s="436"/>
      <c r="EM118" s="292"/>
      <c r="EN118" s="234"/>
      <c r="EO118" s="436"/>
      <c r="EP118" s="292"/>
      <c r="EQ118" s="234"/>
      <c r="ER118" s="436"/>
      <c r="ES118" s="292"/>
      <c r="ET118" s="234"/>
      <c r="EU118" s="436"/>
      <c r="EV118" s="814"/>
      <c r="EW118" s="234"/>
      <c r="EX118" s="436"/>
      <c r="EY118" s="292"/>
      <c r="EZ118" s="425"/>
      <c r="FA118" s="580"/>
      <c r="FB118" s="292"/>
      <c r="FC118" s="425"/>
      <c r="FD118" s="580"/>
      <c r="FE118" s="292"/>
      <c r="FF118" s="425"/>
      <c r="FG118" s="580"/>
      <c r="FH118" s="427"/>
      <c r="FI118" s="580"/>
      <c r="FJ118" s="580"/>
      <c r="FK118" s="427"/>
      <c r="FL118" s="580"/>
      <c r="FM118" s="580"/>
      <c r="FN118" s="427"/>
      <c r="FO118" s="580"/>
      <c r="FP118" s="580"/>
      <c r="FQ118" s="427"/>
      <c r="FR118" s="580"/>
      <c r="FS118" s="580"/>
      <c r="FT118" s="427"/>
      <c r="FU118" s="580"/>
      <c r="FV118" s="580"/>
      <c r="FW118" s="427"/>
      <c r="FX118" s="580"/>
      <c r="FY118" s="580"/>
      <c r="FZ118" s="427"/>
      <c r="GA118" s="580"/>
      <c r="GB118" s="580"/>
      <c r="GC118" s="427"/>
      <c r="GD118" s="580"/>
      <c r="GE118" s="427"/>
      <c r="GF118" s="580"/>
      <c r="GG118" s="427"/>
      <c r="GH118" s="580"/>
      <c r="GI118" s="427"/>
      <c r="GJ118" s="580"/>
      <c r="GK118" s="427"/>
      <c r="GL118" s="580"/>
      <c r="GM118" s="427"/>
      <c r="GN118" s="580"/>
      <c r="GO118" s="821"/>
      <c r="GP118" s="580"/>
      <c r="GQ118" s="821"/>
      <c r="GR118" s="580"/>
      <c r="GS118" s="580"/>
      <c r="GT118" s="821"/>
      <c r="GU118" s="580"/>
      <c r="GV118" s="580"/>
      <c r="GW118" s="821"/>
      <c r="GX118" s="580"/>
      <c r="GY118" s="580"/>
      <c r="GZ118" s="427"/>
      <c r="HA118" s="580"/>
      <c r="HB118" s="580"/>
      <c r="HC118" s="427"/>
      <c r="HD118" s="580"/>
      <c r="HE118" s="580"/>
      <c r="HF118" s="427"/>
      <c r="HG118" s="580"/>
      <c r="HH118" s="580"/>
      <c r="HI118" s="427"/>
      <c r="HJ118" s="580"/>
      <c r="HK118" s="580"/>
      <c r="HL118" s="427"/>
      <c r="HM118" s="580"/>
      <c r="HN118" s="580"/>
      <c r="HO118" s="427"/>
      <c r="HP118" s="580"/>
      <c r="HQ118" s="627"/>
      <c r="HR118" s="427"/>
      <c r="HS118" s="580"/>
      <c r="HT118" s="580"/>
      <c r="HU118" s="427"/>
      <c r="HV118" s="580"/>
      <c r="HW118" s="580"/>
      <c r="HX118" s="580"/>
      <c r="HY118" s="580"/>
      <c r="HZ118" s="580"/>
      <c r="IA118" s="427"/>
    </row>
    <row r="119" spans="2:257" ht="14.85" hidden="1" customHeight="1">
      <c r="B119" s="242" t="s">
        <v>454</v>
      </c>
      <c r="C119" s="242"/>
      <c r="D119" s="292"/>
      <c r="E119" s="294"/>
      <c r="F119" s="292"/>
      <c r="G119" s="294"/>
      <c r="H119" s="292"/>
      <c r="I119" s="233"/>
      <c r="J119" s="292"/>
      <c r="K119" s="233"/>
      <c r="L119" s="292"/>
      <c r="M119" s="233"/>
      <c r="N119" s="292"/>
      <c r="O119" s="233"/>
      <c r="P119" s="292"/>
      <c r="Q119" s="233"/>
      <c r="R119" s="292"/>
      <c r="S119" s="233"/>
      <c r="T119" s="292"/>
      <c r="U119" s="233"/>
      <c r="V119" s="292"/>
      <c r="W119" s="233"/>
      <c r="X119" s="292"/>
      <c r="Y119" s="233"/>
      <c r="Z119" s="292"/>
      <c r="AA119" s="233"/>
      <c r="AB119" s="292"/>
      <c r="AC119" s="233"/>
      <c r="AD119" s="292"/>
      <c r="AE119" s="233"/>
      <c r="AF119" s="292"/>
      <c r="AG119" s="233"/>
      <c r="AH119" s="292"/>
      <c r="AI119" s="233"/>
      <c r="AJ119" s="292"/>
      <c r="AK119" s="233"/>
      <c r="AL119" s="292"/>
      <c r="AM119" s="233"/>
      <c r="AN119" s="292"/>
      <c r="AO119" s="233"/>
      <c r="AP119" s="292"/>
      <c r="AQ119" s="233"/>
      <c r="AR119" s="292"/>
      <c r="AS119" s="233"/>
      <c r="AT119" s="292"/>
      <c r="AU119" s="233"/>
      <c r="AV119" s="292"/>
      <c r="AW119" s="233"/>
      <c r="AX119" s="292"/>
      <c r="AY119" s="233"/>
      <c r="AZ119" s="292"/>
      <c r="BA119" s="233"/>
      <c r="BB119" s="292"/>
      <c r="BC119" s="233"/>
      <c r="BD119" s="292"/>
      <c r="BE119" s="233"/>
      <c r="BF119" s="293">
        <v>200000</v>
      </c>
      <c r="BG119" s="234"/>
      <c r="BH119" s="293">
        <v>0</v>
      </c>
      <c r="BI119" s="234"/>
      <c r="BJ119" s="293">
        <v>350000</v>
      </c>
      <c r="BK119" s="234"/>
      <c r="BL119" s="293">
        <v>0</v>
      </c>
      <c r="BM119" s="234"/>
      <c r="BN119" s="293">
        <v>230000</v>
      </c>
      <c r="BO119" s="234"/>
      <c r="BP119" s="293">
        <v>0</v>
      </c>
      <c r="BQ119" s="234"/>
      <c r="BR119" s="293">
        <v>0</v>
      </c>
      <c r="BS119" s="234"/>
      <c r="BT119" s="293"/>
      <c r="BU119" s="234"/>
      <c r="BV119" s="293"/>
      <c r="BW119" s="234"/>
      <c r="BX119" s="293"/>
      <c r="BY119" s="234"/>
      <c r="BZ119" s="293"/>
      <c r="CA119" s="234"/>
      <c r="CB119" s="293"/>
      <c r="CC119" s="234"/>
      <c r="CD119" s="293"/>
      <c r="CE119" s="234"/>
      <c r="CF119" s="293"/>
      <c r="CG119" s="234"/>
      <c r="CH119" s="292"/>
      <c r="CI119" s="234"/>
      <c r="CJ119" s="234"/>
      <c r="CK119" s="292"/>
      <c r="CL119" s="234"/>
      <c r="CM119" s="234"/>
      <c r="CN119" s="292"/>
      <c r="CO119" s="234"/>
      <c r="CP119" s="234"/>
      <c r="CQ119" s="292"/>
      <c r="CR119" s="234"/>
      <c r="CS119" s="234"/>
      <c r="CT119" s="292"/>
      <c r="CU119" s="234"/>
      <c r="CV119" s="291"/>
      <c r="CW119" s="292"/>
      <c r="CX119" s="234"/>
      <c r="CY119" s="436"/>
      <c r="CZ119" s="292"/>
      <c r="DA119" s="234"/>
      <c r="DB119" s="436"/>
      <c r="DC119" s="292"/>
      <c r="DD119" s="234"/>
      <c r="DE119" s="436"/>
      <c r="DF119" s="292"/>
      <c r="DG119" s="234"/>
      <c r="DH119" s="436"/>
      <c r="DI119" s="292"/>
      <c r="DJ119" s="234"/>
      <c r="DK119" s="436"/>
      <c r="DL119" s="292"/>
      <c r="DM119" s="234"/>
      <c r="DN119" s="436"/>
      <c r="DO119" s="292"/>
      <c r="DP119" s="425"/>
      <c r="DQ119" s="580"/>
      <c r="DR119" s="292"/>
      <c r="DS119" s="425"/>
      <c r="DT119" s="580"/>
      <c r="DU119" s="292"/>
      <c r="DV119" s="425"/>
      <c r="DW119" s="580"/>
      <c r="DX119" s="427"/>
      <c r="DY119" s="580"/>
      <c r="DZ119" s="580"/>
      <c r="EA119" s="427"/>
      <c r="EB119" s="580"/>
      <c r="EC119" s="580"/>
      <c r="ED119" s="427"/>
      <c r="EE119" s="580"/>
      <c r="EF119" s="580"/>
      <c r="EG119" s="292"/>
      <c r="EH119" s="234"/>
      <c r="EI119" s="436"/>
      <c r="EJ119" s="292"/>
      <c r="EK119" s="234"/>
      <c r="EL119" s="436"/>
      <c r="EM119" s="292"/>
      <c r="EN119" s="234"/>
      <c r="EO119" s="436"/>
      <c r="EP119" s="292"/>
      <c r="EQ119" s="234"/>
      <c r="ER119" s="436"/>
      <c r="ES119" s="292"/>
      <c r="ET119" s="234"/>
      <c r="EU119" s="436"/>
      <c r="EV119" s="814"/>
      <c r="EW119" s="234"/>
      <c r="EX119" s="436"/>
      <c r="EY119" s="292"/>
      <c r="EZ119" s="425"/>
      <c r="FA119" s="580"/>
      <c r="FB119" s="292"/>
      <c r="FC119" s="425"/>
      <c r="FD119" s="580"/>
      <c r="FE119" s="292"/>
      <c r="FF119" s="425"/>
      <c r="FG119" s="580"/>
      <c r="FH119" s="427"/>
      <c r="FI119" s="580"/>
      <c r="FJ119" s="580"/>
      <c r="FK119" s="427"/>
      <c r="FL119" s="580"/>
      <c r="FM119" s="580"/>
      <c r="FN119" s="427"/>
      <c r="FO119" s="580"/>
      <c r="FP119" s="580"/>
      <c r="FQ119" s="427"/>
      <c r="FR119" s="580"/>
      <c r="FS119" s="580"/>
      <c r="FT119" s="427"/>
      <c r="FU119" s="580"/>
      <c r="FV119" s="580"/>
      <c r="FW119" s="427"/>
      <c r="FX119" s="580"/>
      <c r="FY119" s="580"/>
      <c r="FZ119" s="427"/>
      <c r="GA119" s="580"/>
      <c r="GB119" s="580"/>
      <c r="GC119" s="427"/>
      <c r="GD119" s="580"/>
      <c r="GE119" s="427"/>
      <c r="GF119" s="580"/>
      <c r="GG119" s="427"/>
      <c r="GH119" s="580"/>
      <c r="GI119" s="427"/>
      <c r="GJ119" s="580"/>
      <c r="GK119" s="427"/>
      <c r="GL119" s="580"/>
      <c r="GM119" s="427"/>
      <c r="GN119" s="580"/>
      <c r="GO119" s="821"/>
      <c r="GP119" s="580"/>
      <c r="GQ119" s="821"/>
      <c r="GR119" s="580"/>
      <c r="GS119" s="580"/>
      <c r="GT119" s="821"/>
      <c r="GU119" s="580"/>
      <c r="GV119" s="580"/>
      <c r="GW119" s="821"/>
      <c r="GX119" s="580"/>
      <c r="GY119" s="580"/>
      <c r="GZ119" s="427"/>
      <c r="HA119" s="580"/>
      <c r="HB119" s="580"/>
      <c r="HC119" s="427"/>
      <c r="HD119" s="580"/>
      <c r="HE119" s="580"/>
      <c r="HF119" s="427"/>
      <c r="HG119" s="580"/>
      <c r="HH119" s="580"/>
      <c r="HI119" s="427"/>
      <c r="HJ119" s="580"/>
      <c r="HK119" s="580"/>
      <c r="HL119" s="427"/>
      <c r="HM119" s="580"/>
      <c r="HN119" s="580"/>
      <c r="HO119" s="427"/>
      <c r="HP119" s="580"/>
      <c r="HQ119" s="627"/>
      <c r="HR119" s="427"/>
      <c r="HS119" s="580"/>
      <c r="HT119" s="580"/>
      <c r="HU119" s="427"/>
      <c r="HV119" s="580"/>
      <c r="HW119" s="580"/>
      <c r="HX119" s="580"/>
      <c r="HY119" s="580"/>
      <c r="HZ119" s="580"/>
      <c r="IA119" s="427"/>
    </row>
    <row r="120" spans="2:257" ht="14.1" customHeight="1">
      <c r="B120" s="242" t="s">
        <v>869</v>
      </c>
      <c r="C120" s="242"/>
      <c r="D120" s="292"/>
      <c r="E120" s="294"/>
      <c r="F120" s="292"/>
      <c r="G120" s="294"/>
      <c r="H120" s="292"/>
      <c r="I120" s="233"/>
      <c r="J120" s="292"/>
      <c r="K120" s="233"/>
      <c r="L120" s="292"/>
      <c r="M120" s="233"/>
      <c r="N120" s="292">
        <v>2060000</v>
      </c>
      <c r="O120" s="233"/>
      <c r="P120" s="292" t="e">
        <f>+#REF!</f>
        <v>#REF!</v>
      </c>
      <c r="Q120" s="233"/>
      <c r="R120" s="292" t="e">
        <f>+#REF!</f>
        <v>#REF!</v>
      </c>
      <c r="S120" s="233"/>
      <c r="T120" s="292" t="e">
        <f>+#REF!</f>
        <v>#REF!</v>
      </c>
      <c r="U120" s="233"/>
      <c r="V120" s="292" t="e">
        <f>+#REF!</f>
        <v>#REF!</v>
      </c>
      <c r="W120" s="233"/>
      <c r="X120" s="292" t="e">
        <f>+#REF!</f>
        <v>#REF!</v>
      </c>
      <c r="Y120" s="233"/>
      <c r="Z120" s="292" t="e">
        <f>+#REF!</f>
        <v>#REF!</v>
      </c>
      <c r="AA120" s="233"/>
      <c r="AB120" s="292" t="e">
        <f>+#REF!</f>
        <v>#REF!</v>
      </c>
      <c r="AC120" s="233"/>
      <c r="AD120" s="292" t="e">
        <f>+#REF!</f>
        <v>#REF!</v>
      </c>
      <c r="AE120" s="233"/>
      <c r="AF120" s="292" t="e">
        <f>+#REF!</f>
        <v>#REF!</v>
      </c>
      <c r="AG120" s="233"/>
      <c r="AH120" s="292">
        <v>9669558.4600000009</v>
      </c>
      <c r="AI120" s="233"/>
      <c r="AJ120" s="292">
        <v>7991007.0099999998</v>
      </c>
      <c r="AK120" s="233"/>
      <c r="AL120" s="292" t="e">
        <f>+#REF!</f>
        <v>#REF!</v>
      </c>
      <c r="AM120" s="233"/>
      <c r="AN120" s="292" t="e">
        <f>+#REF!</f>
        <v>#REF!</v>
      </c>
      <c r="AO120" s="233"/>
      <c r="AP120" s="292" t="e">
        <f>+#REF!</f>
        <v>#REF!</v>
      </c>
      <c r="AQ120" s="233"/>
      <c r="AR120" s="292" t="e">
        <f>+#REF!</f>
        <v>#REF!</v>
      </c>
      <c r="AS120" s="233"/>
      <c r="AT120" s="292">
        <v>13921537.470000001</v>
      </c>
      <c r="AU120" s="233"/>
      <c r="AV120" s="292" t="e">
        <f>+#REF!</f>
        <v>#REF!</v>
      </c>
      <c r="AW120" s="233"/>
      <c r="AX120" s="292" t="e">
        <f>+#REF!</f>
        <v>#REF!</v>
      </c>
      <c r="AY120" s="233"/>
      <c r="AZ120" s="292" t="e">
        <f>+#REF!</f>
        <v>#REF!</v>
      </c>
      <c r="BA120" s="233"/>
      <c r="BB120" s="292" t="e">
        <f>+#REF!</f>
        <v>#REF!</v>
      </c>
      <c r="BC120" s="233"/>
      <c r="BD120" s="292" t="e">
        <f>#REF!</f>
        <v>#REF!</v>
      </c>
      <c r="BE120" s="233"/>
      <c r="BF120" s="293" t="e">
        <f>#REF!</f>
        <v>#REF!</v>
      </c>
      <c r="BG120" s="234"/>
      <c r="BH120" s="293">
        <v>6975687</v>
      </c>
      <c r="BI120" s="234"/>
      <c r="BJ120" s="293">
        <v>5059370.59</v>
      </c>
      <c r="BK120" s="234"/>
      <c r="BL120" s="293">
        <v>13052894.16</v>
      </c>
      <c r="BM120" s="234"/>
      <c r="BN120" s="293">
        <v>10086243.260000002</v>
      </c>
      <c r="BO120" s="234"/>
      <c r="BP120" s="293">
        <v>8328988.6100000003</v>
      </c>
      <c r="BQ120" s="234"/>
      <c r="BR120" s="293">
        <v>14418676.789999999</v>
      </c>
      <c r="BS120" s="234"/>
      <c r="BT120" s="293">
        <v>17715151.129999999</v>
      </c>
      <c r="BU120" s="234"/>
      <c r="BV120" s="293">
        <v>9867488.8299999982</v>
      </c>
      <c r="BW120" s="234"/>
      <c r="BX120" s="293">
        <v>14120420.699999999</v>
      </c>
      <c r="BY120" s="234"/>
      <c r="BZ120" s="293">
        <v>13399262.340000002</v>
      </c>
      <c r="CA120" s="234"/>
      <c r="CB120" s="293">
        <v>14907452.300000003</v>
      </c>
      <c r="CC120" s="234"/>
      <c r="CD120" s="293">
        <v>19756267.039999995</v>
      </c>
      <c r="CE120" s="234"/>
      <c r="CF120" s="293">
        <v>14235770.660000002</v>
      </c>
      <c r="CG120" s="234"/>
      <c r="CH120" s="292">
        <v>16974516.809999999</v>
      </c>
      <c r="CI120" s="234"/>
      <c r="CJ120" s="234"/>
      <c r="CK120" s="292">
        <v>17932218.710000001</v>
      </c>
      <c r="CL120" s="234"/>
      <c r="CM120" s="234"/>
      <c r="CN120" s="292">
        <v>8056650</v>
      </c>
      <c r="CO120" s="234"/>
      <c r="CP120" s="234"/>
      <c r="CQ120" s="292">
        <v>13543221.320000002</v>
      </c>
      <c r="CR120" s="234"/>
      <c r="CS120" s="234"/>
      <c r="CT120" s="292">
        <v>16773284.240000002</v>
      </c>
      <c r="CU120" s="234"/>
      <c r="CV120" s="291"/>
      <c r="CW120" s="292">
        <v>14400075.4</v>
      </c>
      <c r="CX120" s="234"/>
      <c r="CY120" s="436"/>
      <c r="CZ120" s="292">
        <v>13580207.179999998</v>
      </c>
      <c r="DA120" s="234"/>
      <c r="DB120" s="436"/>
      <c r="DC120" s="292">
        <v>13476016.700000001</v>
      </c>
      <c r="DD120" s="234"/>
      <c r="DE120" s="436"/>
      <c r="DF120" s="292">
        <v>11670915.91</v>
      </c>
      <c r="DG120" s="234"/>
      <c r="DH120" s="436"/>
      <c r="DI120" s="292">
        <v>11934968.689999999</v>
      </c>
      <c r="DJ120" s="234"/>
      <c r="DK120" s="436"/>
      <c r="DL120" s="292">
        <v>10945453.260000002</v>
      </c>
      <c r="DM120" s="234"/>
      <c r="DN120" s="436"/>
      <c r="DO120" s="292">
        <v>12839362.209999997</v>
      </c>
      <c r="DP120" s="425"/>
      <c r="DQ120" s="580"/>
      <c r="DR120" s="292">
        <v>13775065.989999998</v>
      </c>
      <c r="DS120" s="425"/>
      <c r="DT120" s="580"/>
      <c r="DU120" s="292">
        <v>16969076.600000001</v>
      </c>
      <c r="DV120" s="425"/>
      <c r="DW120" s="580"/>
      <c r="DX120" s="427">
        <v>12745826.470000001</v>
      </c>
      <c r="DY120" s="580"/>
      <c r="DZ120" s="580"/>
      <c r="EA120" s="427">
        <v>20500404.570000004</v>
      </c>
      <c r="EB120" s="580"/>
      <c r="EC120" s="580"/>
      <c r="ED120" s="427">
        <v>24339037.680000007</v>
      </c>
      <c r="EE120" s="580"/>
      <c r="EF120" s="580"/>
      <c r="EG120" s="292">
        <v>29725838.850000001</v>
      </c>
      <c r="EH120" s="234"/>
      <c r="EI120" s="436"/>
      <c r="EJ120" s="292">
        <f>19149781.69+60000</f>
        <v>19209781.690000001</v>
      </c>
      <c r="EK120" s="234"/>
      <c r="EL120" s="436"/>
      <c r="EM120" s="292">
        <v>31106669.430000003</v>
      </c>
      <c r="EN120" s="234"/>
      <c r="EO120" s="436"/>
      <c r="EP120" s="292">
        <v>32345824.430000003</v>
      </c>
      <c r="EQ120" s="234"/>
      <c r="ER120" s="436"/>
      <c r="ES120" s="292">
        <v>29482489.639999993</v>
      </c>
      <c r="ET120" s="234"/>
      <c r="EU120" s="436"/>
      <c r="EV120" s="814">
        <v>28222624.490000006</v>
      </c>
      <c r="EW120" s="234"/>
      <c r="EX120" s="436"/>
      <c r="EY120" s="292">
        <v>33051135</v>
      </c>
      <c r="EZ120" s="425"/>
      <c r="FA120" s="580"/>
      <c r="FB120" s="292">
        <v>32579429.139999993</v>
      </c>
      <c r="FC120" s="425"/>
      <c r="FD120" s="580"/>
      <c r="FE120" s="292">
        <v>28978958.449999999</v>
      </c>
      <c r="FF120" s="425"/>
      <c r="FG120" s="580"/>
      <c r="FH120" s="427">
        <v>18410419.949999999</v>
      </c>
      <c r="FI120" s="580"/>
      <c r="FJ120" s="580"/>
      <c r="FK120" s="427">
        <v>17203084.229999997</v>
      </c>
      <c r="FL120" s="580"/>
      <c r="FM120" s="580"/>
      <c r="FN120" s="427">
        <v>15638841.98</v>
      </c>
      <c r="FO120" s="580"/>
      <c r="FP120" s="580"/>
      <c r="FQ120" s="427">
        <v>10216192.659999998</v>
      </c>
      <c r="FR120" s="580"/>
      <c r="FS120" s="580"/>
      <c r="FT120" s="427">
        <v>13003714.1</v>
      </c>
      <c r="FU120" s="580"/>
      <c r="FV120" s="580"/>
      <c r="FW120" s="427">
        <v>10612186.129999999</v>
      </c>
      <c r="FX120" s="580"/>
      <c r="FY120" s="580"/>
      <c r="FZ120" s="427">
        <v>8175128.1299999999</v>
      </c>
      <c r="GA120" s="580"/>
      <c r="GB120" s="580"/>
      <c r="GC120" s="427">
        <v>10635303.899999999</v>
      </c>
      <c r="GD120" s="580"/>
      <c r="GE120" s="427">
        <v>6372630.8500000006</v>
      </c>
      <c r="GF120" s="580"/>
      <c r="GG120" s="427">
        <v>6776983.5700000003</v>
      </c>
      <c r="GH120" s="580"/>
      <c r="GI120" s="427">
        <v>12115992.529999999</v>
      </c>
      <c r="GJ120" s="580"/>
      <c r="GK120" s="427">
        <v>5574666.8800000008</v>
      </c>
      <c r="GL120" s="580"/>
      <c r="GM120" s="427">
        <v>7079465.29</v>
      </c>
      <c r="GN120" s="580"/>
      <c r="GO120" s="821">
        <v>5500817.5300000003</v>
      </c>
      <c r="GP120" s="580"/>
      <c r="GQ120" s="821">
        <v>6027545.6799999997</v>
      </c>
      <c r="GR120" s="580"/>
      <c r="GS120" s="580"/>
      <c r="GT120" s="821">
        <v>5709843.5300000003</v>
      </c>
      <c r="GU120" s="580"/>
      <c r="GV120" s="580"/>
      <c r="GW120" s="821">
        <v>3673064.8099999996</v>
      </c>
      <c r="GX120" s="580"/>
      <c r="GY120" s="580"/>
      <c r="GZ120" s="427">
        <v>5761294.5999999996</v>
      </c>
      <c r="HA120" s="580"/>
      <c r="HB120" s="580"/>
      <c r="HC120" s="427">
        <v>4223577.6500000004</v>
      </c>
      <c r="HD120" s="580"/>
      <c r="HE120" s="580"/>
      <c r="HF120" s="427">
        <v>5684394.4699999997</v>
      </c>
      <c r="HG120" s="580"/>
      <c r="HH120" s="580"/>
      <c r="HI120" s="427">
        <v>4373961.0599999996</v>
      </c>
      <c r="HJ120" s="580"/>
      <c r="HK120" s="580"/>
      <c r="HL120" s="427">
        <v>4258829.3900000006</v>
      </c>
      <c r="HM120" s="580"/>
      <c r="HN120" s="580"/>
      <c r="HO120" s="427">
        <v>4415139.3699999992</v>
      </c>
      <c r="HP120" s="580"/>
      <c r="HQ120" s="627"/>
      <c r="HR120" s="427">
        <v>4415139.3699999992</v>
      </c>
      <c r="HS120" s="580"/>
      <c r="HT120" s="580"/>
      <c r="HU120" s="427">
        <v>4415139.3699999992</v>
      </c>
      <c r="HV120" s="580"/>
      <c r="HW120" s="580"/>
      <c r="HX120" s="580"/>
      <c r="HY120" s="580"/>
      <c r="HZ120" s="580"/>
      <c r="IA120" s="427">
        <v>24339037.680000007</v>
      </c>
    </row>
    <row r="121" spans="2:257" ht="14.85" hidden="1" customHeight="1">
      <c r="B121" s="242" t="s">
        <v>455</v>
      </c>
      <c r="C121" s="242"/>
      <c r="D121" s="292"/>
      <c r="E121" s="294"/>
      <c r="F121" s="292"/>
      <c r="G121" s="294"/>
      <c r="H121" s="292"/>
      <c r="I121" s="233"/>
      <c r="J121" s="292"/>
      <c r="K121" s="233"/>
      <c r="L121" s="292"/>
      <c r="M121" s="233"/>
      <c r="N121" s="292"/>
      <c r="O121" s="233"/>
      <c r="P121" s="292"/>
      <c r="Q121" s="233"/>
      <c r="R121" s="292"/>
      <c r="S121" s="233"/>
      <c r="T121" s="292"/>
      <c r="U121" s="233"/>
      <c r="V121" s="292"/>
      <c r="W121" s="233"/>
      <c r="X121" s="292"/>
      <c r="Y121" s="233"/>
      <c r="Z121" s="292"/>
      <c r="AA121" s="233"/>
      <c r="AB121" s="292"/>
      <c r="AC121" s="233"/>
      <c r="AD121" s="292"/>
      <c r="AE121" s="233"/>
      <c r="AF121" s="292"/>
      <c r="AG121" s="233"/>
      <c r="AH121" s="292"/>
      <c r="AI121" s="233"/>
      <c r="AJ121" s="292"/>
      <c r="AK121" s="233"/>
      <c r="AL121" s="292"/>
      <c r="AM121" s="233"/>
      <c r="AN121" s="292"/>
      <c r="AO121" s="233"/>
      <c r="AP121" s="292"/>
      <c r="AQ121" s="233"/>
      <c r="AR121" s="292"/>
      <c r="AS121" s="233"/>
      <c r="AT121" s="292"/>
      <c r="AU121" s="233"/>
      <c r="AV121" s="292"/>
      <c r="AW121" s="233"/>
      <c r="AX121" s="292"/>
      <c r="AY121" s="233"/>
      <c r="AZ121" s="292"/>
      <c r="BA121" s="233"/>
      <c r="BB121" s="292"/>
      <c r="BC121" s="233"/>
      <c r="BD121" s="292"/>
      <c r="BE121" s="233"/>
      <c r="BF121" s="293"/>
      <c r="BG121" s="234"/>
      <c r="BH121" s="293"/>
      <c r="BI121" s="234"/>
      <c r="BJ121" s="293"/>
      <c r="BK121" s="234"/>
      <c r="BL121" s="293"/>
      <c r="BM121" s="234"/>
      <c r="BN121" s="293"/>
      <c r="BO121" s="234"/>
      <c r="BP121" s="293"/>
      <c r="BQ121" s="234"/>
      <c r="BR121" s="293"/>
      <c r="BS121" s="234"/>
      <c r="BT121" s="293"/>
      <c r="BU121" s="234"/>
      <c r="BV121" s="293"/>
      <c r="BW121" s="234"/>
      <c r="BX121" s="293"/>
      <c r="BY121" s="234"/>
      <c r="BZ121" s="293"/>
      <c r="CA121" s="234"/>
      <c r="CB121" s="293"/>
      <c r="CC121" s="234"/>
      <c r="CD121" s="293"/>
      <c r="CE121" s="234"/>
      <c r="CF121" s="293"/>
      <c r="CG121" s="234"/>
      <c r="CH121" s="292"/>
      <c r="CI121" s="234"/>
      <c r="CJ121" s="234"/>
      <c r="CK121" s="292"/>
      <c r="CL121" s="234"/>
      <c r="CM121" s="234"/>
      <c r="CN121" s="292"/>
      <c r="CO121" s="234"/>
      <c r="CP121" s="234"/>
      <c r="CQ121" s="292"/>
      <c r="CR121" s="234"/>
      <c r="CS121" s="234"/>
      <c r="CT121" s="292"/>
      <c r="CU121" s="234"/>
      <c r="CV121" s="291"/>
      <c r="CW121" s="292"/>
      <c r="CX121" s="234"/>
      <c r="CY121" s="436"/>
      <c r="CZ121" s="292"/>
      <c r="DA121" s="234"/>
      <c r="DB121" s="436"/>
      <c r="DC121" s="292"/>
      <c r="DD121" s="234"/>
      <c r="DE121" s="436"/>
      <c r="DF121" s="292"/>
      <c r="DG121" s="234"/>
      <c r="DH121" s="436"/>
      <c r="DI121" s="292"/>
      <c r="DJ121" s="234"/>
      <c r="DK121" s="436"/>
      <c r="DL121" s="292"/>
      <c r="DM121" s="234"/>
      <c r="DN121" s="436"/>
      <c r="DO121" s="292"/>
      <c r="DP121" s="425"/>
      <c r="DQ121" s="580"/>
      <c r="DR121" s="292"/>
      <c r="DS121" s="425"/>
      <c r="DT121" s="580"/>
      <c r="DU121" s="292"/>
      <c r="DV121" s="425"/>
      <c r="DW121" s="580"/>
      <c r="DX121" s="427"/>
      <c r="DY121" s="580"/>
      <c r="DZ121" s="580"/>
      <c r="EA121" s="427"/>
      <c r="EB121" s="580"/>
      <c r="EC121" s="580"/>
      <c r="ED121" s="427"/>
      <c r="EE121" s="580"/>
      <c r="EF121" s="580"/>
      <c r="EG121" s="292"/>
      <c r="EH121" s="234"/>
      <c r="EI121" s="436"/>
      <c r="EJ121" s="292"/>
      <c r="EK121" s="234"/>
      <c r="EL121" s="436"/>
      <c r="EM121" s="292"/>
      <c r="EN121" s="234"/>
      <c r="EO121" s="436"/>
      <c r="EP121" s="292"/>
      <c r="EQ121" s="234"/>
      <c r="ER121" s="436"/>
      <c r="ES121" s="292"/>
      <c r="ET121" s="234"/>
      <c r="EU121" s="436"/>
      <c r="EV121" s="814"/>
      <c r="EW121" s="234"/>
      <c r="EX121" s="436"/>
      <c r="EY121" s="292"/>
      <c r="EZ121" s="425"/>
      <c r="FA121" s="580"/>
      <c r="FB121" s="292"/>
      <c r="FC121" s="425"/>
      <c r="FD121" s="580"/>
      <c r="FE121" s="292"/>
      <c r="FF121" s="425"/>
      <c r="FG121" s="580"/>
      <c r="FH121" s="427"/>
      <c r="FI121" s="580"/>
      <c r="FJ121" s="580"/>
      <c r="FK121" s="427"/>
      <c r="FL121" s="580"/>
      <c r="FM121" s="580"/>
      <c r="FN121" s="427"/>
      <c r="FO121" s="580"/>
      <c r="FP121" s="580"/>
      <c r="FQ121" s="427"/>
      <c r="FR121" s="580"/>
      <c r="FS121" s="580"/>
      <c r="FT121" s="427"/>
      <c r="FU121" s="580"/>
      <c r="FV121" s="580"/>
      <c r="FW121" s="427"/>
      <c r="FX121" s="580"/>
      <c r="FY121" s="580"/>
      <c r="FZ121" s="427"/>
      <c r="GA121" s="580"/>
      <c r="GB121" s="580"/>
      <c r="GC121" s="427"/>
      <c r="GD121" s="580"/>
      <c r="GE121" s="427"/>
      <c r="GF121" s="580"/>
      <c r="GG121" s="427"/>
      <c r="GH121" s="580"/>
      <c r="GI121" s="427"/>
      <c r="GJ121" s="580"/>
      <c r="GK121" s="427"/>
      <c r="GL121" s="580"/>
      <c r="GM121" s="427">
        <v>0</v>
      </c>
      <c r="GN121" s="580"/>
      <c r="GO121" s="821"/>
      <c r="GP121" s="580"/>
      <c r="GQ121" s="821"/>
      <c r="GR121" s="580"/>
      <c r="GS121" s="580"/>
      <c r="GT121" s="821"/>
      <c r="GU121" s="580"/>
      <c r="GV121" s="580"/>
      <c r="GW121" s="821"/>
      <c r="GX121" s="580"/>
      <c r="GY121" s="580"/>
      <c r="GZ121" s="427"/>
      <c r="HA121" s="580"/>
      <c r="HB121" s="580"/>
      <c r="HC121" s="427"/>
      <c r="HD121" s="580"/>
      <c r="HE121" s="580"/>
      <c r="HF121" s="427"/>
      <c r="HG121" s="580"/>
      <c r="HH121" s="580"/>
      <c r="HI121" s="427"/>
      <c r="HJ121" s="580"/>
      <c r="HK121" s="580"/>
      <c r="HL121" s="427"/>
      <c r="HM121" s="580"/>
      <c r="HN121" s="580"/>
      <c r="HO121" s="427"/>
      <c r="HP121" s="580"/>
      <c r="HQ121" s="627"/>
      <c r="HR121" s="427"/>
      <c r="HS121" s="580"/>
      <c r="HT121" s="580"/>
      <c r="HU121" s="427"/>
      <c r="HV121" s="580"/>
      <c r="HW121" s="580"/>
      <c r="HX121" s="580"/>
      <c r="HY121" s="580"/>
      <c r="HZ121" s="580"/>
      <c r="IA121" s="427"/>
    </row>
    <row r="122" spans="2:257" ht="14.85" hidden="1" customHeight="1">
      <c r="B122" s="242" t="s">
        <v>456</v>
      </c>
      <c r="C122" s="242"/>
      <c r="D122" s="292"/>
      <c r="E122" s="294"/>
      <c r="F122" s="292"/>
      <c r="G122" s="294"/>
      <c r="H122" s="292"/>
      <c r="I122" s="233"/>
      <c r="J122" s="292"/>
      <c r="K122" s="233"/>
      <c r="L122" s="292"/>
      <c r="M122" s="233"/>
      <c r="N122" s="292"/>
      <c r="O122" s="233"/>
      <c r="P122" s="292"/>
      <c r="Q122" s="233"/>
      <c r="R122" s="292"/>
      <c r="S122" s="233"/>
      <c r="T122" s="292"/>
      <c r="U122" s="233"/>
      <c r="V122" s="292"/>
      <c r="W122" s="233"/>
      <c r="X122" s="292"/>
      <c r="Y122" s="233"/>
      <c r="Z122" s="292"/>
      <c r="AA122" s="233"/>
      <c r="AB122" s="292"/>
      <c r="AC122" s="233"/>
      <c r="AD122" s="292"/>
      <c r="AE122" s="233"/>
      <c r="AF122" s="292"/>
      <c r="AG122" s="233"/>
      <c r="AH122" s="292"/>
      <c r="AI122" s="233"/>
      <c r="AJ122" s="292"/>
      <c r="AK122" s="233"/>
      <c r="AL122" s="292"/>
      <c r="AM122" s="233"/>
      <c r="AN122" s="292"/>
      <c r="AO122" s="233"/>
      <c r="AP122" s="292"/>
      <c r="AQ122" s="233"/>
      <c r="AR122" s="292"/>
      <c r="AS122" s="233"/>
      <c r="AT122" s="292"/>
      <c r="AU122" s="233"/>
      <c r="AV122" s="292"/>
      <c r="AW122" s="233"/>
      <c r="AX122" s="292"/>
      <c r="AY122" s="233"/>
      <c r="AZ122" s="292"/>
      <c r="BA122" s="233"/>
      <c r="BB122" s="292"/>
      <c r="BC122" s="233"/>
      <c r="BD122" s="292"/>
      <c r="BE122" s="233"/>
      <c r="BF122" s="293"/>
      <c r="BG122" s="234"/>
      <c r="BH122" s="293"/>
      <c r="BI122" s="234"/>
      <c r="BJ122" s="293"/>
      <c r="BK122" s="234"/>
      <c r="BL122" s="293"/>
      <c r="BM122" s="234"/>
      <c r="BN122" s="293"/>
      <c r="BO122" s="234"/>
      <c r="BP122" s="293"/>
      <c r="BQ122" s="234"/>
      <c r="BR122" s="293"/>
      <c r="BS122" s="234"/>
      <c r="BT122" s="293"/>
      <c r="BU122" s="234"/>
      <c r="BV122" s="293"/>
      <c r="BW122" s="234"/>
      <c r="BX122" s="293"/>
      <c r="BY122" s="234"/>
      <c r="BZ122" s="293"/>
      <c r="CA122" s="234"/>
      <c r="CB122" s="293"/>
      <c r="CC122" s="234"/>
      <c r="CD122" s="293"/>
      <c r="CE122" s="234"/>
      <c r="CF122" s="293"/>
      <c r="CG122" s="234"/>
      <c r="CH122" s="292"/>
      <c r="CI122" s="234"/>
      <c r="CJ122" s="234"/>
      <c r="CK122" s="292"/>
      <c r="CL122" s="234"/>
      <c r="CM122" s="234"/>
      <c r="CN122" s="292"/>
      <c r="CO122" s="234"/>
      <c r="CP122" s="234"/>
      <c r="CQ122" s="292"/>
      <c r="CR122" s="234"/>
      <c r="CS122" s="234"/>
      <c r="CT122" s="292"/>
      <c r="CU122" s="234"/>
      <c r="CV122" s="291"/>
      <c r="CW122" s="292"/>
      <c r="CX122" s="234"/>
      <c r="CY122" s="436"/>
      <c r="CZ122" s="292"/>
      <c r="DA122" s="234"/>
      <c r="DB122" s="436"/>
      <c r="DC122" s="292"/>
      <c r="DD122" s="234"/>
      <c r="DE122" s="436"/>
      <c r="DF122" s="292"/>
      <c r="DG122" s="234"/>
      <c r="DH122" s="436"/>
      <c r="DI122" s="292"/>
      <c r="DJ122" s="234"/>
      <c r="DK122" s="436"/>
      <c r="DL122" s="292"/>
      <c r="DM122" s="234"/>
      <c r="DN122" s="436"/>
      <c r="DO122" s="292"/>
      <c r="DP122" s="425"/>
      <c r="DQ122" s="580"/>
      <c r="DR122" s="292"/>
      <c r="DS122" s="425"/>
      <c r="DT122" s="580"/>
      <c r="DU122" s="292"/>
      <c r="DV122" s="425"/>
      <c r="DW122" s="580"/>
      <c r="DX122" s="427"/>
      <c r="DY122" s="580"/>
      <c r="DZ122" s="580"/>
      <c r="EA122" s="427"/>
      <c r="EB122" s="580"/>
      <c r="EC122" s="580"/>
      <c r="ED122" s="427"/>
      <c r="EE122" s="580"/>
      <c r="EF122" s="580"/>
      <c r="EG122" s="292"/>
      <c r="EH122" s="234"/>
      <c r="EI122" s="436"/>
      <c r="EJ122" s="292"/>
      <c r="EK122" s="234"/>
      <c r="EL122" s="436"/>
      <c r="EM122" s="292"/>
      <c r="EN122" s="234"/>
      <c r="EO122" s="436"/>
      <c r="EP122" s="292"/>
      <c r="EQ122" s="234"/>
      <c r="ER122" s="436"/>
      <c r="ES122" s="292"/>
      <c r="ET122" s="234"/>
      <c r="EU122" s="436"/>
      <c r="EV122" s="814"/>
      <c r="EW122" s="234"/>
      <c r="EX122" s="436"/>
      <c r="EY122" s="292"/>
      <c r="EZ122" s="425"/>
      <c r="FA122" s="580"/>
      <c r="FB122" s="292"/>
      <c r="FC122" s="425"/>
      <c r="FD122" s="580"/>
      <c r="FE122" s="292"/>
      <c r="FF122" s="425"/>
      <c r="FG122" s="580"/>
      <c r="FH122" s="427"/>
      <c r="FI122" s="580"/>
      <c r="FJ122" s="580"/>
      <c r="FK122" s="427"/>
      <c r="FL122" s="580"/>
      <c r="FM122" s="580"/>
      <c r="FN122" s="427"/>
      <c r="FO122" s="580"/>
      <c r="FP122" s="580"/>
      <c r="FQ122" s="427"/>
      <c r="FR122" s="580"/>
      <c r="FS122" s="580"/>
      <c r="FT122" s="427"/>
      <c r="FU122" s="580"/>
      <c r="FV122" s="580"/>
      <c r="FW122" s="427"/>
      <c r="FX122" s="580"/>
      <c r="FY122" s="580"/>
      <c r="FZ122" s="427"/>
      <c r="GA122" s="580"/>
      <c r="GB122" s="580"/>
      <c r="GC122" s="427"/>
      <c r="GD122" s="580"/>
      <c r="GE122" s="427"/>
      <c r="GF122" s="580"/>
      <c r="GG122" s="427"/>
      <c r="GH122" s="580"/>
      <c r="GI122" s="427"/>
      <c r="GJ122" s="580"/>
      <c r="GK122" s="427"/>
      <c r="GL122" s="580"/>
      <c r="GM122" s="427">
        <v>0</v>
      </c>
      <c r="GN122" s="580"/>
      <c r="GO122" s="821"/>
      <c r="GP122" s="580"/>
      <c r="GQ122" s="821"/>
      <c r="GR122" s="580"/>
      <c r="GS122" s="580"/>
      <c r="GT122" s="821"/>
      <c r="GU122" s="580"/>
      <c r="GV122" s="580"/>
      <c r="GW122" s="821"/>
      <c r="GX122" s="580"/>
      <c r="GY122" s="580"/>
      <c r="GZ122" s="427"/>
      <c r="HA122" s="580"/>
      <c r="HB122" s="580"/>
      <c r="HC122" s="427"/>
      <c r="HD122" s="580"/>
      <c r="HE122" s="580"/>
      <c r="HF122" s="427"/>
      <c r="HG122" s="580"/>
      <c r="HH122" s="580"/>
      <c r="HI122" s="427"/>
      <c r="HJ122" s="580"/>
      <c r="HK122" s="580"/>
      <c r="HL122" s="427"/>
      <c r="HM122" s="580"/>
      <c r="HN122" s="580"/>
      <c r="HO122" s="427"/>
      <c r="HP122" s="580"/>
      <c r="HQ122" s="627"/>
      <c r="HR122" s="427"/>
      <c r="HS122" s="580"/>
      <c r="HT122" s="580"/>
      <c r="HU122" s="427"/>
      <c r="HV122" s="580"/>
      <c r="HW122" s="580"/>
      <c r="HX122" s="580"/>
      <c r="HY122" s="580"/>
      <c r="HZ122" s="580"/>
      <c r="IA122" s="427"/>
    </row>
    <row r="123" spans="2:257" ht="14.25" customHeight="1">
      <c r="B123" s="242" t="s">
        <v>870</v>
      </c>
      <c r="C123" s="242"/>
      <c r="D123" s="295">
        <v>1050000</v>
      </c>
      <c r="E123" s="294"/>
      <c r="F123" s="295">
        <v>590000</v>
      </c>
      <c r="G123" s="294"/>
      <c r="H123" s="295">
        <v>1480000</v>
      </c>
      <c r="I123" s="233"/>
      <c r="J123" s="295">
        <v>995000</v>
      </c>
      <c r="K123" s="233"/>
      <c r="L123" s="295">
        <v>1840000</v>
      </c>
      <c r="M123" s="233"/>
      <c r="N123" s="295">
        <v>2500000</v>
      </c>
      <c r="O123" s="233"/>
      <c r="P123" s="295" t="e">
        <f>+#REF!</f>
        <v>#REF!</v>
      </c>
      <c r="Q123" s="233"/>
      <c r="R123" s="295" t="e">
        <f>+#REF!</f>
        <v>#REF!</v>
      </c>
      <c r="S123" s="233"/>
      <c r="T123" s="295" t="e">
        <f>+#REF!</f>
        <v>#REF!</v>
      </c>
      <c r="U123" s="233"/>
      <c r="V123" s="295" t="e">
        <f>+#REF!</f>
        <v>#REF!</v>
      </c>
      <c r="W123" s="233"/>
      <c r="X123" s="295" t="e">
        <f>+#REF!</f>
        <v>#REF!</v>
      </c>
      <c r="Y123" s="233"/>
      <c r="Z123" s="295" t="e">
        <f>+#REF!</f>
        <v>#REF!</v>
      </c>
      <c r="AA123" s="233"/>
      <c r="AB123" s="295" t="e">
        <f>+#REF!</f>
        <v>#REF!</v>
      </c>
      <c r="AC123" s="233"/>
      <c r="AD123" s="295" t="e">
        <f>+#REF!</f>
        <v>#REF!</v>
      </c>
      <c r="AE123" s="233"/>
      <c r="AF123" s="295" t="e">
        <f>+#REF!</f>
        <v>#REF!</v>
      </c>
      <c r="AG123" s="233"/>
      <c r="AH123" s="295">
        <v>3712638.95</v>
      </c>
      <c r="AI123" s="233"/>
      <c r="AJ123" s="295">
        <v>2833334.66</v>
      </c>
      <c r="AK123" s="233"/>
      <c r="AL123" s="295" t="e">
        <f>+#REF!</f>
        <v>#REF!</v>
      </c>
      <c r="AM123" s="233"/>
      <c r="AN123" s="295" t="e">
        <f>+#REF!</f>
        <v>#REF!</v>
      </c>
      <c r="AO123" s="233"/>
      <c r="AP123" s="295" t="e">
        <f>+#REF!</f>
        <v>#REF!</v>
      </c>
      <c r="AQ123" s="233"/>
      <c r="AR123" s="295" t="e">
        <f>+#REF!</f>
        <v>#REF!</v>
      </c>
      <c r="AS123" s="233"/>
      <c r="AT123" s="295">
        <v>2402027.77</v>
      </c>
      <c r="AU123" s="233"/>
      <c r="AV123" s="295" t="e">
        <f>+#REF!</f>
        <v>#REF!</v>
      </c>
      <c r="AW123" s="233"/>
      <c r="AX123" s="295" t="e">
        <f>+#REF!</f>
        <v>#REF!</v>
      </c>
      <c r="AY123" s="233"/>
      <c r="AZ123" s="295" t="e">
        <f>+#REF!</f>
        <v>#REF!</v>
      </c>
      <c r="BA123" s="233"/>
      <c r="BB123" s="295" t="e">
        <f>+#REF!</f>
        <v>#REF!</v>
      </c>
      <c r="BC123" s="233"/>
      <c r="BD123" s="295" t="e">
        <f>#REF!</f>
        <v>#REF!</v>
      </c>
      <c r="BE123" s="233"/>
      <c r="BF123" s="296" t="e">
        <f>#REF!</f>
        <v>#REF!</v>
      </c>
      <c r="BG123" s="234"/>
      <c r="BH123" s="296">
        <v>1850000</v>
      </c>
      <c r="BI123" s="234"/>
      <c r="BJ123" s="296">
        <v>100000</v>
      </c>
      <c r="BK123" s="234"/>
      <c r="BL123" s="296">
        <v>1656200.06</v>
      </c>
      <c r="BM123" s="234"/>
      <c r="BN123" s="296">
        <v>100000</v>
      </c>
      <c r="BO123" s="234"/>
      <c r="BP123" s="293">
        <v>1148333.3900000001</v>
      </c>
      <c r="BQ123" s="234"/>
      <c r="BR123" s="293">
        <v>5065750</v>
      </c>
      <c r="BS123" s="234"/>
      <c r="BT123" s="293">
        <v>7160320.8400000008</v>
      </c>
      <c r="BU123" s="234"/>
      <c r="BV123" s="293">
        <v>3760295.76</v>
      </c>
      <c r="BW123" s="234"/>
      <c r="BX123" s="293">
        <v>3667222.24</v>
      </c>
      <c r="BY123" s="234"/>
      <c r="BZ123" s="293">
        <v>2428825.0300000003</v>
      </c>
      <c r="CA123" s="234"/>
      <c r="CB123" s="293">
        <v>1820777.8</v>
      </c>
      <c r="CC123" s="234"/>
      <c r="CD123" s="293">
        <v>4597886.3600000003</v>
      </c>
      <c r="CE123" s="234"/>
      <c r="CF123" s="293">
        <v>4287300.09</v>
      </c>
      <c r="CG123" s="234"/>
      <c r="CH123" s="292">
        <v>6474473.21</v>
      </c>
      <c r="CI123" s="234"/>
      <c r="CJ123" s="234"/>
      <c r="CK123" s="292">
        <v>7515014.6999999993</v>
      </c>
      <c r="CL123" s="234"/>
      <c r="CM123" s="234"/>
      <c r="CN123" s="292">
        <v>1203800</v>
      </c>
      <c r="CO123" s="234"/>
      <c r="CP123" s="234"/>
      <c r="CQ123" s="292">
        <v>7472916.5899999999</v>
      </c>
      <c r="CR123" s="234"/>
      <c r="CS123" s="234"/>
      <c r="CT123" s="292">
        <v>8019386.5</v>
      </c>
      <c r="CU123" s="234"/>
      <c r="CV123" s="291"/>
      <c r="CW123" s="292">
        <v>6026223.8999999994</v>
      </c>
      <c r="CX123" s="234"/>
      <c r="CY123" s="436"/>
      <c r="CZ123" s="292">
        <v>6170583.3300000001</v>
      </c>
      <c r="DA123" s="234"/>
      <c r="DB123" s="436"/>
      <c r="DC123" s="292">
        <v>5925344.4400000004</v>
      </c>
      <c r="DD123" s="234"/>
      <c r="DE123" s="436"/>
      <c r="DF123" s="292">
        <v>10639966.619999999</v>
      </c>
      <c r="DG123" s="234"/>
      <c r="DH123" s="436"/>
      <c r="DI123" s="292">
        <v>7110083.3799999999</v>
      </c>
      <c r="DJ123" s="234"/>
      <c r="DK123" s="436"/>
      <c r="DL123" s="292">
        <v>6580888.9499999993</v>
      </c>
      <c r="DM123" s="234"/>
      <c r="DN123" s="436"/>
      <c r="DO123" s="292">
        <v>11831057.310000001</v>
      </c>
      <c r="DP123" s="425"/>
      <c r="DQ123" s="580"/>
      <c r="DR123" s="292">
        <v>7252499.96</v>
      </c>
      <c r="DS123" s="425"/>
      <c r="DT123" s="580"/>
      <c r="DU123" s="292">
        <v>4019519.11</v>
      </c>
      <c r="DV123" s="425"/>
      <c r="DW123" s="580"/>
      <c r="DX123" s="427">
        <v>3652250</v>
      </c>
      <c r="DY123" s="580"/>
      <c r="DZ123" s="580"/>
      <c r="EA123" s="427">
        <v>5433333.3799999999</v>
      </c>
      <c r="EB123" s="580"/>
      <c r="EC123" s="580"/>
      <c r="ED123" s="427">
        <v>8043722.1799999997</v>
      </c>
      <c r="EE123" s="580"/>
      <c r="EF123" s="580"/>
      <c r="EG123" s="292">
        <v>20167774.010000002</v>
      </c>
      <c r="EH123" s="234"/>
      <c r="EI123" s="436"/>
      <c r="EJ123" s="292">
        <v>5104092.45</v>
      </c>
      <c r="EK123" s="234"/>
      <c r="EL123" s="436"/>
      <c r="EM123" s="292">
        <v>16068429.489999998</v>
      </c>
      <c r="EN123" s="234"/>
      <c r="EO123" s="436"/>
      <c r="EP123" s="292">
        <v>9017941.6199999992</v>
      </c>
      <c r="EQ123" s="234"/>
      <c r="ER123" s="436"/>
      <c r="ES123" s="292">
        <v>16850150.060000002</v>
      </c>
      <c r="ET123" s="234"/>
      <c r="EU123" s="436"/>
      <c r="EV123" s="814">
        <v>31470551.150000002</v>
      </c>
      <c r="EW123" s="234"/>
      <c r="EX123" s="436"/>
      <c r="EY123" s="292">
        <v>14287071.179999998</v>
      </c>
      <c r="EZ123" s="425"/>
      <c r="FA123" s="580"/>
      <c r="FB123" s="292">
        <v>14907650</v>
      </c>
      <c r="FC123" s="425"/>
      <c r="FD123" s="580"/>
      <c r="FE123" s="292">
        <v>31772668.609999999</v>
      </c>
      <c r="FF123" s="425"/>
      <c r="FG123" s="580"/>
      <c r="FH123" s="427">
        <v>25437730.270000003</v>
      </c>
      <c r="FI123" s="580"/>
      <c r="FJ123" s="580"/>
      <c r="FK123" s="427">
        <v>19275421.640000004</v>
      </c>
      <c r="FL123" s="580"/>
      <c r="FM123" s="580"/>
      <c r="FN123" s="427">
        <v>22350115.449999999</v>
      </c>
      <c r="FO123" s="580"/>
      <c r="FP123" s="580"/>
      <c r="FQ123" s="427">
        <v>11260250.539999999</v>
      </c>
      <c r="FR123" s="580"/>
      <c r="FS123" s="580"/>
      <c r="FT123" s="427">
        <v>12693333.41</v>
      </c>
      <c r="FU123" s="580"/>
      <c r="FV123" s="580"/>
      <c r="FW123" s="427">
        <v>14831622.220000001</v>
      </c>
      <c r="FX123" s="580"/>
      <c r="FY123" s="580"/>
      <c r="FZ123" s="427">
        <v>12276600.08</v>
      </c>
      <c r="GA123" s="580"/>
      <c r="GB123" s="580"/>
      <c r="GC123" s="427">
        <v>12889767.960000001</v>
      </c>
      <c r="GD123" s="580"/>
      <c r="GE123" s="427">
        <v>6635000</v>
      </c>
      <c r="GF123" s="580"/>
      <c r="GG123" s="427">
        <v>5558760.4699999997</v>
      </c>
      <c r="GH123" s="580"/>
      <c r="GI123" s="427">
        <v>8601616.1300000008</v>
      </c>
      <c r="GJ123" s="580"/>
      <c r="GK123" s="427">
        <v>7566250.0300000003</v>
      </c>
      <c r="GL123" s="580"/>
      <c r="GM123" s="427">
        <v>4755000</v>
      </c>
      <c r="GN123" s="580"/>
      <c r="GO123" s="821">
        <v>6453541.6600000001</v>
      </c>
      <c r="GP123" s="580"/>
      <c r="GQ123" s="821">
        <v>6749448.3600000003</v>
      </c>
      <c r="GR123" s="580"/>
      <c r="GS123" s="580"/>
      <c r="GT123" s="821">
        <v>6607500.0599999996</v>
      </c>
      <c r="GU123" s="580"/>
      <c r="GV123" s="580"/>
      <c r="GW123" s="821">
        <v>5016628.12</v>
      </c>
      <c r="GX123" s="580"/>
      <c r="GY123" s="580"/>
      <c r="GZ123" s="427">
        <v>12910350.01</v>
      </c>
      <c r="HA123" s="580"/>
      <c r="HB123" s="580"/>
      <c r="HC123" s="427">
        <v>6826849.9699999997</v>
      </c>
      <c r="HD123" s="580"/>
      <c r="HE123" s="580"/>
      <c r="HF123" s="427">
        <v>11154388.77</v>
      </c>
      <c r="HG123" s="580"/>
      <c r="HH123" s="580"/>
      <c r="HI123" s="427">
        <v>11392566.73</v>
      </c>
      <c r="HJ123" s="580"/>
      <c r="HK123" s="580"/>
      <c r="HL123" s="427">
        <v>7165375.4500000002</v>
      </c>
      <c r="HM123" s="580"/>
      <c r="HN123" s="580"/>
      <c r="HO123" s="427">
        <v>7966461.1600000001</v>
      </c>
      <c r="HP123" s="580"/>
      <c r="HQ123" s="627"/>
      <c r="HR123" s="427">
        <v>7966461.1600000001</v>
      </c>
      <c r="HS123" s="580"/>
      <c r="HT123" s="580"/>
      <c r="HU123" s="427">
        <v>7966461.1600000001</v>
      </c>
      <c r="HV123" s="580"/>
      <c r="HW123" s="580"/>
      <c r="HX123" s="580"/>
      <c r="HY123" s="580"/>
      <c r="HZ123" s="580"/>
      <c r="IA123" s="427">
        <v>8043722.1799999997</v>
      </c>
    </row>
    <row r="124" spans="2:257" ht="14.25" customHeight="1">
      <c r="B124" s="324" t="s">
        <v>457</v>
      </c>
      <c r="C124" s="324"/>
      <c r="D124" s="297"/>
      <c r="E124" s="330"/>
      <c r="F124" s="297"/>
      <c r="G124" s="330"/>
      <c r="H124" s="297"/>
      <c r="I124" s="233"/>
      <c r="J124" s="297"/>
      <c r="K124" s="233"/>
      <c r="L124" s="297"/>
      <c r="M124" s="233"/>
      <c r="N124" s="297"/>
      <c r="O124" s="233"/>
      <c r="P124" s="297"/>
      <c r="Q124" s="233"/>
      <c r="R124" s="297"/>
      <c r="S124" s="233"/>
      <c r="T124" s="297"/>
      <c r="U124" s="233"/>
      <c r="V124" s="297"/>
      <c r="W124" s="233"/>
      <c r="X124" s="297"/>
      <c r="Y124" s="233"/>
      <c r="Z124" s="297"/>
      <c r="AA124" s="233"/>
      <c r="AB124" s="297"/>
      <c r="AC124" s="233"/>
      <c r="AD124" s="297"/>
      <c r="AE124" s="233"/>
      <c r="AF124" s="297"/>
      <c r="AG124" s="233"/>
      <c r="AH124" s="297"/>
      <c r="AI124" s="233"/>
      <c r="AJ124" s="297"/>
      <c r="AK124" s="233"/>
      <c r="AL124" s="297"/>
      <c r="AM124" s="233"/>
      <c r="AN124" s="297"/>
      <c r="AO124" s="233"/>
      <c r="AP124" s="297"/>
      <c r="AQ124" s="233"/>
      <c r="AR124" s="297"/>
      <c r="AS124" s="233"/>
      <c r="AT124" s="297"/>
      <c r="AU124" s="233"/>
      <c r="AV124" s="297"/>
      <c r="AW124" s="233"/>
      <c r="AX124" s="297"/>
      <c r="AY124" s="233"/>
      <c r="AZ124" s="297"/>
      <c r="BA124" s="233"/>
      <c r="BB124" s="297"/>
      <c r="BC124" s="233"/>
      <c r="BD124" s="297"/>
      <c r="BE124" s="233"/>
      <c r="BF124" s="297"/>
      <c r="BG124" s="233"/>
      <c r="BH124" s="297"/>
      <c r="BI124" s="233"/>
      <c r="BJ124" s="297"/>
      <c r="BK124" s="233"/>
      <c r="BL124" s="297"/>
      <c r="BM124" s="233"/>
      <c r="BN124" s="297"/>
      <c r="BO124" s="233"/>
      <c r="BP124" s="331"/>
      <c r="BQ124" s="233"/>
      <c r="BR124" s="331"/>
      <c r="BS124" s="233"/>
      <c r="BT124" s="331">
        <v>1690000</v>
      </c>
      <c r="BU124" s="233"/>
      <c r="BV124" s="331">
        <v>1550000</v>
      </c>
      <c r="BW124" s="233"/>
      <c r="BX124" s="331">
        <v>6112500</v>
      </c>
      <c r="BY124" s="233"/>
      <c r="BZ124" s="331">
        <v>5307177.8100000005</v>
      </c>
      <c r="CA124" s="233"/>
      <c r="CB124" s="331">
        <v>4537249.16</v>
      </c>
      <c r="CC124" s="233"/>
      <c r="CD124" s="331">
        <v>4926500</v>
      </c>
      <c r="CE124" s="233"/>
      <c r="CF124" s="331">
        <v>9665272.8999999985</v>
      </c>
      <c r="CG124" s="233"/>
      <c r="CH124" s="331">
        <v>9878942.6799999997</v>
      </c>
      <c r="CI124" s="233"/>
      <c r="CJ124" s="233"/>
      <c r="CK124" s="331">
        <v>15861854.33</v>
      </c>
      <c r="CL124" s="233"/>
      <c r="CM124" s="233"/>
      <c r="CN124" s="331">
        <v>11736231.709999999</v>
      </c>
      <c r="CO124" s="233"/>
      <c r="CP124" s="233"/>
      <c r="CQ124" s="331">
        <v>17222954.430000003</v>
      </c>
      <c r="CR124" s="233"/>
      <c r="CS124" s="233"/>
      <c r="CT124" s="331">
        <v>20228620.869999997</v>
      </c>
      <c r="CU124" s="233"/>
      <c r="CV124" s="291"/>
      <c r="CW124" s="331">
        <v>24391087.829999998</v>
      </c>
      <c r="CX124" s="233"/>
      <c r="CY124" s="233"/>
      <c r="CZ124" s="331">
        <v>19729024.460000001</v>
      </c>
      <c r="DA124" s="233"/>
      <c r="DB124" s="233"/>
      <c r="DC124" s="331">
        <v>25832527.309999999</v>
      </c>
      <c r="DD124" s="233"/>
      <c r="DE124" s="233"/>
      <c r="DF124" s="331">
        <v>30833090.100000001</v>
      </c>
      <c r="DG124" s="233"/>
      <c r="DH124" s="233"/>
      <c r="DI124" s="331">
        <v>27303237.679999996</v>
      </c>
      <c r="DJ124" s="233"/>
      <c r="DK124" s="233"/>
      <c r="DL124" s="331">
        <f>24066284.31-200000</f>
        <v>23866284.309999999</v>
      </c>
      <c r="DM124" s="233"/>
      <c r="DN124" s="233"/>
      <c r="DO124" s="331">
        <v>26188065.09999999</v>
      </c>
      <c r="DP124" s="425"/>
      <c r="DQ124" s="580"/>
      <c r="DR124" s="331">
        <v>29132642.609999996</v>
      </c>
      <c r="DS124" s="425"/>
      <c r="DT124" s="580"/>
      <c r="DU124" s="292">
        <f>39417214.52+2601</f>
        <v>39419815.520000003</v>
      </c>
      <c r="DV124" s="425"/>
      <c r="DW124" s="580"/>
      <c r="DX124" s="427">
        <v>27431854.660000004</v>
      </c>
      <c r="DY124" s="580"/>
      <c r="DZ124" s="580"/>
      <c r="EA124" s="427">
        <v>33800552.710000001</v>
      </c>
      <c r="EB124" s="580"/>
      <c r="EC124" s="580"/>
      <c r="ED124" s="427">
        <v>32546031.25</v>
      </c>
      <c r="EE124" s="580"/>
      <c r="EF124" s="580"/>
      <c r="EG124" s="331">
        <v>37964946.119999997</v>
      </c>
      <c r="EH124" s="233"/>
      <c r="EI124" s="233"/>
      <c r="EJ124" s="331">
        <v>38129122.339999989</v>
      </c>
      <c r="EK124" s="233"/>
      <c r="EL124" s="233"/>
      <c r="EM124" s="331">
        <v>42435287.099999994</v>
      </c>
      <c r="EN124" s="233"/>
      <c r="EO124" s="233"/>
      <c r="EP124" s="331">
        <v>39654492.140000001</v>
      </c>
      <c r="EQ124" s="233"/>
      <c r="ER124" s="233"/>
      <c r="ES124" s="331">
        <v>41401691.049999997</v>
      </c>
      <c r="ET124" s="233"/>
      <c r="EU124" s="233"/>
      <c r="EV124" s="815">
        <v>50623830.060000017</v>
      </c>
      <c r="EW124" s="233"/>
      <c r="EX124" s="233"/>
      <c r="EY124" s="331">
        <v>40670100.929999992</v>
      </c>
      <c r="EZ124" s="425"/>
      <c r="FA124" s="580"/>
      <c r="FB124" s="331">
        <v>51196377.740000017</v>
      </c>
      <c r="FC124" s="425"/>
      <c r="FD124" s="580"/>
      <c r="FE124" s="292">
        <v>55353223.369999997</v>
      </c>
      <c r="FF124" s="425"/>
      <c r="FG124" s="580"/>
      <c r="FH124" s="427">
        <v>51372049.839999989</v>
      </c>
      <c r="FI124" s="580"/>
      <c r="FJ124" s="580"/>
      <c r="FK124" s="427">
        <v>69466419.350000024</v>
      </c>
      <c r="FL124" s="580"/>
      <c r="FM124" s="580"/>
      <c r="FN124" s="427">
        <v>67638254.840000004</v>
      </c>
      <c r="FO124" s="580"/>
      <c r="FP124" s="580"/>
      <c r="FQ124" s="427">
        <v>47655811.709999993</v>
      </c>
      <c r="FR124" s="580"/>
      <c r="FS124" s="580"/>
      <c r="FT124" s="427">
        <v>63109410.219999976</v>
      </c>
      <c r="FU124" s="580"/>
      <c r="FV124" s="580"/>
      <c r="FW124" s="427">
        <v>55624768.900000013</v>
      </c>
      <c r="FX124" s="580"/>
      <c r="FY124" s="580"/>
      <c r="FZ124" s="427">
        <v>67633040.399999976</v>
      </c>
      <c r="GA124" s="580"/>
      <c r="GB124" s="580"/>
      <c r="GC124" s="427">
        <v>56822241.829999991</v>
      </c>
      <c r="GD124" s="580"/>
      <c r="GE124" s="427">
        <v>52628037.069999985</v>
      </c>
      <c r="GF124" s="580"/>
      <c r="GG124" s="427">
        <v>57154616.280000024</v>
      </c>
      <c r="GH124" s="580"/>
      <c r="GI124" s="427">
        <v>69356964.439999998</v>
      </c>
      <c r="GJ124" s="580"/>
      <c r="GK124" s="427">
        <v>56204865.57</v>
      </c>
      <c r="GL124" s="580"/>
      <c r="GM124" s="427">
        <v>52626177.00999999</v>
      </c>
      <c r="GN124" s="580"/>
      <c r="GO124" s="821">
        <v>69545424.149999946</v>
      </c>
      <c r="GP124" s="580"/>
      <c r="GQ124" s="821">
        <v>51282607.130000003</v>
      </c>
      <c r="GR124" s="198"/>
      <c r="GS124" s="198"/>
      <c r="GT124" s="821">
        <v>55765071.56999997</v>
      </c>
      <c r="GU124" s="198"/>
      <c r="GV124" s="198"/>
      <c r="GW124" s="821">
        <v>62295323.690000013</v>
      </c>
      <c r="GX124" s="198"/>
      <c r="GY124" s="198"/>
      <c r="GZ124" s="427">
        <v>50908766.07</v>
      </c>
      <c r="HA124" s="198"/>
      <c r="HB124" s="223"/>
      <c r="HC124" s="427">
        <v>45511249.869999997</v>
      </c>
      <c r="HD124" s="198"/>
      <c r="HE124" s="198"/>
      <c r="HF124" s="427">
        <v>50792540.710000001</v>
      </c>
      <c r="HG124" s="198"/>
      <c r="HH124" s="223"/>
      <c r="HI124" s="427">
        <v>52295425.57</v>
      </c>
      <c r="HJ124" s="198"/>
      <c r="HK124" s="223"/>
      <c r="HL124" s="427">
        <v>65400867.860000014</v>
      </c>
      <c r="HM124" s="198"/>
      <c r="HN124" s="223"/>
      <c r="HO124" s="427">
        <v>67728148.88000001</v>
      </c>
      <c r="HP124" s="198"/>
      <c r="HQ124" s="627"/>
      <c r="HR124" s="427">
        <v>67728148.88000001</v>
      </c>
      <c r="HS124" s="198"/>
      <c r="HT124" s="580"/>
      <c r="HU124" s="427">
        <v>67728148.88000001</v>
      </c>
      <c r="HV124" s="198"/>
      <c r="HW124" s="580"/>
      <c r="HX124" s="580"/>
      <c r="HY124" s="580"/>
      <c r="HZ124" s="580"/>
      <c r="IA124" s="427">
        <v>32546031.25</v>
      </c>
    </row>
    <row r="125" spans="2:257" ht="14.25" customHeight="1" thickBot="1">
      <c r="B125" s="242" t="s">
        <v>871</v>
      </c>
      <c r="C125" s="242"/>
      <c r="D125" s="297">
        <v>1190000</v>
      </c>
      <c r="E125" s="294"/>
      <c r="F125" s="298">
        <v>1902589.77</v>
      </c>
      <c r="G125" s="294"/>
      <c r="H125" s="298">
        <v>1351328.48</v>
      </c>
      <c r="I125" s="233"/>
      <c r="J125" s="298">
        <v>2078750</v>
      </c>
      <c r="K125" s="233"/>
      <c r="L125" s="298">
        <v>3060000</v>
      </c>
      <c r="M125" s="233"/>
      <c r="N125" s="298">
        <v>3462660.78</v>
      </c>
      <c r="O125" s="233"/>
      <c r="P125" s="298" t="e">
        <f>+#REF!</f>
        <v>#REF!</v>
      </c>
      <c r="Q125" s="233"/>
      <c r="R125" s="298" t="e">
        <f>+#REF!</f>
        <v>#REF!</v>
      </c>
      <c r="S125" s="233"/>
      <c r="T125" s="298" t="e">
        <f>+#REF!</f>
        <v>#REF!</v>
      </c>
      <c r="U125" s="233"/>
      <c r="V125" s="298" t="e">
        <f>+#REF!</f>
        <v>#REF!</v>
      </c>
      <c r="W125" s="233"/>
      <c r="X125" s="298" t="e">
        <f>+#REF!</f>
        <v>#REF!</v>
      </c>
      <c r="Y125" s="233"/>
      <c r="Z125" s="298" t="e">
        <f>+#REF!</f>
        <v>#REF!</v>
      </c>
      <c r="AA125" s="233"/>
      <c r="AB125" s="298" t="e">
        <f>+#REF!</f>
        <v>#REF!</v>
      </c>
      <c r="AC125" s="233"/>
      <c r="AD125" s="298" t="e">
        <f>+#REF!</f>
        <v>#REF!</v>
      </c>
      <c r="AE125" s="233"/>
      <c r="AF125" s="298" t="e">
        <f>+#REF!</f>
        <v>#REF!</v>
      </c>
      <c r="AG125" s="233"/>
      <c r="AH125" s="298">
        <v>3863304.12</v>
      </c>
      <c r="AI125" s="233"/>
      <c r="AJ125" s="298">
        <v>7506157.2300000004</v>
      </c>
      <c r="AK125" s="233"/>
      <c r="AL125" s="298" t="e">
        <f>+#REF!</f>
        <v>#REF!</v>
      </c>
      <c r="AM125" s="233"/>
      <c r="AN125" s="298" t="e">
        <f>+#REF!</f>
        <v>#REF!</v>
      </c>
      <c r="AO125" s="233"/>
      <c r="AP125" s="298" t="e">
        <f>+#REF!</f>
        <v>#REF!</v>
      </c>
      <c r="AQ125" s="233"/>
      <c r="AR125" s="298" t="e">
        <f>+#REF!</f>
        <v>#REF!</v>
      </c>
      <c r="AS125" s="233"/>
      <c r="AT125" s="298">
        <v>9540011.0999999996</v>
      </c>
      <c r="AU125" s="233"/>
      <c r="AV125" s="298" t="e">
        <f>+#REF!</f>
        <v>#REF!</v>
      </c>
      <c r="AW125" s="233"/>
      <c r="AX125" s="298" t="e">
        <f>+#REF!</f>
        <v>#REF!</v>
      </c>
      <c r="AY125" s="233"/>
      <c r="AZ125" s="298" t="e">
        <f>+#REF!</f>
        <v>#REF!</v>
      </c>
      <c r="BA125" s="233"/>
      <c r="BB125" s="298" t="e">
        <f>+#REF!</f>
        <v>#REF!</v>
      </c>
      <c r="BC125" s="233"/>
      <c r="BD125" s="298" t="e">
        <f>#REF!</f>
        <v>#REF!</v>
      </c>
      <c r="BE125" s="233"/>
      <c r="BF125" s="299" t="e">
        <f>#REF!</f>
        <v>#REF!</v>
      </c>
      <c r="BG125" s="234"/>
      <c r="BH125" s="299">
        <v>13853068.339999996</v>
      </c>
      <c r="BI125" s="234"/>
      <c r="BJ125" s="299">
        <v>22343377.609999999</v>
      </c>
      <c r="BK125" s="234"/>
      <c r="BL125" s="299">
        <v>20199972.159999996</v>
      </c>
      <c r="BM125" s="234"/>
      <c r="BN125" s="299">
        <v>14487684.589999998</v>
      </c>
      <c r="BO125" s="234"/>
      <c r="BP125" s="299">
        <v>14433660.93</v>
      </c>
      <c r="BQ125" s="234"/>
      <c r="BR125" s="299">
        <v>21239676.710000001</v>
      </c>
      <c r="BS125" s="234"/>
      <c r="BT125" s="299">
        <v>23449647.039999995</v>
      </c>
      <c r="BU125" s="234"/>
      <c r="BV125" s="299">
        <v>17445592.579999998</v>
      </c>
      <c r="BW125" s="234"/>
      <c r="BX125" s="299">
        <v>28282823.420000009</v>
      </c>
      <c r="BY125" s="234"/>
      <c r="BZ125" s="299">
        <v>14070360.23</v>
      </c>
      <c r="CA125" s="234"/>
      <c r="CB125" s="299">
        <v>20458196</v>
      </c>
      <c r="CC125" s="234"/>
      <c r="CD125" s="299">
        <v>30841325</v>
      </c>
      <c r="CE125" s="234"/>
      <c r="CF125" s="299">
        <v>25280589.300000001</v>
      </c>
      <c r="CG125" s="234"/>
      <c r="CH125" s="298">
        <v>23876120.280000001</v>
      </c>
      <c r="CI125" s="234"/>
      <c r="CJ125" s="234"/>
      <c r="CK125" s="298">
        <v>29813921.140000001</v>
      </c>
      <c r="CL125" s="234"/>
      <c r="CM125" s="234"/>
      <c r="CN125" s="298">
        <v>27529053.84999999</v>
      </c>
      <c r="CO125" s="234"/>
      <c r="CP125" s="234"/>
      <c r="CQ125" s="298">
        <v>34174842.86999999</v>
      </c>
      <c r="CR125" s="234"/>
      <c r="CS125" s="234"/>
      <c r="CT125" s="298">
        <f>32836235.8+3447374</f>
        <v>36283609.799999997</v>
      </c>
      <c r="CU125" s="234"/>
      <c r="CV125" s="291"/>
      <c r="CW125" s="298">
        <v>37441095</v>
      </c>
      <c r="CX125" s="234"/>
      <c r="CY125" s="436"/>
      <c r="CZ125" s="298">
        <v>33622189</v>
      </c>
      <c r="DA125" s="234"/>
      <c r="DB125" s="436"/>
      <c r="DC125" s="298">
        <v>48553755</v>
      </c>
      <c r="DD125" s="234"/>
      <c r="DE125" s="436"/>
      <c r="DF125" s="298">
        <v>40956137</v>
      </c>
      <c r="DG125" s="234"/>
      <c r="DH125" s="436"/>
      <c r="DI125" s="298">
        <v>47905739</v>
      </c>
      <c r="DJ125" s="234"/>
      <c r="DK125" s="436"/>
      <c r="DL125" s="298">
        <v>47808005</v>
      </c>
      <c r="DM125" s="234"/>
      <c r="DN125" s="436"/>
      <c r="DO125" s="298">
        <v>57386863</v>
      </c>
      <c r="DP125" s="425"/>
      <c r="DQ125" s="580"/>
      <c r="DR125" s="298">
        <f>60693089.61-8980</f>
        <v>60684109.609999999</v>
      </c>
      <c r="DS125" s="425"/>
      <c r="DT125" s="580"/>
      <c r="DU125" s="292">
        <v>85589506.539999992</v>
      </c>
      <c r="DV125" s="425"/>
      <c r="DW125" s="580"/>
      <c r="DX125" s="427">
        <v>51038968.61999999</v>
      </c>
      <c r="DY125" s="580"/>
      <c r="DZ125" s="580"/>
      <c r="EA125" s="427">
        <v>77357967.059999987</v>
      </c>
      <c r="EB125" s="580"/>
      <c r="EC125" s="580"/>
      <c r="ED125" s="427">
        <v>89018416.670000002</v>
      </c>
      <c r="EE125" s="580"/>
      <c r="EF125" s="580"/>
      <c r="EG125" s="298">
        <v>117226286.94000003</v>
      </c>
      <c r="EH125" s="234"/>
      <c r="EI125" s="436"/>
      <c r="EJ125" s="298">
        <v>93411721.709999979</v>
      </c>
      <c r="EK125" s="234"/>
      <c r="EL125" s="436"/>
      <c r="EM125" s="298">
        <v>108238662.84999999</v>
      </c>
      <c r="EN125" s="234"/>
      <c r="EO125" s="436"/>
      <c r="EP125" s="298">
        <v>113984979</v>
      </c>
      <c r="EQ125" s="234"/>
      <c r="ER125" s="436"/>
      <c r="ES125" s="298">
        <v>128118610.76000001</v>
      </c>
      <c r="ET125" s="234"/>
      <c r="EU125" s="436"/>
      <c r="EV125" s="816">
        <v>148143711.36999992</v>
      </c>
      <c r="EW125" s="234"/>
      <c r="EX125" s="436"/>
      <c r="EY125" s="298">
        <v>144761743.18000004</v>
      </c>
      <c r="EZ125" s="425"/>
      <c r="FA125" s="580"/>
      <c r="FB125" s="298">
        <v>177645485.14000005</v>
      </c>
      <c r="FC125" s="425"/>
      <c r="FD125" s="580"/>
      <c r="FE125" s="292">
        <v>212026969.30000007</v>
      </c>
      <c r="FF125" s="425"/>
      <c r="FG125" s="580"/>
      <c r="FH125" s="427">
        <v>161407999.07999998</v>
      </c>
      <c r="FI125" s="580"/>
      <c r="FJ125" s="580"/>
      <c r="FK125" s="427">
        <v>218509073.82000017</v>
      </c>
      <c r="FL125" s="580"/>
      <c r="FM125" s="580"/>
      <c r="FN125" s="427">
        <v>245039613.24000001</v>
      </c>
      <c r="FO125" s="580"/>
      <c r="FP125" s="580"/>
      <c r="FQ125" s="427">
        <v>210517263.66999999</v>
      </c>
      <c r="FR125" s="580"/>
      <c r="FS125" s="580"/>
      <c r="FT125" s="427">
        <v>207950527.69000006</v>
      </c>
      <c r="FU125" s="580"/>
      <c r="FV125" s="580"/>
      <c r="FW125" s="427">
        <v>208205172.35000005</v>
      </c>
      <c r="FX125" s="580"/>
      <c r="FY125" s="580"/>
      <c r="FZ125" s="427">
        <v>205416677.57999995</v>
      </c>
      <c r="GA125" s="580"/>
      <c r="GB125" s="580"/>
      <c r="GC125" s="427">
        <v>254908577.99000043</v>
      </c>
      <c r="GD125" s="580"/>
      <c r="GE125" s="427">
        <v>198626660.73999977</v>
      </c>
      <c r="GF125" s="580"/>
      <c r="GG125" s="427">
        <f>229931200.37+1439000</f>
        <v>231370200.37</v>
      </c>
      <c r="GH125" s="580"/>
      <c r="GI125" s="427">
        <v>236929039.09999999</v>
      </c>
      <c r="GJ125" s="580"/>
      <c r="GK125" s="427">
        <v>235661845</v>
      </c>
      <c r="GL125" s="580"/>
      <c r="GM125" s="427">
        <v>171808372</v>
      </c>
      <c r="GN125" s="580"/>
      <c r="GO125" s="821">
        <v>154370095.50000009</v>
      </c>
      <c r="GP125" s="580"/>
      <c r="GQ125" s="821">
        <v>166810069.97</v>
      </c>
      <c r="GR125" s="1016"/>
      <c r="GS125" s="1016"/>
      <c r="GT125" s="427">
        <v>125011231.42999999</v>
      </c>
      <c r="GU125" s="1016"/>
      <c r="GV125" s="1016"/>
      <c r="GW125" s="821">
        <v>145737979.91000003</v>
      </c>
      <c r="GX125" s="1016"/>
      <c r="GY125" s="1016"/>
      <c r="GZ125" s="427">
        <v>171895355.80000001</v>
      </c>
      <c r="HA125" s="1016"/>
      <c r="HB125" s="1017"/>
      <c r="HC125" s="427">
        <v>161681194.61000001</v>
      </c>
      <c r="HD125" s="1016"/>
      <c r="HE125" s="1016"/>
      <c r="HF125" s="427">
        <v>193809427.31999999</v>
      </c>
      <c r="HG125" s="1016"/>
      <c r="HH125" s="1017"/>
      <c r="HI125" s="427">
        <v>143480043.5</v>
      </c>
      <c r="HJ125" s="1016"/>
      <c r="HK125" s="1017"/>
      <c r="HL125" s="427">
        <v>163355827.56000003</v>
      </c>
      <c r="HM125" s="1016"/>
      <c r="HN125" s="1017"/>
      <c r="HO125" s="427">
        <v>165233261.40999997</v>
      </c>
      <c r="HP125" s="1016"/>
      <c r="HQ125" s="627"/>
      <c r="HR125" s="427">
        <v>165233261.40999997</v>
      </c>
      <c r="HS125" s="1016"/>
      <c r="HT125" s="580"/>
      <c r="HU125" s="427">
        <v>165233261.40999997</v>
      </c>
      <c r="HV125" s="1016"/>
      <c r="HW125" s="580"/>
      <c r="HX125" s="580"/>
      <c r="HY125" s="580"/>
      <c r="HZ125" s="580"/>
      <c r="IA125" s="427">
        <v>89018416.670000002</v>
      </c>
    </row>
    <row r="126" spans="2:257" ht="14.25" customHeight="1" thickBot="1">
      <c r="B126" s="157" t="s">
        <v>399</v>
      </c>
      <c r="D126" s="300">
        <v>9405000</v>
      </c>
      <c r="E126" s="234"/>
      <c r="F126" s="300">
        <v>8421820.5</v>
      </c>
      <c r="G126" s="234"/>
      <c r="H126" s="300">
        <v>12694925.050000001</v>
      </c>
      <c r="I126" s="233"/>
      <c r="J126" s="300">
        <v>14673750</v>
      </c>
      <c r="K126" s="233"/>
      <c r="L126" s="300">
        <v>12545000</v>
      </c>
      <c r="M126" s="233"/>
      <c r="N126" s="300">
        <f>SUM(N117:N125)</f>
        <v>17139660.780000001</v>
      </c>
      <c r="O126" s="233"/>
      <c r="P126" s="300" t="e">
        <f>SUM(P117:P125)</f>
        <v>#REF!</v>
      </c>
      <c r="Q126" s="233"/>
      <c r="R126" s="300" t="e">
        <f>SUM(R117:R125)</f>
        <v>#REF!</v>
      </c>
      <c r="S126" s="233"/>
      <c r="T126" s="300" t="e">
        <f>SUM(T117:T125)</f>
        <v>#REF!</v>
      </c>
      <c r="U126" s="233"/>
      <c r="V126" s="300" t="e">
        <f>SUM(V117:V125)</f>
        <v>#REF!</v>
      </c>
      <c r="W126" s="233"/>
      <c r="X126" s="300" t="e">
        <f>SUM(X117:X125)</f>
        <v>#REF!</v>
      </c>
      <c r="Y126" s="233"/>
      <c r="Z126" s="300" t="e">
        <f>SUM(Z117:Z125)</f>
        <v>#REF!</v>
      </c>
      <c r="AA126" s="233"/>
      <c r="AB126" s="300" t="e">
        <f>SUM(AB117:AB125)</f>
        <v>#REF!</v>
      </c>
      <c r="AC126" s="233"/>
      <c r="AD126" s="300" t="e">
        <f>SUM(AD117:AD125)</f>
        <v>#REF!</v>
      </c>
      <c r="AE126" s="233"/>
      <c r="AF126" s="300" t="e">
        <f>SUM(AF117:AF125)</f>
        <v>#REF!</v>
      </c>
      <c r="AG126" s="233"/>
      <c r="AH126" s="300">
        <f>SUM(AH117:AH125)</f>
        <v>28033925.010000002</v>
      </c>
      <c r="AI126" s="233"/>
      <c r="AJ126" s="300">
        <f>SUM(AJ117:AJ125)</f>
        <v>32258340.800000001</v>
      </c>
      <c r="AK126" s="233"/>
      <c r="AL126" s="300" t="e">
        <f>SUM(AL117:AL125)</f>
        <v>#REF!</v>
      </c>
      <c r="AM126" s="233"/>
      <c r="AN126" s="300" t="e">
        <f>SUM(AN117:AN125)</f>
        <v>#REF!</v>
      </c>
      <c r="AO126" s="233"/>
      <c r="AP126" s="300" t="e">
        <f>SUM(AP117:AP125)</f>
        <v>#REF!</v>
      </c>
      <c r="AQ126" s="233"/>
      <c r="AR126" s="300" t="e">
        <f>SUM(AR117:AR125)</f>
        <v>#REF!</v>
      </c>
      <c r="AS126" s="233"/>
      <c r="AT126" s="300">
        <f>SUM(AT117:AT125)</f>
        <v>48262276.890000008</v>
      </c>
      <c r="AU126" s="233"/>
      <c r="AV126" s="300" t="e">
        <f>SUM(AV117:AV125)</f>
        <v>#REF!</v>
      </c>
      <c r="AW126" s="233"/>
      <c r="AX126" s="300" t="e">
        <f>SUM(AX117:AX125)</f>
        <v>#REF!</v>
      </c>
      <c r="AY126" s="233"/>
      <c r="AZ126" s="300" t="e">
        <f>SUM(AZ117:AZ125)</f>
        <v>#REF!</v>
      </c>
      <c r="BA126" s="233"/>
      <c r="BB126" s="300" t="e">
        <f>SUM(BB114:BB125)</f>
        <v>#REF!</v>
      </c>
      <c r="BC126" s="233"/>
      <c r="BD126" s="300" t="e">
        <f>SUM(BD114:BD125)</f>
        <v>#REF!</v>
      </c>
      <c r="BE126" s="233"/>
      <c r="BF126" s="300" t="e">
        <f>SUM(BF114:BF125)</f>
        <v>#REF!</v>
      </c>
      <c r="BG126" s="234"/>
      <c r="BH126" s="300">
        <f>SUM(BH114:BH125)</f>
        <v>32753816.079999998</v>
      </c>
      <c r="BI126" s="234"/>
      <c r="BJ126" s="300">
        <f>SUM(BJ114:BJ125)</f>
        <v>40404952.340000004</v>
      </c>
      <c r="BK126" s="234"/>
      <c r="BL126" s="300">
        <f>SUM(BL114:BL125)</f>
        <v>50430735.629999995</v>
      </c>
      <c r="BM126" s="234"/>
      <c r="BN126" s="300">
        <f>SUM(BN114:BN125)</f>
        <v>37313419.979999997</v>
      </c>
      <c r="BO126" s="234"/>
      <c r="BP126" s="301">
        <f>SUM(BP114:BP125)</f>
        <v>40038513.650000006</v>
      </c>
      <c r="BQ126" s="234"/>
      <c r="BR126" s="301">
        <f>SUM(BR114:BR125)</f>
        <v>55646715.060000002</v>
      </c>
      <c r="BS126" s="234"/>
      <c r="BT126" s="301">
        <f>SUM(BT114:BT125)</f>
        <v>64955616.599999994</v>
      </c>
      <c r="BU126" s="234"/>
      <c r="BV126" s="301">
        <f>SUM(BV114:BV125)</f>
        <v>47690153.739999995</v>
      </c>
      <c r="BW126" s="234"/>
      <c r="BX126" s="301">
        <f>SUM(BX114:BX125)</f>
        <v>71314512.800000012</v>
      </c>
      <c r="BY126" s="234"/>
      <c r="BZ126" s="301">
        <f>SUM(BZ114:BZ125)</f>
        <v>54508419.320000008</v>
      </c>
      <c r="CA126" s="234"/>
      <c r="CB126" s="301">
        <f>SUM(CB114:CB125)</f>
        <v>59792417.829999998</v>
      </c>
      <c r="CC126" s="234"/>
      <c r="CD126" s="301">
        <f>SUM(CD114:CD125)</f>
        <v>82440604.530000001</v>
      </c>
      <c r="CE126" s="234"/>
      <c r="CF126" s="301">
        <f>SUM(CF114:CF125)</f>
        <v>77080298.390000001</v>
      </c>
      <c r="CG126" s="234"/>
      <c r="CH126" s="301">
        <f>SUM(CH114:CH125)</f>
        <v>87284869.799999997</v>
      </c>
      <c r="CI126" s="234"/>
      <c r="CJ126" s="234"/>
      <c r="CK126" s="301">
        <f>SUM(CK114:CK125)</f>
        <v>100215868.85000001</v>
      </c>
      <c r="CL126" s="234"/>
      <c r="CM126" s="234"/>
      <c r="CN126" s="301">
        <f>SUM(CN114:CN125)</f>
        <v>64609393.559999987</v>
      </c>
      <c r="CO126" s="234"/>
      <c r="CP126" s="234"/>
      <c r="CQ126" s="301">
        <f>SUM(CQ114:CQ125)</f>
        <v>88015604.209999993</v>
      </c>
      <c r="CR126" s="234"/>
      <c r="CS126" s="234"/>
      <c r="CT126" s="301">
        <f>SUM(CT114:CT125)</f>
        <v>98171272.519999981</v>
      </c>
      <c r="CU126" s="234"/>
      <c r="CV126" s="302"/>
      <c r="CW126" s="301">
        <f>SUM(CW114:CW125)</f>
        <v>104427882.69999999</v>
      </c>
      <c r="CX126" s="234"/>
      <c r="CY126" s="436"/>
      <c r="CZ126" s="301">
        <f>SUM(CZ114:CZ125)</f>
        <v>88536634.379999995</v>
      </c>
      <c r="DA126" s="234"/>
      <c r="DB126" s="436"/>
      <c r="DC126" s="301">
        <f>SUM(DC114:DC125)</f>
        <v>112646208.15000001</v>
      </c>
      <c r="DD126" s="234"/>
      <c r="DE126" s="436"/>
      <c r="DF126" s="301">
        <f>SUM(DF114:DF125)</f>
        <v>118334565.89</v>
      </c>
      <c r="DG126" s="234"/>
      <c r="DH126" s="436"/>
      <c r="DI126" s="301">
        <f>SUM(DI114:DI125)</f>
        <v>116054866.13</v>
      </c>
      <c r="DJ126" s="234"/>
      <c r="DK126" s="436"/>
      <c r="DL126" s="301">
        <f>SUM(DL114:DL125)</f>
        <v>120112879.69</v>
      </c>
      <c r="DM126" s="234"/>
      <c r="DN126" s="436"/>
      <c r="DO126" s="301">
        <f>SUM(DO114:DO125)</f>
        <v>129408092.58999999</v>
      </c>
      <c r="DP126" s="425"/>
      <c r="DQ126" s="580"/>
      <c r="DR126" s="301">
        <f>SUM(DR114:DR125)</f>
        <v>129289802.44</v>
      </c>
      <c r="DS126" s="589"/>
      <c r="DT126" s="590"/>
      <c r="DU126" s="301">
        <f>SUM(DU114:DU125)</f>
        <v>174783458.26999998</v>
      </c>
      <c r="DX126" s="301">
        <f>SUM(DX114:DX125)</f>
        <v>104846571.28999999</v>
      </c>
      <c r="EA126" s="301">
        <f>SUM(EA114:EA125)</f>
        <v>148595777.13</v>
      </c>
      <c r="ED126" s="301">
        <f>SUM(ED114:ED125)</f>
        <v>161780201.78000003</v>
      </c>
      <c r="EG126" s="301">
        <f>SUM(EG114:EG125)</f>
        <v>209710862.55000004</v>
      </c>
      <c r="EH126" s="234"/>
      <c r="EI126" s="436"/>
      <c r="EJ126" s="301">
        <f>SUM(EJ114:EJ125)</f>
        <v>160031691.36999997</v>
      </c>
      <c r="EK126" s="234"/>
      <c r="EL126" s="436"/>
      <c r="EM126" s="301">
        <f>SUM(EM114:EM125)</f>
        <v>206432764.06999999</v>
      </c>
      <c r="EN126" s="234"/>
      <c r="EO126" s="436"/>
      <c r="EP126" s="301">
        <f>SUM(EP114:EP125)</f>
        <v>199447622.61000001</v>
      </c>
      <c r="EQ126" s="234"/>
      <c r="ER126" s="436"/>
      <c r="ES126" s="301">
        <f>SUM(ES114:ES125)</f>
        <v>218929221.32999998</v>
      </c>
      <c r="ET126" s="234"/>
      <c r="EU126" s="436"/>
      <c r="EV126" s="817">
        <f>SUM(EV114:EV125)</f>
        <v>262074325.46999994</v>
      </c>
      <c r="EW126" s="234"/>
      <c r="EX126" s="806"/>
      <c r="EY126" s="301">
        <f>SUM(EY114:EY125)</f>
        <v>235144543.40000004</v>
      </c>
      <c r="EZ126" s="425"/>
      <c r="FA126" s="580"/>
      <c r="FB126" s="301">
        <f>SUM(FB114:FB125)</f>
        <v>282333548.92000008</v>
      </c>
      <c r="FC126" s="589"/>
      <c r="FD126" s="590"/>
      <c r="FE126" s="301">
        <f>SUM(FE114:FE125)</f>
        <v>331712053.06000006</v>
      </c>
      <c r="FH126" s="301">
        <f>SUM(FH114:FH125)</f>
        <v>260106365.78999996</v>
      </c>
      <c r="FK126" s="301">
        <f>SUM(FK114:FK125)</f>
        <v>327878099.03000021</v>
      </c>
      <c r="FN126" s="301">
        <f>SUM(FN114:FN125)</f>
        <v>354227305.98000002</v>
      </c>
      <c r="FQ126" s="301">
        <f>SUM(FQ114:FQ125)</f>
        <v>283759344.28999996</v>
      </c>
      <c r="FT126" s="301">
        <f>SUM(FT114:FT125)</f>
        <v>302508652.12</v>
      </c>
      <c r="FW126" s="301">
        <f>SUM(FW114:FW125)</f>
        <v>292994293.92000008</v>
      </c>
      <c r="FZ126" s="301">
        <f>SUM(FZ114:FZ125)</f>
        <v>295687362.94999993</v>
      </c>
      <c r="GC126" s="301">
        <f>SUM(GC114:GC125)</f>
        <v>338656624.98000044</v>
      </c>
      <c r="GE126" s="301">
        <v>267344758.65999976</v>
      </c>
      <c r="GG126" s="301">
        <f>SUM(GG114:GG125)</f>
        <v>303622410.71000004</v>
      </c>
      <c r="GI126" s="301">
        <f>SUM(GI114:GI125)</f>
        <v>333150912.18000001</v>
      </c>
      <c r="GK126" s="301">
        <f>SUM(GK114:GK125)</f>
        <v>307122427.44</v>
      </c>
      <c r="GM126" s="301">
        <f>SUM(GM114:GM125)</f>
        <v>237191080.95999998</v>
      </c>
      <c r="GO126" s="301">
        <f>SUM(GO114:GO125)</f>
        <v>252663192.42000002</v>
      </c>
      <c r="GQ126" s="817">
        <f>SUM(GQ114:GQ125)</f>
        <v>232542821.13999999</v>
      </c>
      <c r="GT126" s="817">
        <f>SUM(GT114:GT125)</f>
        <v>194328646.58999997</v>
      </c>
      <c r="GW126" s="817">
        <f>SUM(GW114:GW125)</f>
        <v>218328996.53000003</v>
      </c>
      <c r="GZ126" s="301">
        <f>SUM(GZ114:GZ125)</f>
        <v>243343506.48000002</v>
      </c>
      <c r="HC126" s="301">
        <f>SUM(HC114:HC125)</f>
        <v>220564372.10000002</v>
      </c>
      <c r="HF126" s="301">
        <f>SUM(HF114:HF125)</f>
        <v>263065751.26999998</v>
      </c>
      <c r="HI126" s="301">
        <f>SUM(HI114:HI125)</f>
        <v>213282530.15000001</v>
      </c>
      <c r="HL126" s="301">
        <f>SUM(HL114:HL125)</f>
        <v>241732166.99000004</v>
      </c>
      <c r="HO126" s="301">
        <f>SUM(HO114:HO125)</f>
        <v>248356010.81999999</v>
      </c>
      <c r="HQ126" s="627"/>
      <c r="HR126" s="301">
        <f>SUM(HR114:HR125)</f>
        <v>248356010.81999999</v>
      </c>
      <c r="HU126" s="301">
        <f>SUM(HU114:HU125)</f>
        <v>248356010.81999999</v>
      </c>
      <c r="IA126" s="301">
        <f>SUM(IA114:IA125)</f>
        <v>161780201.78000003</v>
      </c>
      <c r="IW126" s="627"/>
    </row>
    <row r="127" spans="2:257" ht="14.25" customHeight="1">
      <c r="D127" s="267"/>
      <c r="E127" s="234"/>
      <c r="F127" s="240"/>
      <c r="G127" s="234"/>
      <c r="H127" s="240"/>
      <c r="I127" s="268"/>
      <c r="J127" s="240"/>
      <c r="K127" s="268"/>
      <c r="L127" s="240"/>
      <c r="M127" s="234"/>
      <c r="N127" s="240"/>
      <c r="O127" s="234"/>
      <c r="P127" s="240"/>
      <c r="Q127" s="234"/>
      <c r="R127" s="240"/>
      <c r="S127" s="234"/>
      <c r="T127" s="240"/>
      <c r="U127" s="234"/>
      <c r="V127" s="240"/>
      <c r="W127" s="234"/>
      <c r="X127" s="240"/>
      <c r="Y127" s="234"/>
      <c r="Z127" s="240"/>
      <c r="AA127" s="234"/>
      <c r="AB127" s="240"/>
      <c r="AC127" s="234"/>
      <c r="AD127" s="240"/>
      <c r="AE127" s="234"/>
      <c r="AF127" s="240"/>
      <c r="AG127" s="234"/>
      <c r="AH127" s="240"/>
      <c r="AI127" s="234"/>
      <c r="AJ127" s="240"/>
      <c r="AK127" s="234"/>
      <c r="AL127" s="240"/>
      <c r="AM127" s="234"/>
      <c r="AN127" s="240"/>
      <c r="AO127" s="234"/>
      <c r="AP127" s="240"/>
      <c r="AQ127" s="234"/>
      <c r="AR127" s="240"/>
      <c r="AS127" s="234"/>
      <c r="AT127" s="240"/>
      <c r="AU127" s="234"/>
      <c r="AV127" s="240"/>
      <c r="AW127" s="234"/>
      <c r="AX127" s="240"/>
      <c r="AY127" s="234"/>
      <c r="AZ127" s="240"/>
      <c r="BA127" s="234"/>
      <c r="BB127" s="240"/>
      <c r="BC127" s="234"/>
      <c r="BD127" s="240"/>
      <c r="BE127" s="234"/>
      <c r="BF127" s="240"/>
      <c r="BG127" s="234"/>
      <c r="BH127" s="240"/>
      <c r="BI127" s="234"/>
      <c r="BJ127" s="240"/>
      <c r="BK127" s="234"/>
      <c r="BL127" s="240"/>
      <c r="BM127" s="234"/>
      <c r="BN127" s="240"/>
      <c r="BO127" s="234"/>
      <c r="BP127" s="240"/>
      <c r="BQ127" s="234"/>
      <c r="BR127" s="240"/>
      <c r="BS127" s="234"/>
      <c r="BT127" s="240"/>
      <c r="BU127" s="234"/>
      <c r="BV127" s="240"/>
      <c r="BW127" s="234"/>
      <c r="BX127" s="240"/>
      <c r="BY127" s="234"/>
      <c r="BZ127" s="240"/>
      <c r="CA127" s="234"/>
      <c r="CB127" s="240"/>
      <c r="CC127" s="234"/>
      <c r="CD127" s="240"/>
      <c r="CE127" s="234"/>
      <c r="CF127" s="332"/>
      <c r="CG127" s="234"/>
      <c r="CH127" s="332"/>
      <c r="CI127" s="234"/>
      <c r="CJ127" s="234"/>
      <c r="CK127" s="332"/>
      <c r="CL127" s="234"/>
      <c r="CM127" s="234"/>
      <c r="CN127" s="240"/>
      <c r="CO127" s="234"/>
      <c r="CP127" s="234"/>
      <c r="CQ127" s="240"/>
      <c r="CR127" s="234"/>
      <c r="CS127" s="234"/>
      <c r="CT127" s="240"/>
      <c r="CU127" s="234"/>
      <c r="CV127" s="302"/>
      <c r="CW127" s="240"/>
      <c r="CX127" s="234"/>
      <c r="CY127" s="436"/>
      <c r="CZ127" s="240"/>
      <c r="DA127" s="234"/>
      <c r="DB127" s="436"/>
      <c r="DC127" s="240"/>
      <c r="DD127" s="234"/>
      <c r="DE127" s="436"/>
      <c r="DF127" s="500"/>
      <c r="DG127" s="234"/>
      <c r="DH127" s="436"/>
      <c r="DI127" s="500"/>
      <c r="DJ127" s="234"/>
      <c r="DK127" s="436"/>
      <c r="DL127" s="500"/>
      <c r="DM127" s="234"/>
      <c r="DN127" s="436"/>
      <c r="DO127" s="500"/>
      <c r="DP127" s="425"/>
      <c r="DQ127" s="580"/>
      <c r="DR127" s="500"/>
      <c r="DS127" s="425"/>
      <c r="DT127" s="580"/>
      <c r="DU127" s="500"/>
      <c r="DV127" s="425"/>
      <c r="DW127" s="580"/>
      <c r="DX127" s="604"/>
      <c r="DY127" s="580"/>
      <c r="DZ127" s="580"/>
      <c r="EA127" s="604"/>
      <c r="EB127" s="580"/>
      <c r="EC127" s="580"/>
      <c r="ED127" s="604"/>
      <c r="EE127" s="580"/>
      <c r="EF127" s="580"/>
      <c r="EG127" s="240"/>
      <c r="EH127" s="234"/>
      <c r="EI127" s="436"/>
      <c r="EJ127" s="240"/>
      <c r="EK127" s="234"/>
      <c r="EL127" s="436"/>
      <c r="EM127" s="240"/>
      <c r="EN127" s="234"/>
      <c r="EO127" s="436"/>
      <c r="EP127" s="500"/>
      <c r="EQ127" s="234"/>
      <c r="ER127" s="436"/>
      <c r="ES127" s="500"/>
      <c r="ET127" s="234"/>
      <c r="EU127" s="436"/>
      <c r="EV127" s="818"/>
      <c r="EW127" s="234"/>
      <c r="EX127" s="436"/>
      <c r="EY127" s="500"/>
      <c r="EZ127" s="425"/>
      <c r="FA127" s="580"/>
      <c r="FB127" s="500"/>
      <c r="FC127" s="425"/>
      <c r="FD127" s="580"/>
      <c r="FE127" s="500"/>
      <c r="FF127" s="425"/>
      <c r="FG127" s="580"/>
      <c r="FH127" s="604"/>
      <c r="FI127" s="580"/>
      <c r="FJ127" s="580"/>
      <c r="FK127" s="604"/>
      <c r="FL127" s="580"/>
      <c r="FM127" s="580"/>
      <c r="FN127" s="604"/>
      <c r="FO127" s="580"/>
      <c r="FP127" s="580"/>
      <c r="FQ127" s="604"/>
      <c r="FR127" s="580"/>
      <c r="FS127" s="580"/>
      <c r="FT127" s="604"/>
      <c r="FU127" s="580"/>
      <c r="FV127" s="580"/>
      <c r="FW127" s="604"/>
      <c r="FX127" s="580"/>
      <c r="FY127" s="580"/>
      <c r="FZ127" s="604"/>
      <c r="GA127" s="580"/>
      <c r="GB127" s="580"/>
      <c r="GC127" s="604"/>
      <c r="GD127" s="580"/>
      <c r="GE127" s="604"/>
      <c r="GF127" s="580"/>
      <c r="GG127" s="604"/>
      <c r="GH127" s="580"/>
      <c r="GI127" s="604"/>
      <c r="GJ127" s="580"/>
      <c r="GK127" s="497"/>
      <c r="GL127" s="580"/>
      <c r="GM127" s="604"/>
      <c r="GN127" s="580"/>
      <c r="GO127" s="497"/>
      <c r="GP127" s="580"/>
      <c r="GQ127" s="1019"/>
      <c r="GR127" s="580"/>
      <c r="GS127" s="580"/>
      <c r="GT127" s="1019"/>
      <c r="GU127" s="580"/>
      <c r="GV127" s="580"/>
      <c r="GW127" s="1019"/>
      <c r="GX127" s="580"/>
      <c r="GY127" s="580"/>
      <c r="GZ127" s="497"/>
      <c r="HA127" s="580"/>
      <c r="HB127" s="580"/>
      <c r="HC127" s="497"/>
      <c r="HD127" s="580"/>
      <c r="HE127" s="580"/>
      <c r="HF127" s="497"/>
      <c r="HG127" s="580"/>
      <c r="HH127" s="580"/>
      <c r="HI127" s="497"/>
      <c r="HJ127" s="580"/>
      <c r="HK127" s="580"/>
      <c r="HL127" s="497"/>
      <c r="HM127" s="580"/>
      <c r="HN127" s="580"/>
      <c r="HO127" s="497"/>
      <c r="HP127" s="580"/>
      <c r="HQ127" s="580"/>
      <c r="HR127" s="497"/>
      <c r="HS127" s="580"/>
      <c r="HT127" s="580"/>
      <c r="HU127" s="497"/>
      <c r="HV127" s="580"/>
      <c r="HW127" s="580"/>
      <c r="HX127" s="580"/>
      <c r="HY127" s="580"/>
      <c r="HZ127" s="580"/>
      <c r="IA127" s="604"/>
    </row>
    <row r="128" spans="2:257" ht="13.8" customHeight="1">
      <c r="B128" s="230" t="s">
        <v>474</v>
      </c>
      <c r="C128" s="230"/>
      <c r="D128" s="267"/>
      <c r="E128" s="234"/>
      <c r="F128" s="240"/>
      <c r="G128" s="234"/>
      <c r="H128" s="240"/>
      <c r="I128" s="268"/>
      <c r="J128" s="240"/>
      <c r="K128" s="268"/>
      <c r="L128" s="240"/>
      <c r="M128" s="234"/>
      <c r="N128" s="240"/>
      <c r="O128" s="234"/>
      <c r="P128" s="240"/>
      <c r="Q128" s="234"/>
      <c r="R128" s="240"/>
      <c r="S128" s="234"/>
      <c r="T128" s="240"/>
      <c r="U128" s="234"/>
      <c r="V128" s="240"/>
      <c r="W128" s="234"/>
      <c r="X128" s="240"/>
      <c r="Y128" s="234"/>
      <c r="Z128" s="240"/>
      <c r="AA128" s="234"/>
      <c r="AB128" s="240"/>
      <c r="AC128" s="234"/>
      <c r="AD128" s="240"/>
      <c r="AE128" s="234"/>
      <c r="AF128" s="240"/>
      <c r="AG128" s="234"/>
      <c r="AH128" s="240"/>
      <c r="AI128" s="234"/>
      <c r="AJ128" s="240"/>
      <c r="AK128" s="234"/>
      <c r="AL128" s="240"/>
      <c r="AM128" s="234"/>
      <c r="AN128" s="240"/>
      <c r="AO128" s="234"/>
      <c r="AP128" s="240"/>
      <c r="AQ128" s="234"/>
      <c r="AR128" s="240"/>
      <c r="AS128" s="234"/>
      <c r="AT128" s="240"/>
      <c r="AU128" s="234"/>
      <c r="AV128" s="240"/>
      <c r="AW128" s="234"/>
      <c r="AX128" s="240"/>
      <c r="AY128" s="234"/>
      <c r="AZ128" s="240"/>
      <c r="BA128" s="234"/>
      <c r="BB128" s="240"/>
      <c r="BC128" s="234"/>
      <c r="BD128" s="240"/>
      <c r="BE128" s="234"/>
      <c r="BF128" s="240"/>
      <c r="BG128" s="234"/>
      <c r="BH128" s="240"/>
      <c r="BI128" s="234"/>
      <c r="BJ128" s="240"/>
      <c r="BK128" s="234"/>
      <c r="BL128" s="240"/>
      <c r="BM128" s="234"/>
      <c r="BN128" s="240"/>
      <c r="BO128" s="234"/>
      <c r="BP128" s="240"/>
      <c r="BQ128" s="234"/>
      <c r="BR128" s="240"/>
      <c r="BS128" s="234"/>
      <c r="BT128" s="240"/>
      <c r="BU128" s="234"/>
      <c r="BV128" s="240"/>
      <c r="BW128" s="234"/>
      <c r="BX128" s="240"/>
      <c r="BY128" s="234"/>
      <c r="BZ128" s="240"/>
      <c r="CA128" s="234"/>
      <c r="CB128" s="240"/>
      <c r="CC128" s="234"/>
      <c r="CD128" s="240"/>
      <c r="CE128" s="234"/>
      <c r="CF128" s="240"/>
      <c r="CG128" s="234"/>
      <c r="CH128" s="240"/>
      <c r="CI128" s="234"/>
      <c r="CJ128" s="234"/>
      <c r="CK128" s="240"/>
      <c r="CL128" s="234"/>
      <c r="CM128" s="234"/>
      <c r="CN128" s="240"/>
      <c r="CO128" s="234"/>
      <c r="CP128" s="234"/>
      <c r="CQ128" s="240"/>
      <c r="CR128" s="234"/>
      <c r="CS128" s="234"/>
      <c r="CT128" s="240"/>
      <c r="CU128" s="234"/>
      <c r="CV128" s="302"/>
      <c r="CW128" s="240"/>
      <c r="CX128" s="234"/>
      <c r="CY128" s="436"/>
      <c r="CZ128" s="240"/>
      <c r="DA128" s="234"/>
      <c r="DB128" s="436"/>
      <c r="DC128" s="240"/>
      <c r="DD128" s="234"/>
      <c r="DE128" s="436"/>
      <c r="DF128" s="500"/>
      <c r="DG128" s="234"/>
      <c r="DH128" s="436"/>
      <c r="DI128" s="500"/>
      <c r="DJ128" s="234"/>
      <c r="DK128" s="436"/>
      <c r="DL128" s="500"/>
      <c r="DM128" s="234"/>
      <c r="DN128" s="436"/>
      <c r="DO128" s="500"/>
      <c r="DP128" s="425"/>
      <c r="DQ128" s="580"/>
      <c r="DR128" s="500"/>
      <c r="DS128" s="425"/>
      <c r="DT128" s="580"/>
      <c r="DU128" s="500"/>
      <c r="DV128" s="425"/>
      <c r="DW128" s="580"/>
      <c r="DX128" s="604"/>
      <c r="DY128" s="580"/>
      <c r="DZ128" s="580"/>
      <c r="EA128" s="604"/>
      <c r="EB128" s="580"/>
      <c r="EC128" s="580"/>
      <c r="ED128" s="604"/>
      <c r="EE128" s="580"/>
      <c r="EF128" s="580"/>
      <c r="EG128" s="240"/>
      <c r="EH128" s="234"/>
      <c r="EI128" s="436"/>
      <c r="EJ128" s="240"/>
      <c r="EK128" s="234"/>
      <c r="EL128" s="436"/>
      <c r="EM128" s="240"/>
      <c r="EN128" s="234"/>
      <c r="EO128" s="436"/>
      <c r="EP128" s="500"/>
      <c r="EQ128" s="234"/>
      <c r="ER128" s="436"/>
      <c r="ES128" s="500"/>
      <c r="ET128" s="234"/>
      <c r="EU128" s="436"/>
      <c r="EV128" s="818"/>
      <c r="EW128" s="234"/>
      <c r="EX128" s="436"/>
      <c r="EY128" s="500"/>
      <c r="EZ128" s="425"/>
      <c r="FA128" s="580"/>
      <c r="FB128" s="500"/>
      <c r="FC128" s="425"/>
      <c r="FD128" s="580"/>
      <c r="FE128" s="500"/>
      <c r="FF128" s="425"/>
      <c r="FG128" s="580"/>
      <c r="FH128" s="604"/>
      <c r="FI128" s="580"/>
      <c r="FJ128" s="580"/>
      <c r="FK128" s="604"/>
      <c r="FL128" s="580"/>
      <c r="FM128" s="580"/>
      <c r="FN128" s="604"/>
      <c r="FO128" s="580"/>
      <c r="FP128" s="580"/>
      <c r="FQ128" s="604"/>
      <c r="FR128" s="580"/>
      <c r="FS128" s="580"/>
      <c r="FT128" s="604"/>
      <c r="FU128" s="580"/>
      <c r="FV128" s="580"/>
      <c r="FW128" s="604"/>
      <c r="FX128" s="580"/>
      <c r="FY128" s="580"/>
      <c r="FZ128" s="604"/>
      <c r="GA128" s="580"/>
      <c r="GB128" s="580"/>
      <c r="GC128" s="604"/>
      <c r="GD128" s="580"/>
      <c r="GE128" s="604"/>
      <c r="GF128" s="580"/>
      <c r="GG128" s="604"/>
      <c r="GH128" s="580"/>
      <c r="GI128" s="604"/>
      <c r="GJ128" s="580"/>
      <c r="GK128" s="604"/>
      <c r="GL128" s="580"/>
      <c r="GM128" s="604"/>
      <c r="GN128" s="580"/>
      <c r="GO128" s="604"/>
      <c r="GP128" s="580"/>
      <c r="GQ128" s="1020"/>
      <c r="GR128" s="580"/>
      <c r="GS128" s="580"/>
      <c r="GT128" s="1020"/>
      <c r="GU128" s="580"/>
      <c r="GV128" s="580"/>
      <c r="GW128" s="1020"/>
      <c r="GX128" s="580"/>
      <c r="GY128" s="580"/>
      <c r="GZ128" s="604"/>
      <c r="HA128" s="580"/>
      <c r="HB128" s="580"/>
      <c r="HC128" s="604"/>
      <c r="HD128" s="580"/>
      <c r="HE128" s="580"/>
      <c r="HF128" s="604"/>
      <c r="HG128" s="580"/>
      <c r="HH128" s="580"/>
      <c r="HI128" s="604"/>
      <c r="HJ128" s="580"/>
      <c r="HK128" s="580"/>
      <c r="HL128" s="604"/>
      <c r="HM128" s="580"/>
      <c r="HN128" s="580"/>
      <c r="HO128" s="604"/>
      <c r="HP128" s="580"/>
      <c r="HQ128" s="580"/>
      <c r="HR128" s="604"/>
      <c r="HS128" s="580"/>
      <c r="HT128" s="580"/>
      <c r="HU128" s="604"/>
      <c r="HV128" s="580"/>
      <c r="HW128" s="580"/>
      <c r="HX128" s="580"/>
      <c r="HY128" s="580"/>
      <c r="HZ128" s="580"/>
      <c r="IA128" s="604"/>
    </row>
    <row r="129" spans="2:236" ht="14.25" customHeight="1">
      <c r="B129" s="242" t="s">
        <v>867</v>
      </c>
      <c r="C129" s="230"/>
      <c r="D129" s="289"/>
      <c r="E129" s="234"/>
      <c r="F129" s="289"/>
      <c r="G129" s="234"/>
      <c r="H129" s="289"/>
      <c r="I129" s="233"/>
      <c r="J129" s="289"/>
      <c r="K129" s="233"/>
      <c r="L129" s="289"/>
      <c r="M129" s="233"/>
      <c r="N129" s="289"/>
      <c r="O129" s="233"/>
      <c r="P129" s="289"/>
      <c r="Q129" s="233"/>
      <c r="R129" s="289"/>
      <c r="S129" s="233"/>
      <c r="T129" s="289"/>
      <c r="U129" s="233"/>
      <c r="V129" s="289"/>
      <c r="W129" s="233"/>
      <c r="X129" s="289"/>
      <c r="Y129" s="233"/>
      <c r="Z129" s="289"/>
      <c r="AA129" s="233"/>
      <c r="AB129" s="289"/>
      <c r="AC129" s="233"/>
      <c r="AD129" s="289"/>
      <c r="AE129" s="233"/>
      <c r="AF129" s="289"/>
      <c r="AG129" s="233"/>
      <c r="AH129" s="289"/>
      <c r="AI129" s="233"/>
      <c r="AJ129" s="289"/>
      <c r="AK129" s="233"/>
      <c r="AL129" s="289"/>
      <c r="AM129" s="233"/>
      <c r="AN129" s="289"/>
      <c r="AO129" s="233"/>
      <c r="AP129" s="289"/>
      <c r="AQ129" s="233"/>
      <c r="AR129" s="289"/>
      <c r="AS129" s="233"/>
      <c r="AT129" s="289"/>
      <c r="AU129" s="233"/>
      <c r="AV129" s="289"/>
      <c r="AW129" s="233"/>
      <c r="AX129" s="289"/>
      <c r="AY129" s="233"/>
      <c r="AZ129" s="289"/>
      <c r="BA129" s="233"/>
      <c r="BB129" s="289" t="e">
        <f>+#REF!</f>
        <v>#REF!</v>
      </c>
      <c r="BC129" s="233"/>
      <c r="BD129" s="289" t="e">
        <f>#REF!</f>
        <v>#REF!</v>
      </c>
      <c r="BE129" s="233"/>
      <c r="BF129" s="290" t="e">
        <f>#REF!</f>
        <v>#REF!</v>
      </c>
      <c r="BG129" s="234"/>
      <c r="BH129" s="290">
        <v>1</v>
      </c>
      <c r="BI129" s="234"/>
      <c r="BJ129" s="290">
        <v>2</v>
      </c>
      <c r="BK129" s="234"/>
      <c r="BL129" s="290">
        <v>14</v>
      </c>
      <c r="BM129" s="234"/>
      <c r="BN129" s="290">
        <v>8</v>
      </c>
      <c r="BO129" s="234"/>
      <c r="BP129" s="290">
        <v>11</v>
      </c>
      <c r="BQ129" s="234"/>
      <c r="BR129" s="290">
        <v>7</v>
      </c>
      <c r="BS129" s="234"/>
      <c r="BT129" s="290">
        <v>13</v>
      </c>
      <c r="BU129" s="234"/>
      <c r="BV129" s="290">
        <v>6</v>
      </c>
      <c r="BW129" s="234"/>
      <c r="BX129" s="290">
        <v>8</v>
      </c>
      <c r="BY129" s="234"/>
      <c r="BZ129" s="290">
        <v>12</v>
      </c>
      <c r="CA129" s="234"/>
      <c r="CB129" s="290">
        <v>4</v>
      </c>
      <c r="CC129" s="234"/>
      <c r="CD129" s="290"/>
      <c r="CE129" s="234"/>
      <c r="CF129" s="290">
        <v>6</v>
      </c>
      <c r="CG129" s="234"/>
      <c r="CH129" s="289">
        <v>5</v>
      </c>
      <c r="CI129" s="234"/>
      <c r="CJ129" s="234"/>
      <c r="CK129" s="289">
        <v>5</v>
      </c>
      <c r="CL129" s="234"/>
      <c r="CM129" s="234"/>
      <c r="CN129" s="289">
        <v>6</v>
      </c>
      <c r="CO129" s="234"/>
      <c r="CP129" s="234"/>
      <c r="CQ129" s="289">
        <v>8</v>
      </c>
      <c r="CR129" s="234"/>
      <c r="CS129" s="234"/>
      <c r="CT129" s="289">
        <v>7</v>
      </c>
      <c r="CU129" s="234"/>
      <c r="CV129" s="291"/>
      <c r="CW129" s="289">
        <v>8</v>
      </c>
      <c r="CX129" s="234"/>
      <c r="CY129" s="436"/>
      <c r="CZ129" s="289">
        <v>2</v>
      </c>
      <c r="DA129" s="234"/>
      <c r="DB129" s="436"/>
      <c r="DC129" s="289">
        <v>5</v>
      </c>
      <c r="DD129" s="234"/>
      <c r="DE129" s="436"/>
      <c r="DF129" s="289">
        <v>6</v>
      </c>
      <c r="DG129" s="234"/>
      <c r="DH129" s="436"/>
      <c r="DI129" s="289">
        <v>7</v>
      </c>
      <c r="DJ129" s="234"/>
      <c r="DK129" s="436"/>
      <c r="DL129" s="289">
        <v>11</v>
      </c>
      <c r="DM129" s="234"/>
      <c r="DN129" s="436"/>
      <c r="DO129" s="289">
        <v>9</v>
      </c>
      <c r="DP129" s="425"/>
      <c r="DQ129" s="580"/>
      <c r="DR129" s="289">
        <v>9</v>
      </c>
      <c r="DS129" s="425"/>
      <c r="DT129" s="580"/>
      <c r="DU129" s="289">
        <v>4</v>
      </c>
      <c r="DV129" s="425"/>
      <c r="DW129" s="580"/>
      <c r="DX129" s="289">
        <v>2</v>
      </c>
      <c r="DY129" s="580"/>
      <c r="DZ129" s="580"/>
      <c r="EA129" s="289">
        <v>3</v>
      </c>
      <c r="EB129" s="627"/>
      <c r="EC129" s="627"/>
      <c r="ED129" s="289">
        <v>7</v>
      </c>
      <c r="EE129" s="627"/>
      <c r="EF129" s="627"/>
      <c r="EG129" s="289">
        <v>0</v>
      </c>
      <c r="EH129" s="234"/>
      <c r="EI129" s="436"/>
      <c r="EJ129" s="289">
        <v>2</v>
      </c>
      <c r="EK129" s="234"/>
      <c r="EL129" s="436"/>
      <c r="EM129" s="289">
        <v>0</v>
      </c>
      <c r="EN129" s="234"/>
      <c r="EO129" s="436"/>
      <c r="EP129" s="289">
        <v>1</v>
      </c>
      <c r="EQ129" s="234"/>
      <c r="ER129" s="436"/>
      <c r="ES129" s="289">
        <v>0</v>
      </c>
      <c r="ET129" s="234"/>
      <c r="EU129" s="436"/>
      <c r="EV129" s="813">
        <v>0</v>
      </c>
      <c r="EW129" s="234"/>
      <c r="EX129" s="436"/>
      <c r="EY129" s="289">
        <v>0</v>
      </c>
      <c r="EZ129" s="425"/>
      <c r="FA129" s="580"/>
      <c r="FB129" s="289">
        <v>0</v>
      </c>
      <c r="FC129" s="425"/>
      <c r="FD129" s="580"/>
      <c r="FE129" s="289">
        <v>0</v>
      </c>
      <c r="FF129" s="425"/>
      <c r="FG129" s="580"/>
      <c r="FH129" s="289">
        <v>0</v>
      </c>
      <c r="FI129" s="580"/>
      <c r="FJ129" s="580"/>
      <c r="FK129" s="289">
        <v>0</v>
      </c>
      <c r="FL129" s="627"/>
      <c r="FM129" s="627"/>
      <c r="FN129" s="289">
        <v>1</v>
      </c>
      <c r="FO129" s="627"/>
      <c r="FP129" s="627"/>
      <c r="FQ129" s="289">
        <v>0</v>
      </c>
      <c r="FR129" s="627"/>
      <c r="FS129" s="627"/>
      <c r="FT129" s="289">
        <v>0</v>
      </c>
      <c r="FU129" s="627"/>
      <c r="FV129" s="627"/>
      <c r="FW129" s="289">
        <v>0</v>
      </c>
      <c r="FX129" s="627"/>
      <c r="FY129" s="627"/>
      <c r="FZ129" s="289">
        <v>0</v>
      </c>
      <c r="GA129" s="627"/>
      <c r="GB129" s="627"/>
      <c r="GC129" s="289">
        <v>0</v>
      </c>
      <c r="GD129" s="627"/>
      <c r="GE129" s="289">
        <v>0</v>
      </c>
      <c r="GF129" s="627"/>
      <c r="GG129" s="289">
        <v>0</v>
      </c>
      <c r="GH129" s="627"/>
      <c r="GI129" s="289">
        <v>0</v>
      </c>
      <c r="GJ129" s="627"/>
      <c r="GK129" s="289">
        <v>0</v>
      </c>
      <c r="GL129" s="627"/>
      <c r="GM129" s="289">
        <v>0</v>
      </c>
      <c r="GN129" s="627"/>
      <c r="GO129" s="289">
        <v>0</v>
      </c>
      <c r="GP129" s="627"/>
      <c r="GQ129" s="289">
        <v>0</v>
      </c>
      <c r="GR129" s="627"/>
      <c r="GS129" s="627"/>
      <c r="GT129" s="289">
        <v>1</v>
      </c>
      <c r="GU129" s="627"/>
      <c r="GV129" s="627"/>
      <c r="GW129" s="813">
        <v>0</v>
      </c>
      <c r="GX129" s="627"/>
      <c r="GY129" s="627"/>
      <c r="GZ129" s="289">
        <v>0</v>
      </c>
      <c r="HA129" s="627"/>
      <c r="HB129" s="627"/>
      <c r="HC129" s="289">
        <v>0</v>
      </c>
      <c r="HD129" s="627"/>
      <c r="HE129" s="627"/>
      <c r="HF129" s="289">
        <v>1</v>
      </c>
      <c r="HG129" s="627"/>
      <c r="HH129" s="627"/>
      <c r="HI129" s="289">
        <v>0</v>
      </c>
      <c r="HJ129" s="627"/>
      <c r="HK129" s="627"/>
      <c r="HL129" s="289">
        <v>0</v>
      </c>
      <c r="HM129" s="627"/>
      <c r="HN129" s="627"/>
      <c r="HO129" s="289">
        <v>0</v>
      </c>
      <c r="HP129" s="627"/>
      <c r="HQ129" s="627"/>
      <c r="HR129" s="289">
        <v>0</v>
      </c>
      <c r="HS129" s="627"/>
      <c r="HT129" s="627"/>
      <c r="HU129" s="289">
        <v>0</v>
      </c>
      <c r="HV129" s="627"/>
      <c r="HW129" s="627"/>
      <c r="HX129" s="627"/>
      <c r="HY129" s="627"/>
      <c r="HZ129" s="627"/>
      <c r="IA129" s="289">
        <v>7</v>
      </c>
      <c r="IB129" s="627"/>
    </row>
    <row r="130" spans="2:236" ht="14.25" hidden="1" customHeight="1">
      <c r="B130" s="242" t="s">
        <v>872</v>
      </c>
      <c r="C130" s="230"/>
      <c r="D130" s="305"/>
      <c r="E130" s="234"/>
      <c r="F130" s="305"/>
      <c r="G130" s="283"/>
      <c r="H130" s="305"/>
      <c r="I130" s="233"/>
      <c r="J130" s="305"/>
      <c r="K130" s="233"/>
      <c r="L130" s="305"/>
      <c r="M130" s="233"/>
      <c r="N130" s="305"/>
      <c r="O130" s="233"/>
      <c r="P130" s="305"/>
      <c r="Q130" s="233"/>
      <c r="R130" s="305"/>
      <c r="S130" s="233"/>
      <c r="T130" s="305"/>
      <c r="U130" s="233"/>
      <c r="V130" s="305"/>
      <c r="W130" s="233"/>
      <c r="X130" s="305"/>
      <c r="Y130" s="233"/>
      <c r="Z130" s="305"/>
      <c r="AA130" s="233"/>
      <c r="AB130" s="305"/>
      <c r="AC130" s="233"/>
      <c r="AD130" s="305"/>
      <c r="AE130" s="233"/>
      <c r="AF130" s="305"/>
      <c r="AG130" s="233"/>
      <c r="AH130" s="305"/>
      <c r="AI130" s="233"/>
      <c r="AJ130" s="305"/>
      <c r="AK130" s="233"/>
      <c r="AL130" s="305"/>
      <c r="AM130" s="233"/>
      <c r="AN130" s="305"/>
      <c r="AO130" s="233"/>
      <c r="AP130" s="305"/>
      <c r="AQ130" s="233"/>
      <c r="AR130" s="305"/>
      <c r="AS130" s="233"/>
      <c r="AT130" s="305"/>
      <c r="AU130" s="233"/>
      <c r="AV130" s="305"/>
      <c r="AW130" s="233"/>
      <c r="AX130" s="305"/>
      <c r="AY130" s="233"/>
      <c r="AZ130" s="305"/>
      <c r="BA130" s="233"/>
      <c r="BB130" s="305"/>
      <c r="BC130" s="233"/>
      <c r="BD130" s="305"/>
      <c r="BE130" s="233"/>
      <c r="BF130" s="306"/>
      <c r="BG130" s="234"/>
      <c r="BH130" s="306"/>
      <c r="BI130" s="234"/>
      <c r="BJ130" s="306"/>
      <c r="BK130" s="234"/>
      <c r="BL130" s="306"/>
      <c r="BM130" s="234"/>
      <c r="BN130" s="306"/>
      <c r="BO130" s="234"/>
      <c r="BP130" s="306"/>
      <c r="BQ130" s="234"/>
      <c r="BR130" s="306"/>
      <c r="BS130" s="234"/>
      <c r="BT130" s="306"/>
      <c r="BU130" s="234"/>
      <c r="BV130" s="306"/>
      <c r="BW130" s="234"/>
      <c r="BX130" s="306"/>
      <c r="BY130" s="234"/>
      <c r="BZ130" s="306"/>
      <c r="CA130" s="234"/>
      <c r="CB130" s="306"/>
      <c r="CC130" s="234"/>
      <c r="CD130" s="306"/>
      <c r="CE130" s="234"/>
      <c r="CF130" s="306"/>
      <c r="CG130" s="234"/>
      <c r="CH130" s="305"/>
      <c r="CI130" s="234"/>
      <c r="CJ130" s="234"/>
      <c r="CK130" s="305"/>
      <c r="CL130" s="234"/>
      <c r="CM130" s="234"/>
      <c r="CN130" s="305"/>
      <c r="CO130" s="234"/>
      <c r="CP130" s="234"/>
      <c r="CQ130" s="305"/>
      <c r="CR130" s="234"/>
      <c r="CS130" s="425"/>
      <c r="CT130" s="426"/>
      <c r="CU130" s="234"/>
      <c r="CV130" s="198"/>
      <c r="CW130" s="426"/>
      <c r="CX130" s="234"/>
      <c r="CY130" s="436"/>
      <c r="CZ130" s="426"/>
      <c r="DA130" s="234"/>
      <c r="DB130" s="436"/>
      <c r="DC130" s="426"/>
      <c r="DD130" s="234"/>
      <c r="DE130" s="436"/>
      <c r="DF130" s="426"/>
      <c r="DG130" s="234"/>
      <c r="DH130" s="436"/>
      <c r="DI130" s="426"/>
      <c r="DJ130" s="234"/>
      <c r="DK130" s="436"/>
      <c r="DL130" s="426"/>
      <c r="DM130" s="234"/>
      <c r="DN130" s="436"/>
      <c r="DO130" s="576"/>
      <c r="DP130" s="425"/>
      <c r="DQ130" s="580"/>
      <c r="DR130" s="576"/>
      <c r="DS130" s="425"/>
      <c r="DT130" s="580"/>
      <c r="DU130" s="576"/>
      <c r="DV130" s="425"/>
      <c r="DW130" s="580"/>
      <c r="DX130" s="576"/>
      <c r="DY130" s="580"/>
      <c r="DZ130" s="580"/>
      <c r="EA130" s="576"/>
      <c r="EB130" s="580"/>
      <c r="EC130" s="580"/>
      <c r="ED130" s="576"/>
      <c r="EE130" s="580"/>
      <c r="EF130" s="580"/>
      <c r="EG130" s="426"/>
      <c r="EH130" s="234"/>
      <c r="EI130" s="436"/>
      <c r="EJ130" s="426"/>
      <c r="EK130" s="234"/>
      <c r="EL130" s="436"/>
      <c r="EM130" s="426"/>
      <c r="EN130" s="234"/>
      <c r="EO130" s="436"/>
      <c r="EP130" s="426"/>
      <c r="EQ130" s="234"/>
      <c r="ER130" s="436"/>
      <c r="ES130" s="426"/>
      <c r="ET130" s="234"/>
      <c r="EU130" s="436"/>
      <c r="EV130" s="820"/>
      <c r="EW130" s="234"/>
      <c r="EX130" s="436"/>
      <c r="EY130" s="576"/>
      <c r="EZ130" s="425"/>
      <c r="FA130" s="580"/>
      <c r="FB130" s="576"/>
      <c r="FC130" s="425"/>
      <c r="FD130" s="580"/>
      <c r="FE130" s="576"/>
      <c r="FF130" s="425"/>
      <c r="FG130" s="580"/>
      <c r="FH130" s="576"/>
      <c r="FI130" s="580"/>
      <c r="FJ130" s="580"/>
      <c r="FK130" s="576"/>
      <c r="FL130" s="580"/>
      <c r="FM130" s="580"/>
      <c r="FN130" s="576"/>
      <c r="FO130" s="580"/>
      <c r="FP130" s="580"/>
      <c r="FQ130" s="576"/>
      <c r="FR130" s="580"/>
      <c r="FS130" s="580"/>
      <c r="FT130" s="576"/>
      <c r="FU130" s="580"/>
      <c r="FV130" s="580"/>
      <c r="FW130" s="576"/>
      <c r="FX130" s="580"/>
      <c r="FY130" s="580"/>
      <c r="FZ130" s="576"/>
      <c r="GA130" s="580"/>
      <c r="GB130" s="580"/>
      <c r="GC130" s="576"/>
      <c r="GD130" s="580"/>
      <c r="GE130" s="576"/>
      <c r="GF130" s="580"/>
      <c r="GG130" s="576"/>
      <c r="GH130" s="580"/>
      <c r="GI130" s="576"/>
      <c r="GJ130" s="580"/>
      <c r="GK130" s="576"/>
      <c r="GL130" s="580"/>
      <c r="GM130" s="576"/>
      <c r="GN130" s="580"/>
      <c r="GO130" s="576"/>
      <c r="GP130" s="580"/>
      <c r="GQ130" s="1021"/>
      <c r="GR130" s="580"/>
      <c r="GS130" s="580"/>
      <c r="GT130" s="1021"/>
      <c r="GU130" s="580"/>
      <c r="GV130" s="580"/>
      <c r="GW130" s="1021"/>
      <c r="GX130" s="580"/>
      <c r="GY130" s="580"/>
      <c r="GZ130" s="576"/>
      <c r="HA130" s="580"/>
      <c r="HB130" s="580"/>
      <c r="HC130" s="576"/>
      <c r="HD130" s="580"/>
      <c r="HE130" s="580"/>
      <c r="HF130" s="576"/>
      <c r="HG130" s="580"/>
      <c r="HH130" s="580"/>
      <c r="HI130" s="576"/>
      <c r="HJ130" s="580"/>
      <c r="HK130" s="580"/>
      <c r="HL130" s="576"/>
      <c r="HM130" s="580"/>
      <c r="HN130" s="580"/>
      <c r="HO130" s="576"/>
      <c r="HP130" s="580"/>
      <c r="HQ130" s="580"/>
      <c r="HR130" s="576"/>
      <c r="HS130" s="580"/>
      <c r="HT130" s="580"/>
      <c r="HU130" s="576"/>
      <c r="HV130" s="580"/>
      <c r="HW130" s="580"/>
      <c r="HX130" s="580"/>
      <c r="HY130" s="580"/>
      <c r="HZ130" s="580"/>
      <c r="IA130" s="576"/>
    </row>
    <row r="131" spans="2:236" s="511" customFormat="1" ht="14.25" hidden="1" customHeight="1">
      <c r="B131" s="1028" t="s">
        <v>873</v>
      </c>
      <c r="C131" s="865"/>
      <c r="D131" s="1029"/>
      <c r="E131" s="436"/>
      <c r="F131" s="1029"/>
      <c r="G131" s="1030"/>
      <c r="H131" s="1029"/>
      <c r="I131" s="580"/>
      <c r="J131" s="1029"/>
      <c r="K131" s="580"/>
      <c r="L131" s="1029"/>
      <c r="M131" s="580"/>
      <c r="N131" s="1029"/>
      <c r="O131" s="580"/>
      <c r="P131" s="1029"/>
      <c r="Q131" s="580"/>
      <c r="R131" s="1029"/>
      <c r="S131" s="580"/>
      <c r="T131" s="1029"/>
      <c r="U131" s="580"/>
      <c r="V131" s="1029"/>
      <c r="W131" s="580"/>
      <c r="X131" s="1029"/>
      <c r="Y131" s="580"/>
      <c r="Z131" s="1029"/>
      <c r="AA131" s="580"/>
      <c r="AB131" s="1029"/>
      <c r="AC131" s="580"/>
      <c r="AD131" s="1029"/>
      <c r="AE131" s="580"/>
      <c r="AF131" s="1029"/>
      <c r="AG131" s="580"/>
      <c r="AH131" s="1029"/>
      <c r="AI131" s="580"/>
      <c r="AJ131" s="1029"/>
      <c r="AK131" s="580"/>
      <c r="AL131" s="1029"/>
      <c r="AM131" s="580"/>
      <c r="AN131" s="1029"/>
      <c r="AO131" s="580"/>
      <c r="AP131" s="1029"/>
      <c r="AQ131" s="580"/>
      <c r="AR131" s="1029"/>
      <c r="AS131" s="580"/>
      <c r="AT131" s="1029"/>
      <c r="AU131" s="580"/>
      <c r="AV131" s="1029"/>
      <c r="AW131" s="580"/>
      <c r="AX131" s="1029"/>
      <c r="AY131" s="580"/>
      <c r="AZ131" s="1029"/>
      <c r="BA131" s="580"/>
      <c r="BB131" s="1029"/>
      <c r="BC131" s="580"/>
      <c r="BD131" s="1029"/>
      <c r="BE131" s="580"/>
      <c r="BF131" s="1031"/>
      <c r="BG131" s="436"/>
      <c r="BH131" s="1031"/>
      <c r="BI131" s="436"/>
      <c r="BJ131" s="1031"/>
      <c r="BK131" s="436"/>
      <c r="BL131" s="1031"/>
      <c r="BM131" s="436"/>
      <c r="BN131" s="1031"/>
      <c r="BO131" s="436"/>
      <c r="BP131" s="1031"/>
      <c r="BQ131" s="436"/>
      <c r="BR131" s="1031">
        <v>1</v>
      </c>
      <c r="BS131" s="436"/>
      <c r="BT131" s="1031"/>
      <c r="BU131" s="436"/>
      <c r="BV131" s="1031"/>
      <c r="BW131" s="436"/>
      <c r="BX131" s="1031"/>
      <c r="BY131" s="436"/>
      <c r="BZ131" s="1031"/>
      <c r="CA131" s="436"/>
      <c r="CB131" s="1031"/>
      <c r="CC131" s="436"/>
      <c r="CD131" s="1031"/>
      <c r="CE131" s="436"/>
      <c r="CF131" s="1031"/>
      <c r="CG131" s="436"/>
      <c r="CH131" s="1029"/>
      <c r="CI131" s="436"/>
      <c r="CJ131" s="436"/>
      <c r="CK131" s="1029"/>
      <c r="CL131" s="436"/>
      <c r="CM131" s="436"/>
      <c r="CN131" s="1029"/>
      <c r="CO131" s="436"/>
      <c r="CP131" s="436"/>
      <c r="CQ131" s="1029"/>
      <c r="CR131" s="436"/>
      <c r="CS131" s="580"/>
      <c r="CT131" s="1029"/>
      <c r="CU131" s="436"/>
      <c r="CV131" s="614"/>
      <c r="CW131" s="1029"/>
      <c r="CX131" s="436"/>
      <c r="CY131" s="436"/>
      <c r="CZ131" s="1029"/>
      <c r="DA131" s="436"/>
      <c r="DB131" s="436"/>
      <c r="DC131" s="1029"/>
      <c r="DD131" s="436"/>
      <c r="DE131" s="436"/>
      <c r="DF131" s="1029"/>
      <c r="DG131" s="436"/>
      <c r="DH131" s="436"/>
      <c r="DI131" s="1029"/>
      <c r="DJ131" s="436"/>
      <c r="DK131" s="436"/>
      <c r="DL131" s="1029"/>
      <c r="DM131" s="436"/>
      <c r="DN131" s="436"/>
      <c r="DO131" s="942"/>
      <c r="DP131" s="580"/>
      <c r="DQ131" s="580"/>
      <c r="DR131" s="942"/>
      <c r="DS131" s="580"/>
      <c r="DT131" s="580"/>
      <c r="DU131" s="942"/>
      <c r="DV131" s="580"/>
      <c r="DW131" s="580"/>
      <c r="DX131" s="942"/>
      <c r="DY131" s="580"/>
      <c r="DZ131" s="580"/>
      <c r="EA131" s="942"/>
      <c r="EB131" s="580"/>
      <c r="EC131" s="580"/>
      <c r="ED131" s="942"/>
      <c r="EE131" s="580"/>
      <c r="EF131" s="580"/>
      <c r="EG131" s="1029"/>
      <c r="EH131" s="436"/>
      <c r="EI131" s="436"/>
      <c r="EJ131" s="1029"/>
      <c r="EK131" s="436"/>
      <c r="EL131" s="436"/>
      <c r="EM131" s="1029"/>
      <c r="EN131" s="436"/>
      <c r="EO131" s="436"/>
      <c r="EP131" s="1029"/>
      <c r="EQ131" s="436"/>
      <c r="ER131" s="436"/>
      <c r="ES131" s="1029"/>
      <c r="ET131" s="436"/>
      <c r="EU131" s="436"/>
      <c r="EV131" s="1032"/>
      <c r="EW131" s="436"/>
      <c r="EX131" s="436"/>
      <c r="EY131" s="942"/>
      <c r="EZ131" s="580"/>
      <c r="FA131" s="580"/>
      <c r="FB131" s="942"/>
      <c r="FC131" s="580"/>
      <c r="FD131" s="580"/>
      <c r="FE131" s="942"/>
      <c r="FF131" s="580"/>
      <c r="FG131" s="580"/>
      <c r="FH131" s="942"/>
      <c r="FI131" s="580"/>
      <c r="FJ131" s="580"/>
      <c r="FK131" s="942"/>
      <c r="FL131" s="580"/>
      <c r="FM131" s="580"/>
      <c r="FN131" s="942"/>
      <c r="FO131" s="580"/>
      <c r="FP131" s="580"/>
      <c r="FQ131" s="942"/>
      <c r="FR131" s="580"/>
      <c r="FS131" s="580"/>
      <c r="FT131" s="942"/>
      <c r="FU131" s="580"/>
      <c r="FV131" s="580"/>
      <c r="FW131" s="942"/>
      <c r="FX131" s="580"/>
      <c r="FY131" s="580"/>
      <c r="FZ131" s="942"/>
      <c r="GA131" s="580"/>
      <c r="GB131" s="580"/>
      <c r="GC131" s="942"/>
      <c r="GD131" s="580"/>
      <c r="GE131" s="942"/>
      <c r="GF131" s="580"/>
      <c r="GG131" s="942"/>
      <c r="GH131" s="580"/>
      <c r="GI131" s="942"/>
      <c r="GJ131" s="580"/>
      <c r="GK131" s="942"/>
      <c r="GL131" s="580"/>
      <c r="GM131" s="942"/>
      <c r="GN131" s="580"/>
      <c r="GO131" s="942"/>
      <c r="GP131" s="580"/>
      <c r="GQ131" s="1022"/>
      <c r="GR131" s="580"/>
      <c r="GS131" s="580"/>
      <c r="GT131" s="1022"/>
      <c r="GU131" s="580"/>
      <c r="GV131" s="580"/>
      <c r="GW131" s="1022"/>
      <c r="GX131" s="580"/>
      <c r="GY131" s="580"/>
      <c r="GZ131" s="942"/>
      <c r="HA131" s="580"/>
      <c r="HB131" s="580"/>
      <c r="HC131" s="942"/>
      <c r="HD131" s="580"/>
      <c r="HE131" s="580"/>
      <c r="HF131" s="942"/>
      <c r="HG131" s="580"/>
      <c r="HH131" s="580"/>
      <c r="HI131" s="942"/>
      <c r="HJ131" s="580"/>
      <c r="HK131" s="580"/>
      <c r="HL131" s="942"/>
      <c r="HM131" s="580"/>
      <c r="HN131" s="580"/>
      <c r="HO131" s="942"/>
      <c r="HP131" s="580"/>
      <c r="HQ131" s="580"/>
      <c r="HR131" s="942"/>
      <c r="HS131" s="580"/>
      <c r="HT131" s="580"/>
      <c r="HU131" s="942"/>
      <c r="HV131" s="580"/>
      <c r="HW131" s="580"/>
      <c r="HX131" s="580"/>
      <c r="HY131" s="580"/>
      <c r="HZ131" s="580"/>
      <c r="IA131" s="942"/>
    </row>
    <row r="132" spans="2:236" ht="14.25" customHeight="1">
      <c r="B132" s="242" t="s">
        <v>868</v>
      </c>
      <c r="C132" s="242"/>
      <c r="D132" s="292">
        <v>66</v>
      </c>
      <c r="E132" s="234"/>
      <c r="F132" s="292">
        <v>58</v>
      </c>
      <c r="G132" s="234"/>
      <c r="H132" s="292">
        <v>71</v>
      </c>
      <c r="I132" s="233"/>
      <c r="J132" s="292">
        <v>90</v>
      </c>
      <c r="K132" s="233"/>
      <c r="L132" s="292">
        <v>71</v>
      </c>
      <c r="M132" s="233"/>
      <c r="N132" s="292">
        <v>75</v>
      </c>
      <c r="O132" s="233"/>
      <c r="P132" s="292" t="e">
        <f>+#REF!</f>
        <v>#REF!</v>
      </c>
      <c r="Q132" s="233"/>
      <c r="R132" s="292" t="e">
        <f>+#REF!</f>
        <v>#REF!</v>
      </c>
      <c r="S132" s="233"/>
      <c r="T132" s="292" t="e">
        <f>+#REF!</f>
        <v>#REF!</v>
      </c>
      <c r="U132" s="233"/>
      <c r="V132" s="292" t="e">
        <f>+#REF!</f>
        <v>#REF!</v>
      </c>
      <c r="W132" s="233"/>
      <c r="X132" s="292" t="e">
        <f>+#REF!</f>
        <v>#REF!</v>
      </c>
      <c r="Y132" s="233"/>
      <c r="Z132" s="292" t="e">
        <f>+#REF!</f>
        <v>#REF!</v>
      </c>
      <c r="AA132" s="233"/>
      <c r="AB132" s="292" t="e">
        <f>+#REF!</f>
        <v>#REF!</v>
      </c>
      <c r="AC132" s="233"/>
      <c r="AD132" s="292" t="e">
        <f>+#REF!</f>
        <v>#REF!</v>
      </c>
      <c r="AE132" s="233"/>
      <c r="AF132" s="292" t="e">
        <f>+#REF!</f>
        <v>#REF!</v>
      </c>
      <c r="AG132" s="233"/>
      <c r="AH132" s="292" t="e">
        <f>+#REF!</f>
        <v>#REF!</v>
      </c>
      <c r="AI132" s="233"/>
      <c r="AJ132" s="292">
        <v>137</v>
      </c>
      <c r="AK132" s="233"/>
      <c r="AL132" s="292" t="e">
        <f>+#REF!</f>
        <v>#REF!</v>
      </c>
      <c r="AM132" s="233"/>
      <c r="AN132" s="292" t="e">
        <f>+#REF!</f>
        <v>#REF!</v>
      </c>
      <c r="AO132" s="233"/>
      <c r="AP132" s="292" t="e">
        <f>+#REF!</f>
        <v>#REF!</v>
      </c>
      <c r="AQ132" s="233"/>
      <c r="AR132" s="292" t="e">
        <f>+#REF!</f>
        <v>#REF!</v>
      </c>
      <c r="AS132" s="233"/>
      <c r="AT132" s="292">
        <v>192</v>
      </c>
      <c r="AU132" s="233"/>
      <c r="AV132" s="292" t="e">
        <f>+#REF!</f>
        <v>#REF!</v>
      </c>
      <c r="AW132" s="233"/>
      <c r="AX132" s="292" t="e">
        <f>+#REF!</f>
        <v>#REF!</v>
      </c>
      <c r="AY132" s="233"/>
      <c r="AZ132" s="292" t="e">
        <f>+#REF!</f>
        <v>#REF!</v>
      </c>
      <c r="BA132" s="233"/>
      <c r="BB132" s="292" t="e">
        <f>+#REF!</f>
        <v>#REF!</v>
      </c>
      <c r="BC132" s="233"/>
      <c r="BD132" s="292" t="e">
        <f>#REF!</f>
        <v>#REF!</v>
      </c>
      <c r="BE132" s="233"/>
      <c r="BF132" s="293" t="e">
        <f>#REF!</f>
        <v>#REF!</v>
      </c>
      <c r="BG132" s="234"/>
      <c r="BH132" s="293">
        <v>83</v>
      </c>
      <c r="BI132" s="234"/>
      <c r="BJ132" s="293">
        <v>104</v>
      </c>
      <c r="BK132" s="234"/>
      <c r="BL132" s="293">
        <v>126</v>
      </c>
      <c r="BM132" s="234"/>
      <c r="BN132" s="293">
        <v>115</v>
      </c>
      <c r="BO132" s="234"/>
      <c r="BP132" s="293">
        <v>110</v>
      </c>
      <c r="BQ132" s="234"/>
      <c r="BR132" s="293">
        <v>133</v>
      </c>
      <c r="BS132" s="234"/>
      <c r="BT132" s="293">
        <v>137</v>
      </c>
      <c r="BU132" s="234"/>
      <c r="BV132" s="293">
        <v>161</v>
      </c>
      <c r="BW132" s="234"/>
      <c r="BX132" s="293">
        <v>152</v>
      </c>
      <c r="BY132" s="234"/>
      <c r="BZ132" s="293">
        <v>162</v>
      </c>
      <c r="CA132" s="234"/>
      <c r="CB132" s="293">
        <v>181</v>
      </c>
      <c r="CC132" s="234"/>
      <c r="CD132" s="293">
        <v>210</v>
      </c>
      <c r="CE132" s="234"/>
      <c r="CF132" s="293">
        <v>191</v>
      </c>
      <c r="CG132" s="234"/>
      <c r="CH132" s="292">
        <v>230</v>
      </c>
      <c r="CI132" s="234"/>
      <c r="CJ132" s="234"/>
      <c r="CK132" s="292">
        <f>13+232</f>
        <v>245</v>
      </c>
      <c r="CL132" s="234"/>
      <c r="CM132" s="234"/>
      <c r="CN132" s="292">
        <v>167</v>
      </c>
      <c r="CO132" s="234"/>
      <c r="CP132" s="234"/>
      <c r="CQ132" s="292">
        <v>180</v>
      </c>
      <c r="CR132" s="234"/>
      <c r="CS132" s="425"/>
      <c r="CT132" s="427">
        <v>198</v>
      </c>
      <c r="CU132" s="234"/>
      <c r="CV132" s="291"/>
      <c r="CW132" s="427">
        <v>212</v>
      </c>
      <c r="CX132" s="234"/>
      <c r="CY132" s="436"/>
      <c r="CZ132" s="427">
        <v>144</v>
      </c>
      <c r="DA132" s="234"/>
      <c r="DB132" s="436"/>
      <c r="DC132" s="427">
        <v>205</v>
      </c>
      <c r="DD132" s="234"/>
      <c r="DE132" s="436"/>
      <c r="DF132" s="427">
        <v>208</v>
      </c>
      <c r="DG132" s="234"/>
      <c r="DH132" s="436"/>
      <c r="DI132" s="427">
        <v>187</v>
      </c>
      <c r="DJ132" s="234"/>
      <c r="DK132" s="436"/>
      <c r="DL132" s="427">
        <v>174</v>
      </c>
      <c r="DM132" s="234"/>
      <c r="DN132" s="436"/>
      <c r="DO132" s="577">
        <v>204</v>
      </c>
      <c r="DP132" s="425"/>
      <c r="DQ132" s="580"/>
      <c r="DR132" s="577">
        <v>183</v>
      </c>
      <c r="DS132" s="425"/>
      <c r="DT132" s="580"/>
      <c r="DU132" s="577">
        <v>227</v>
      </c>
      <c r="DV132" s="425"/>
      <c r="DW132" s="580"/>
      <c r="DX132" s="577">
        <v>145</v>
      </c>
      <c r="DY132" s="580"/>
      <c r="DZ132" s="580"/>
      <c r="EA132" s="577">
        <v>157</v>
      </c>
      <c r="EB132" s="580"/>
      <c r="EC132" s="580"/>
      <c r="ED132" s="577">
        <v>127</v>
      </c>
      <c r="EE132" s="580"/>
      <c r="EF132" s="580"/>
      <c r="EG132" s="427">
        <v>79</v>
      </c>
      <c r="EH132" s="234"/>
      <c r="EI132" s="436"/>
      <c r="EJ132" s="427">
        <v>64</v>
      </c>
      <c r="EK132" s="234"/>
      <c r="EL132" s="436"/>
      <c r="EM132" s="427">
        <v>97</v>
      </c>
      <c r="EN132" s="234"/>
      <c r="EO132" s="436"/>
      <c r="EP132" s="427">
        <v>111</v>
      </c>
      <c r="EQ132" s="234"/>
      <c r="ER132" s="436"/>
      <c r="ES132" s="427">
        <v>100</v>
      </c>
      <c r="ET132" s="234"/>
      <c r="EU132" s="436"/>
      <c r="EV132" s="821">
        <v>94</v>
      </c>
      <c r="EW132" s="234"/>
      <c r="EX132" s="436"/>
      <c r="EY132" s="577">
        <v>91</v>
      </c>
      <c r="EZ132" s="425"/>
      <c r="FA132" s="580"/>
      <c r="FB132" s="577">
        <v>89</v>
      </c>
      <c r="FC132" s="425"/>
      <c r="FD132" s="580"/>
      <c r="FE132" s="577">
        <v>75</v>
      </c>
      <c r="FF132" s="425"/>
      <c r="FG132" s="580"/>
      <c r="FH132" s="577">
        <v>56</v>
      </c>
      <c r="FI132" s="580"/>
      <c r="FJ132" s="580"/>
      <c r="FK132" s="427">
        <v>78</v>
      </c>
      <c r="FL132" s="580"/>
      <c r="FM132" s="580"/>
      <c r="FN132" s="427">
        <v>91</v>
      </c>
      <c r="FO132" s="580"/>
      <c r="FP132" s="580"/>
      <c r="FQ132" s="427">
        <v>67</v>
      </c>
      <c r="FR132" s="580"/>
      <c r="FS132" s="580"/>
      <c r="FT132" s="427">
        <v>75</v>
      </c>
      <c r="FU132" s="580"/>
      <c r="FV132" s="580"/>
      <c r="FW132" s="427">
        <v>59</v>
      </c>
      <c r="FX132" s="580"/>
      <c r="FY132" s="580"/>
      <c r="FZ132" s="427">
        <v>56</v>
      </c>
      <c r="GA132" s="580"/>
      <c r="GB132" s="580"/>
      <c r="GC132" s="427">
        <v>64</v>
      </c>
      <c r="GD132" s="580"/>
      <c r="GE132" s="427">
        <v>51</v>
      </c>
      <c r="GF132" s="580"/>
      <c r="GG132" s="427">
        <v>44</v>
      </c>
      <c r="GH132" s="580"/>
      <c r="GI132" s="427">
        <v>70</v>
      </c>
      <c r="GJ132" s="580"/>
      <c r="GK132" s="427">
        <v>40</v>
      </c>
      <c r="GL132" s="580"/>
      <c r="GM132" s="427">
        <v>34</v>
      </c>
      <c r="GN132" s="580"/>
      <c r="GO132" s="427">
        <v>119</v>
      </c>
      <c r="GP132" s="580"/>
      <c r="GQ132" s="821">
        <v>35</v>
      </c>
      <c r="GR132" s="580"/>
      <c r="GS132" s="580"/>
      <c r="GT132" s="821">
        <v>21</v>
      </c>
      <c r="GU132" s="580"/>
      <c r="GV132" s="580"/>
      <c r="GW132" s="821">
        <v>26</v>
      </c>
      <c r="GX132" s="580"/>
      <c r="GY132" s="580"/>
      <c r="GZ132" s="427">
        <v>32</v>
      </c>
      <c r="HA132" s="580"/>
      <c r="HB132" s="580"/>
      <c r="HC132" s="427">
        <v>46</v>
      </c>
      <c r="HD132" s="580"/>
      <c r="HE132" s="580"/>
      <c r="HF132" s="427">
        <v>36</v>
      </c>
      <c r="HG132" s="580"/>
      <c r="HH132" s="580"/>
      <c r="HI132" s="427">
        <v>37</v>
      </c>
      <c r="HJ132" s="580"/>
      <c r="HK132" s="580"/>
      <c r="HL132" s="427">
        <v>40</v>
      </c>
      <c r="HM132" s="580"/>
      <c r="HN132" s="580"/>
      <c r="HO132" s="427">
        <v>54</v>
      </c>
      <c r="HP132" s="580"/>
      <c r="HQ132" s="580"/>
      <c r="HR132" s="427">
        <v>54</v>
      </c>
      <c r="HS132" s="580"/>
      <c r="HT132" s="580"/>
      <c r="HU132" s="427">
        <v>54</v>
      </c>
      <c r="HV132" s="580"/>
      <c r="HW132" s="580"/>
      <c r="HX132" s="580"/>
      <c r="HY132" s="580"/>
      <c r="HZ132" s="580"/>
      <c r="IA132" s="577">
        <v>127</v>
      </c>
    </row>
    <row r="133" spans="2:236" ht="14.25" hidden="1" customHeight="1">
      <c r="B133" s="242" t="s">
        <v>874</v>
      </c>
      <c r="C133" s="242"/>
      <c r="D133" s="292"/>
      <c r="E133" s="234"/>
      <c r="F133" s="292"/>
      <c r="G133" s="234"/>
      <c r="H133" s="292"/>
      <c r="I133" s="233"/>
      <c r="J133" s="292"/>
      <c r="K133" s="233"/>
      <c r="L133" s="292"/>
      <c r="M133" s="233"/>
      <c r="N133" s="292"/>
      <c r="O133" s="233"/>
      <c r="P133" s="292"/>
      <c r="Q133" s="233"/>
      <c r="R133" s="292"/>
      <c r="S133" s="233"/>
      <c r="T133" s="292"/>
      <c r="U133" s="233"/>
      <c r="V133" s="292"/>
      <c r="W133" s="233"/>
      <c r="X133" s="292"/>
      <c r="Y133" s="233"/>
      <c r="Z133" s="292"/>
      <c r="AA133" s="233"/>
      <c r="AB133" s="292"/>
      <c r="AC133" s="233"/>
      <c r="AD133" s="292"/>
      <c r="AE133" s="233"/>
      <c r="AF133" s="292"/>
      <c r="AG133" s="233"/>
      <c r="AH133" s="292"/>
      <c r="AI133" s="233"/>
      <c r="AJ133" s="292"/>
      <c r="AK133" s="233"/>
      <c r="AL133" s="292"/>
      <c r="AM133" s="233"/>
      <c r="AN133" s="292"/>
      <c r="AO133" s="233"/>
      <c r="AP133" s="292"/>
      <c r="AQ133" s="233"/>
      <c r="AR133" s="292"/>
      <c r="AS133" s="233"/>
      <c r="AT133" s="292"/>
      <c r="AU133" s="233"/>
      <c r="AV133" s="292"/>
      <c r="AW133" s="233"/>
      <c r="AX133" s="292"/>
      <c r="AY133" s="233"/>
      <c r="AZ133" s="292"/>
      <c r="BA133" s="233"/>
      <c r="BB133" s="292"/>
      <c r="BC133" s="233"/>
      <c r="BD133" s="292"/>
      <c r="BE133" s="233"/>
      <c r="BF133" s="293"/>
      <c r="BG133" s="234"/>
      <c r="BH133" s="293"/>
      <c r="BI133" s="234"/>
      <c r="BJ133" s="293">
        <v>1</v>
      </c>
      <c r="BK133" s="234"/>
      <c r="BL133" s="293">
        <v>9.9999999999999995E-7</v>
      </c>
      <c r="BM133" s="234"/>
      <c r="BN133" s="293">
        <v>9.9999999999999995E-7</v>
      </c>
      <c r="BO133" s="234"/>
      <c r="BP133" s="293">
        <v>9.9999999999999995E-7</v>
      </c>
      <c r="BQ133" s="234"/>
      <c r="BR133" s="293">
        <v>1.0000000000000001E-9</v>
      </c>
      <c r="BS133" s="234"/>
      <c r="BT133" s="293"/>
      <c r="BU133" s="234"/>
      <c r="BV133" s="293"/>
      <c r="BW133" s="234"/>
      <c r="BX133" s="293"/>
      <c r="BY133" s="234"/>
      <c r="BZ133" s="293"/>
      <c r="CA133" s="234"/>
      <c r="CB133" s="293"/>
      <c r="CC133" s="234"/>
      <c r="CD133" s="293"/>
      <c r="CE133" s="234"/>
      <c r="CF133" s="293"/>
      <c r="CG133" s="234"/>
      <c r="CH133" s="292"/>
      <c r="CI133" s="234"/>
      <c r="CJ133" s="234"/>
      <c r="CK133" s="292"/>
      <c r="CL133" s="234"/>
      <c r="CM133" s="234"/>
      <c r="CN133" s="292"/>
      <c r="CO133" s="234"/>
      <c r="CP133" s="234"/>
      <c r="CQ133" s="292"/>
      <c r="CR133" s="234"/>
      <c r="CS133" s="425"/>
      <c r="CT133" s="427"/>
      <c r="CU133" s="234"/>
      <c r="CV133" s="291"/>
      <c r="CW133" s="427"/>
      <c r="CX133" s="234"/>
      <c r="CY133" s="436"/>
      <c r="CZ133" s="427"/>
      <c r="DA133" s="234"/>
      <c r="DB133" s="436"/>
      <c r="DC133" s="427"/>
      <c r="DD133" s="234"/>
      <c r="DE133" s="436"/>
      <c r="DF133" s="427"/>
      <c r="DG133" s="234"/>
      <c r="DH133" s="436"/>
      <c r="DI133" s="427"/>
      <c r="DJ133" s="234"/>
      <c r="DK133" s="436"/>
      <c r="DL133" s="427"/>
      <c r="DM133" s="234"/>
      <c r="DN133" s="436"/>
      <c r="DO133" s="578"/>
      <c r="DP133" s="425"/>
      <c r="DQ133" s="580"/>
      <c r="DR133" s="578"/>
      <c r="DS133" s="425"/>
      <c r="DT133" s="580"/>
      <c r="DU133" s="578"/>
      <c r="DV133" s="425"/>
      <c r="DW133" s="580"/>
      <c r="DX133" s="578"/>
      <c r="DY133" s="580"/>
      <c r="DZ133" s="580"/>
      <c r="EA133" s="578"/>
      <c r="EB133" s="580"/>
      <c r="EC133" s="580"/>
      <c r="ED133" s="578"/>
      <c r="EE133" s="580"/>
      <c r="EF133" s="580"/>
      <c r="EG133" s="427"/>
      <c r="EH133" s="234"/>
      <c r="EI133" s="436"/>
      <c r="EJ133" s="427"/>
      <c r="EK133" s="234"/>
      <c r="EL133" s="436"/>
      <c r="EM133" s="427"/>
      <c r="EN133" s="234"/>
      <c r="EO133" s="436"/>
      <c r="EP133" s="427"/>
      <c r="EQ133" s="234"/>
      <c r="ER133" s="436"/>
      <c r="ES133" s="427"/>
      <c r="ET133" s="234"/>
      <c r="EU133" s="436"/>
      <c r="EV133" s="821"/>
      <c r="EW133" s="234"/>
      <c r="EX133" s="436"/>
      <c r="EY133" s="578"/>
      <c r="EZ133" s="425"/>
      <c r="FA133" s="580"/>
      <c r="FB133" s="578"/>
      <c r="FC133" s="425"/>
      <c r="FD133" s="580"/>
      <c r="FE133" s="578"/>
      <c r="FF133" s="425"/>
      <c r="FG133" s="580"/>
      <c r="FH133" s="578"/>
      <c r="FI133" s="580"/>
      <c r="FJ133" s="580"/>
      <c r="FK133" s="427"/>
      <c r="FL133" s="580"/>
      <c r="FM133" s="580"/>
      <c r="FN133" s="427"/>
      <c r="FO133" s="580"/>
      <c r="FP133" s="580"/>
      <c r="FQ133" s="427"/>
      <c r="FR133" s="580"/>
      <c r="FS133" s="580"/>
      <c r="FT133" s="427"/>
      <c r="FU133" s="580"/>
      <c r="FV133" s="580"/>
      <c r="FW133" s="427"/>
      <c r="FX133" s="580"/>
      <c r="FY133" s="580"/>
      <c r="FZ133" s="427"/>
      <c r="GA133" s="580"/>
      <c r="GB133" s="580"/>
      <c r="GC133" s="427">
        <v>64</v>
      </c>
      <c r="GD133" s="580"/>
      <c r="GE133" s="427">
        <v>64</v>
      </c>
      <c r="GF133" s="580"/>
      <c r="GG133" s="427">
        <v>64</v>
      </c>
      <c r="GH133" s="580"/>
      <c r="GI133" s="427">
        <v>64</v>
      </c>
      <c r="GJ133" s="580"/>
      <c r="GK133" s="427">
        <v>64</v>
      </c>
      <c r="GL133" s="580"/>
      <c r="GM133" s="427">
        <v>0</v>
      </c>
      <c r="GN133" s="580"/>
      <c r="GO133" s="427"/>
      <c r="GP133" s="580"/>
      <c r="GQ133" s="821"/>
      <c r="GR133" s="580"/>
      <c r="GS133" s="580"/>
      <c r="GT133" s="821"/>
      <c r="GU133" s="580"/>
      <c r="GV133" s="580"/>
      <c r="GW133" s="821"/>
      <c r="GX133" s="580"/>
      <c r="GY133" s="580"/>
      <c r="GZ133" s="427"/>
      <c r="HA133" s="580"/>
      <c r="HB133" s="580"/>
      <c r="HC133" s="427"/>
      <c r="HD133" s="580"/>
      <c r="HE133" s="580"/>
      <c r="HF133" s="427"/>
      <c r="HG133" s="580"/>
      <c r="HH133" s="580"/>
      <c r="HI133" s="427"/>
      <c r="HJ133" s="580"/>
      <c r="HK133" s="580"/>
      <c r="HL133" s="427"/>
      <c r="HM133" s="580"/>
      <c r="HN133" s="580"/>
      <c r="HO133" s="427"/>
      <c r="HP133" s="580"/>
      <c r="HQ133" s="580"/>
      <c r="HR133" s="427"/>
      <c r="HS133" s="580"/>
      <c r="HT133" s="580"/>
      <c r="HU133" s="427"/>
      <c r="HV133" s="580"/>
      <c r="HW133" s="580"/>
      <c r="HX133" s="580"/>
      <c r="HY133" s="580"/>
      <c r="HZ133" s="580"/>
      <c r="IA133" s="578"/>
    </row>
    <row r="134" spans="2:236" ht="14.25" hidden="1" customHeight="1">
      <c r="B134" s="242" t="s">
        <v>875</v>
      </c>
      <c r="C134" s="242"/>
      <c r="D134" s="292"/>
      <c r="E134" s="234"/>
      <c r="F134" s="292"/>
      <c r="G134" s="234"/>
      <c r="H134" s="292"/>
      <c r="I134" s="233"/>
      <c r="J134" s="292"/>
      <c r="K134" s="233"/>
      <c r="L134" s="292"/>
      <c r="M134" s="233"/>
      <c r="N134" s="292"/>
      <c r="O134" s="233"/>
      <c r="P134" s="292"/>
      <c r="Q134" s="233"/>
      <c r="R134" s="292"/>
      <c r="S134" s="233"/>
      <c r="T134" s="292"/>
      <c r="U134" s="233"/>
      <c r="V134" s="292"/>
      <c r="W134" s="233"/>
      <c r="X134" s="292"/>
      <c r="Y134" s="233"/>
      <c r="Z134" s="292"/>
      <c r="AA134" s="233"/>
      <c r="AB134" s="292"/>
      <c r="AC134" s="233"/>
      <c r="AD134" s="292"/>
      <c r="AE134" s="233"/>
      <c r="AF134" s="292"/>
      <c r="AG134" s="233"/>
      <c r="AH134" s="292"/>
      <c r="AI134" s="233"/>
      <c r="AJ134" s="292"/>
      <c r="AK134" s="233"/>
      <c r="AL134" s="292"/>
      <c r="AM134" s="233"/>
      <c r="AN134" s="292"/>
      <c r="AO134" s="233"/>
      <c r="AP134" s="292"/>
      <c r="AQ134" s="233"/>
      <c r="AR134" s="292"/>
      <c r="AS134" s="233"/>
      <c r="AT134" s="292"/>
      <c r="AU134" s="233"/>
      <c r="AV134" s="292"/>
      <c r="AW134" s="233"/>
      <c r="AX134" s="292"/>
      <c r="AY134" s="233"/>
      <c r="AZ134" s="292"/>
      <c r="BA134" s="233"/>
      <c r="BB134" s="292"/>
      <c r="BC134" s="233"/>
      <c r="BD134" s="292"/>
      <c r="BE134" s="233"/>
      <c r="BF134" s="293">
        <v>1</v>
      </c>
      <c r="BG134" s="234"/>
      <c r="BH134" s="293">
        <v>1.0000000000000001E-5</v>
      </c>
      <c r="BI134" s="234"/>
      <c r="BJ134" s="293">
        <v>1</v>
      </c>
      <c r="BK134" s="234"/>
      <c r="BL134" s="293">
        <v>9.9999999999999995E-7</v>
      </c>
      <c r="BM134" s="234"/>
      <c r="BN134" s="293">
        <v>1</v>
      </c>
      <c r="BO134" s="234"/>
      <c r="BP134" s="293">
        <v>9.9999999999999995E-7</v>
      </c>
      <c r="BQ134" s="234"/>
      <c r="BR134" s="293">
        <v>1.0000000000000001E-9</v>
      </c>
      <c r="BS134" s="234"/>
      <c r="BT134" s="293"/>
      <c r="BU134" s="234"/>
      <c r="BV134" s="293"/>
      <c r="BW134" s="234"/>
      <c r="BX134" s="293"/>
      <c r="BY134" s="234"/>
      <c r="BZ134" s="293"/>
      <c r="CA134" s="234"/>
      <c r="CB134" s="293"/>
      <c r="CC134" s="234"/>
      <c r="CD134" s="293"/>
      <c r="CE134" s="234"/>
      <c r="CF134" s="293"/>
      <c r="CG134" s="234"/>
      <c r="CH134" s="292"/>
      <c r="CI134" s="234"/>
      <c r="CJ134" s="234"/>
      <c r="CK134" s="292"/>
      <c r="CL134" s="234"/>
      <c r="CM134" s="234"/>
      <c r="CN134" s="292"/>
      <c r="CO134" s="234"/>
      <c r="CP134" s="234"/>
      <c r="CQ134" s="292"/>
      <c r="CR134" s="234"/>
      <c r="CS134" s="425"/>
      <c r="CT134" s="427"/>
      <c r="CU134" s="234"/>
      <c r="CV134" s="291"/>
      <c r="CW134" s="427"/>
      <c r="CX134" s="234"/>
      <c r="CY134" s="436"/>
      <c r="CZ134" s="427"/>
      <c r="DA134" s="234"/>
      <c r="DB134" s="436"/>
      <c r="DC134" s="427"/>
      <c r="DD134" s="234"/>
      <c r="DE134" s="436"/>
      <c r="DF134" s="427"/>
      <c r="DG134" s="234"/>
      <c r="DH134" s="436"/>
      <c r="DI134" s="427"/>
      <c r="DJ134" s="234"/>
      <c r="DK134" s="436"/>
      <c r="DL134" s="427"/>
      <c r="DM134" s="234"/>
      <c r="DN134" s="436"/>
      <c r="DO134" s="578"/>
      <c r="DP134" s="425"/>
      <c r="DQ134" s="580"/>
      <c r="DR134" s="578"/>
      <c r="DS134" s="425"/>
      <c r="DT134" s="580"/>
      <c r="DU134" s="578"/>
      <c r="DV134" s="425"/>
      <c r="DW134" s="580"/>
      <c r="DX134" s="578"/>
      <c r="DY134" s="580"/>
      <c r="DZ134" s="580"/>
      <c r="EA134" s="578"/>
      <c r="EB134" s="580"/>
      <c r="EC134" s="580"/>
      <c r="ED134" s="578"/>
      <c r="EE134" s="580"/>
      <c r="EF134" s="580"/>
      <c r="EG134" s="427"/>
      <c r="EH134" s="234"/>
      <c r="EI134" s="436"/>
      <c r="EJ134" s="427"/>
      <c r="EK134" s="234"/>
      <c r="EL134" s="436"/>
      <c r="EM134" s="427"/>
      <c r="EN134" s="234"/>
      <c r="EO134" s="436"/>
      <c r="EP134" s="427"/>
      <c r="EQ134" s="234"/>
      <c r="ER134" s="436"/>
      <c r="ES134" s="427"/>
      <c r="ET134" s="234"/>
      <c r="EU134" s="436"/>
      <c r="EV134" s="821"/>
      <c r="EW134" s="234"/>
      <c r="EX134" s="436"/>
      <c r="EY134" s="578"/>
      <c r="EZ134" s="425"/>
      <c r="FA134" s="580"/>
      <c r="FB134" s="578"/>
      <c r="FC134" s="425"/>
      <c r="FD134" s="580"/>
      <c r="FE134" s="578"/>
      <c r="FF134" s="425"/>
      <c r="FG134" s="580"/>
      <c r="FH134" s="578"/>
      <c r="FI134" s="580"/>
      <c r="FJ134" s="580"/>
      <c r="FK134" s="427"/>
      <c r="FL134" s="580"/>
      <c r="FM134" s="580"/>
      <c r="FN134" s="427"/>
      <c r="FO134" s="580"/>
      <c r="FP134" s="580"/>
      <c r="FQ134" s="427"/>
      <c r="FR134" s="580"/>
      <c r="FS134" s="580"/>
      <c r="FT134" s="427"/>
      <c r="FU134" s="580"/>
      <c r="FV134" s="580"/>
      <c r="FW134" s="427"/>
      <c r="FX134" s="580"/>
      <c r="FY134" s="580"/>
      <c r="FZ134" s="427"/>
      <c r="GA134" s="580"/>
      <c r="GB134" s="580"/>
      <c r="GC134" s="427">
        <v>64</v>
      </c>
      <c r="GD134" s="580"/>
      <c r="GE134" s="427">
        <v>64</v>
      </c>
      <c r="GF134" s="580"/>
      <c r="GG134" s="427">
        <v>64</v>
      </c>
      <c r="GH134" s="580"/>
      <c r="GI134" s="427">
        <v>64</v>
      </c>
      <c r="GJ134" s="580"/>
      <c r="GK134" s="427">
        <v>64</v>
      </c>
      <c r="GL134" s="580"/>
      <c r="GM134" s="427">
        <v>0</v>
      </c>
      <c r="GN134" s="580"/>
      <c r="GO134" s="427"/>
      <c r="GP134" s="580"/>
      <c r="GQ134" s="821"/>
      <c r="GR134" s="580"/>
      <c r="GS134" s="580"/>
      <c r="GT134" s="821"/>
      <c r="GU134" s="580"/>
      <c r="GV134" s="580"/>
      <c r="GW134" s="821"/>
      <c r="GX134" s="580"/>
      <c r="GY134" s="580"/>
      <c r="GZ134" s="427"/>
      <c r="HA134" s="580"/>
      <c r="HB134" s="580"/>
      <c r="HC134" s="427"/>
      <c r="HD134" s="580"/>
      <c r="HE134" s="580"/>
      <c r="HF134" s="427"/>
      <c r="HG134" s="580"/>
      <c r="HH134" s="580"/>
      <c r="HI134" s="427"/>
      <c r="HJ134" s="580"/>
      <c r="HK134" s="580"/>
      <c r="HL134" s="427"/>
      <c r="HM134" s="580"/>
      <c r="HN134" s="580"/>
      <c r="HO134" s="427"/>
      <c r="HP134" s="580"/>
      <c r="HQ134" s="580"/>
      <c r="HR134" s="427"/>
      <c r="HS134" s="580"/>
      <c r="HT134" s="580"/>
      <c r="HU134" s="427"/>
      <c r="HV134" s="580"/>
      <c r="HW134" s="580"/>
      <c r="HX134" s="580"/>
      <c r="HY134" s="580"/>
      <c r="HZ134" s="580"/>
      <c r="IA134" s="578"/>
    </row>
    <row r="135" spans="2:236" ht="14.25" customHeight="1">
      <c r="B135" s="242" t="s">
        <v>869</v>
      </c>
      <c r="C135" s="242"/>
      <c r="D135" s="292"/>
      <c r="E135" s="234"/>
      <c r="F135" s="292"/>
      <c r="G135" s="234"/>
      <c r="H135" s="292"/>
      <c r="I135" s="233"/>
      <c r="J135" s="292"/>
      <c r="K135" s="233"/>
      <c r="L135" s="292"/>
      <c r="M135" s="233"/>
      <c r="N135" s="292">
        <v>6</v>
      </c>
      <c r="O135" s="233"/>
      <c r="P135" s="292" t="e">
        <f>+#REF!</f>
        <v>#REF!</v>
      </c>
      <c r="Q135" s="233"/>
      <c r="R135" s="292" t="e">
        <f>+#REF!</f>
        <v>#REF!</v>
      </c>
      <c r="S135" s="233"/>
      <c r="T135" s="292" t="e">
        <f>+#REF!</f>
        <v>#REF!</v>
      </c>
      <c r="U135" s="233"/>
      <c r="V135" s="292" t="e">
        <f>+#REF!</f>
        <v>#REF!</v>
      </c>
      <c r="W135" s="233"/>
      <c r="X135" s="292" t="e">
        <f>+#REF!</f>
        <v>#REF!</v>
      </c>
      <c r="Y135" s="233"/>
      <c r="Z135" s="292" t="e">
        <f>+#REF!</f>
        <v>#REF!</v>
      </c>
      <c r="AA135" s="233"/>
      <c r="AB135" s="292" t="e">
        <f>+#REF!</f>
        <v>#REF!</v>
      </c>
      <c r="AC135" s="233"/>
      <c r="AD135" s="292" t="e">
        <f>+#REF!</f>
        <v>#REF!</v>
      </c>
      <c r="AE135" s="233"/>
      <c r="AF135" s="292" t="e">
        <f>+#REF!</f>
        <v>#REF!</v>
      </c>
      <c r="AG135" s="233"/>
      <c r="AH135" s="292" t="e">
        <f>+#REF!</f>
        <v>#REF!</v>
      </c>
      <c r="AI135" s="233"/>
      <c r="AJ135" s="292">
        <v>22</v>
      </c>
      <c r="AK135" s="233"/>
      <c r="AL135" s="292" t="e">
        <f>+#REF!</f>
        <v>#REF!</v>
      </c>
      <c r="AM135" s="233"/>
      <c r="AN135" s="292" t="e">
        <f>+#REF!</f>
        <v>#REF!</v>
      </c>
      <c r="AO135" s="233"/>
      <c r="AP135" s="292" t="e">
        <f>+#REF!</f>
        <v>#REF!</v>
      </c>
      <c r="AQ135" s="233"/>
      <c r="AR135" s="292" t="e">
        <f>+#REF!</f>
        <v>#REF!</v>
      </c>
      <c r="AS135" s="233"/>
      <c r="AT135" s="292">
        <v>42</v>
      </c>
      <c r="AU135" s="233"/>
      <c r="AV135" s="292" t="e">
        <f>+#REF!</f>
        <v>#REF!</v>
      </c>
      <c r="AW135" s="233"/>
      <c r="AX135" s="292" t="e">
        <f>+#REF!</f>
        <v>#REF!</v>
      </c>
      <c r="AY135" s="233"/>
      <c r="AZ135" s="292" t="e">
        <f>+#REF!</f>
        <v>#REF!</v>
      </c>
      <c r="BA135" s="233"/>
      <c r="BB135" s="292" t="e">
        <f>+#REF!</f>
        <v>#REF!</v>
      </c>
      <c r="BC135" s="233"/>
      <c r="BD135" s="292" t="e">
        <f>#REF!</f>
        <v>#REF!</v>
      </c>
      <c r="BE135" s="233"/>
      <c r="BF135" s="293" t="e">
        <f>#REF!</f>
        <v>#REF!</v>
      </c>
      <c r="BG135" s="234"/>
      <c r="BH135" s="293">
        <v>19</v>
      </c>
      <c r="BI135" s="234"/>
      <c r="BJ135" s="293">
        <v>20</v>
      </c>
      <c r="BK135" s="234"/>
      <c r="BL135" s="293">
        <v>33</v>
      </c>
      <c r="BM135" s="234"/>
      <c r="BN135" s="293">
        <v>33</v>
      </c>
      <c r="BO135" s="234"/>
      <c r="BP135" s="293">
        <v>23</v>
      </c>
      <c r="BQ135" s="234"/>
      <c r="BR135" s="293">
        <v>56</v>
      </c>
      <c r="BS135" s="234"/>
      <c r="BT135" s="293">
        <v>54</v>
      </c>
      <c r="BU135" s="234"/>
      <c r="BV135" s="293">
        <v>31</v>
      </c>
      <c r="BW135" s="234"/>
      <c r="BX135" s="293">
        <v>50</v>
      </c>
      <c r="BY135" s="234"/>
      <c r="BZ135" s="293">
        <v>38</v>
      </c>
      <c r="CA135" s="234"/>
      <c r="CB135" s="293">
        <v>41</v>
      </c>
      <c r="CC135" s="234"/>
      <c r="CD135" s="293">
        <v>55</v>
      </c>
      <c r="CE135" s="234"/>
      <c r="CF135" s="293">
        <v>57</v>
      </c>
      <c r="CG135" s="234"/>
      <c r="CH135" s="292">
        <v>62</v>
      </c>
      <c r="CI135" s="234"/>
      <c r="CJ135" s="234"/>
      <c r="CK135" s="292">
        <v>68</v>
      </c>
      <c r="CL135" s="234"/>
      <c r="CM135" s="234"/>
      <c r="CN135" s="292">
        <v>40</v>
      </c>
      <c r="CO135" s="234"/>
      <c r="CP135" s="234"/>
      <c r="CQ135" s="292">
        <v>49</v>
      </c>
      <c r="CR135" s="234"/>
      <c r="CS135" s="425"/>
      <c r="CT135" s="427">
        <v>70</v>
      </c>
      <c r="CU135" s="234"/>
      <c r="CV135" s="291"/>
      <c r="CW135" s="427">
        <v>76</v>
      </c>
      <c r="CX135" s="234"/>
      <c r="CY135" s="436"/>
      <c r="CZ135" s="427">
        <v>50</v>
      </c>
      <c r="DA135" s="234"/>
      <c r="DB135" s="436"/>
      <c r="DC135" s="427">
        <v>61</v>
      </c>
      <c r="DD135" s="234"/>
      <c r="DE135" s="436"/>
      <c r="DF135" s="427">
        <v>37</v>
      </c>
      <c r="DG135" s="234"/>
      <c r="DH135" s="436"/>
      <c r="DI135" s="427">
        <v>47</v>
      </c>
      <c r="DJ135" s="234"/>
      <c r="DK135" s="436"/>
      <c r="DL135" s="427">
        <v>48</v>
      </c>
      <c r="DM135" s="234"/>
      <c r="DN135" s="436"/>
      <c r="DO135" s="577">
        <v>48</v>
      </c>
      <c r="DP135" s="425"/>
      <c r="DQ135" s="580"/>
      <c r="DR135" s="577">
        <v>41</v>
      </c>
      <c r="DS135" s="425"/>
      <c r="DT135" s="580"/>
      <c r="DU135" s="577">
        <v>74</v>
      </c>
      <c r="DV135" s="425"/>
      <c r="DW135" s="580"/>
      <c r="DX135" s="577">
        <v>74</v>
      </c>
      <c r="DY135" s="580"/>
      <c r="DZ135" s="580"/>
      <c r="EA135" s="577">
        <v>112</v>
      </c>
      <c r="EB135" s="580"/>
      <c r="EC135" s="580"/>
      <c r="ED135" s="577">
        <v>106</v>
      </c>
      <c r="EE135" s="580"/>
      <c r="EF135" s="580"/>
      <c r="EG135" s="427">
        <v>174</v>
      </c>
      <c r="EH135" s="234"/>
      <c r="EI135" s="436"/>
      <c r="EJ135" s="427">
        <v>131</v>
      </c>
      <c r="EK135" s="234"/>
      <c r="EL135" s="436"/>
      <c r="EM135" s="427">
        <v>198</v>
      </c>
      <c r="EN135" s="234"/>
      <c r="EO135" s="436"/>
      <c r="EP135" s="427">
        <v>183</v>
      </c>
      <c r="EQ135" s="234"/>
      <c r="ER135" s="436"/>
      <c r="ES135" s="427">
        <v>187</v>
      </c>
      <c r="ET135" s="234"/>
      <c r="EU135" s="436"/>
      <c r="EV135" s="821">
        <v>241</v>
      </c>
      <c r="EW135" s="234"/>
      <c r="EX135" s="436"/>
      <c r="EY135" s="577">
        <v>194</v>
      </c>
      <c r="EZ135" s="425"/>
      <c r="FA135" s="580"/>
      <c r="FB135" s="577">
        <v>224</v>
      </c>
      <c r="FC135" s="425"/>
      <c r="FD135" s="580"/>
      <c r="FE135" s="577">
        <v>221</v>
      </c>
      <c r="FF135" s="425"/>
      <c r="FG135" s="580"/>
      <c r="FH135" s="577">
        <v>154</v>
      </c>
      <c r="FI135" s="580"/>
      <c r="FJ135" s="580"/>
      <c r="FK135" s="427">
        <v>158</v>
      </c>
      <c r="FL135" s="580"/>
      <c r="FM135" s="580"/>
      <c r="FN135" s="427">
        <v>168</v>
      </c>
      <c r="FO135" s="580"/>
      <c r="FP135" s="580"/>
      <c r="FQ135" s="427">
        <v>90</v>
      </c>
      <c r="FR135" s="580"/>
      <c r="FS135" s="580"/>
      <c r="FT135" s="427">
        <v>102</v>
      </c>
      <c r="FU135" s="580"/>
      <c r="FV135" s="580"/>
      <c r="FW135" s="427">
        <v>113</v>
      </c>
      <c r="FX135" s="580"/>
      <c r="FY135" s="580"/>
      <c r="FZ135" s="427">
        <v>100</v>
      </c>
      <c r="GA135" s="580"/>
      <c r="GB135" s="580"/>
      <c r="GC135" s="427">
        <v>113</v>
      </c>
      <c r="GD135" s="580"/>
      <c r="GE135" s="427">
        <v>97</v>
      </c>
      <c r="GF135" s="580"/>
      <c r="GG135" s="427">
        <v>92</v>
      </c>
      <c r="GH135" s="580"/>
      <c r="GI135" s="427">
        <v>127</v>
      </c>
      <c r="GJ135" s="580"/>
      <c r="GK135" s="427">
        <v>78</v>
      </c>
      <c r="GL135" s="580"/>
      <c r="GM135" s="427">
        <v>89</v>
      </c>
      <c r="GN135" s="580"/>
      <c r="GO135" s="427">
        <v>84</v>
      </c>
      <c r="GP135" s="580"/>
      <c r="GQ135" s="821">
        <v>79</v>
      </c>
      <c r="GR135" s="580"/>
      <c r="GS135" s="580"/>
      <c r="GT135" s="821">
        <v>64</v>
      </c>
      <c r="GU135" s="580"/>
      <c r="GV135" s="580"/>
      <c r="GW135" s="821">
        <v>62</v>
      </c>
      <c r="GX135" s="580"/>
      <c r="GY135" s="580"/>
      <c r="GZ135" s="427">
        <v>78</v>
      </c>
      <c r="HA135" s="580"/>
      <c r="HB135" s="580"/>
      <c r="HC135" s="427">
        <v>69</v>
      </c>
      <c r="HD135" s="580"/>
      <c r="HE135" s="580"/>
      <c r="HF135" s="427">
        <v>95</v>
      </c>
      <c r="HG135" s="580"/>
      <c r="HH135" s="580"/>
      <c r="HI135" s="427">
        <v>78</v>
      </c>
      <c r="HJ135" s="580"/>
      <c r="HK135" s="580"/>
      <c r="HL135" s="427">
        <v>81</v>
      </c>
      <c r="HM135" s="580"/>
      <c r="HN135" s="580"/>
      <c r="HO135" s="427">
        <v>87</v>
      </c>
      <c r="HP135" s="580"/>
      <c r="HQ135" s="580"/>
      <c r="HR135" s="427">
        <v>87</v>
      </c>
      <c r="HS135" s="580"/>
      <c r="HT135" s="580"/>
      <c r="HU135" s="427">
        <v>87</v>
      </c>
      <c r="HV135" s="580"/>
      <c r="HW135" s="580"/>
      <c r="HX135" s="580"/>
      <c r="HY135" s="580"/>
      <c r="HZ135" s="580"/>
      <c r="IA135" s="577">
        <v>106</v>
      </c>
    </row>
    <row r="136" spans="2:236" ht="14.25" hidden="1" customHeight="1">
      <c r="B136" s="242" t="s">
        <v>876</v>
      </c>
      <c r="C136" s="242"/>
      <c r="D136" s="292"/>
      <c r="E136" s="234"/>
      <c r="F136" s="292"/>
      <c r="G136" s="234"/>
      <c r="H136" s="292"/>
      <c r="I136" s="233"/>
      <c r="J136" s="292"/>
      <c r="K136" s="233"/>
      <c r="L136" s="292"/>
      <c r="M136" s="233"/>
      <c r="N136" s="292"/>
      <c r="O136" s="233"/>
      <c r="P136" s="292"/>
      <c r="Q136" s="233"/>
      <c r="R136" s="292"/>
      <c r="S136" s="233"/>
      <c r="T136" s="292"/>
      <c r="U136" s="233"/>
      <c r="V136" s="292"/>
      <c r="W136" s="233"/>
      <c r="X136" s="292"/>
      <c r="Y136" s="233"/>
      <c r="Z136" s="292"/>
      <c r="AA136" s="233"/>
      <c r="AB136" s="292"/>
      <c r="AC136" s="233"/>
      <c r="AD136" s="292"/>
      <c r="AE136" s="233"/>
      <c r="AF136" s="292"/>
      <c r="AG136" s="233"/>
      <c r="AH136" s="292"/>
      <c r="AI136" s="233"/>
      <c r="AJ136" s="292"/>
      <c r="AK136" s="233"/>
      <c r="AL136" s="292"/>
      <c r="AM136" s="233"/>
      <c r="AN136" s="292"/>
      <c r="AO136" s="233"/>
      <c r="AP136" s="292"/>
      <c r="AQ136" s="233"/>
      <c r="AR136" s="292"/>
      <c r="AS136" s="233"/>
      <c r="AT136" s="292"/>
      <c r="AU136" s="233"/>
      <c r="AV136" s="292"/>
      <c r="AW136" s="233"/>
      <c r="AX136" s="292"/>
      <c r="AY136" s="233"/>
      <c r="AZ136" s="292"/>
      <c r="BA136" s="233"/>
      <c r="BB136" s="292"/>
      <c r="BC136" s="233"/>
      <c r="BD136" s="292"/>
      <c r="BE136" s="233"/>
      <c r="BF136" s="293"/>
      <c r="BG136" s="234"/>
      <c r="BH136" s="293"/>
      <c r="BI136" s="234"/>
      <c r="BJ136" s="293"/>
      <c r="BK136" s="234"/>
      <c r="BL136" s="293"/>
      <c r="BM136" s="234"/>
      <c r="BN136" s="293"/>
      <c r="BO136" s="234"/>
      <c r="BP136" s="293"/>
      <c r="BQ136" s="234"/>
      <c r="BR136" s="293"/>
      <c r="BS136" s="234"/>
      <c r="BT136" s="293"/>
      <c r="BU136" s="234"/>
      <c r="BV136" s="293"/>
      <c r="BW136" s="234"/>
      <c r="BX136" s="293"/>
      <c r="BY136" s="234"/>
      <c r="BZ136" s="293"/>
      <c r="CA136" s="234"/>
      <c r="CB136" s="293"/>
      <c r="CC136" s="234"/>
      <c r="CD136" s="293"/>
      <c r="CE136" s="234"/>
      <c r="CF136" s="306"/>
      <c r="CG136" s="234"/>
      <c r="CH136" s="305"/>
      <c r="CI136" s="234"/>
      <c r="CJ136" s="234"/>
      <c r="CK136" s="305"/>
      <c r="CL136" s="234"/>
      <c r="CM136" s="234"/>
      <c r="CN136" s="305"/>
      <c r="CO136" s="234"/>
      <c r="CP136" s="234"/>
      <c r="CQ136" s="305"/>
      <c r="CR136" s="234"/>
      <c r="CS136" s="425"/>
      <c r="CT136" s="426"/>
      <c r="CU136" s="234"/>
      <c r="CV136" s="291"/>
      <c r="CW136" s="426"/>
      <c r="CX136" s="234"/>
      <c r="CY136" s="436"/>
      <c r="CZ136" s="426"/>
      <c r="DA136" s="234"/>
      <c r="DB136" s="436"/>
      <c r="DC136" s="426"/>
      <c r="DD136" s="234"/>
      <c r="DE136" s="436"/>
      <c r="DF136" s="426"/>
      <c r="DG136" s="234"/>
      <c r="DH136" s="436"/>
      <c r="DI136" s="426"/>
      <c r="DJ136" s="234"/>
      <c r="DK136" s="436"/>
      <c r="DL136" s="426"/>
      <c r="DM136" s="234"/>
      <c r="DN136" s="436"/>
      <c r="DO136" s="576"/>
      <c r="DP136" s="425"/>
      <c r="DQ136" s="580"/>
      <c r="DR136" s="576"/>
      <c r="DS136" s="425"/>
      <c r="DT136" s="580"/>
      <c r="DU136" s="576"/>
      <c r="DV136" s="425"/>
      <c r="DW136" s="580"/>
      <c r="DX136" s="576"/>
      <c r="DY136" s="580"/>
      <c r="DZ136" s="580"/>
      <c r="EA136" s="576"/>
      <c r="EB136" s="580"/>
      <c r="EC136" s="580"/>
      <c r="ED136" s="576"/>
      <c r="EE136" s="580"/>
      <c r="EF136" s="580"/>
      <c r="EG136" s="426"/>
      <c r="EH136" s="234"/>
      <c r="EI136" s="436"/>
      <c r="EJ136" s="426"/>
      <c r="EK136" s="234"/>
      <c r="EL136" s="436"/>
      <c r="EM136" s="426"/>
      <c r="EN136" s="234"/>
      <c r="EO136" s="436"/>
      <c r="EP136" s="426"/>
      <c r="EQ136" s="234"/>
      <c r="ER136" s="436"/>
      <c r="ES136" s="426"/>
      <c r="ET136" s="234"/>
      <c r="EU136" s="436"/>
      <c r="EV136" s="820"/>
      <c r="EW136" s="234"/>
      <c r="EX136" s="436"/>
      <c r="EY136" s="576"/>
      <c r="EZ136" s="425"/>
      <c r="FA136" s="580"/>
      <c r="FB136" s="576"/>
      <c r="FC136" s="425"/>
      <c r="FD136" s="580"/>
      <c r="FE136" s="576"/>
      <c r="FF136" s="425"/>
      <c r="FG136" s="580"/>
      <c r="FH136" s="576"/>
      <c r="FI136" s="580"/>
      <c r="FJ136" s="580"/>
      <c r="FK136" s="427"/>
      <c r="FL136" s="580"/>
      <c r="FM136" s="580"/>
      <c r="FN136" s="427"/>
      <c r="FO136" s="580"/>
      <c r="FP136" s="580"/>
      <c r="FQ136" s="427"/>
      <c r="FR136" s="580"/>
      <c r="FS136" s="580"/>
      <c r="FT136" s="427"/>
      <c r="FU136" s="580"/>
      <c r="FV136" s="580"/>
      <c r="FW136" s="427"/>
      <c r="FX136" s="580"/>
      <c r="FY136" s="580"/>
      <c r="FZ136" s="427"/>
      <c r="GA136" s="580"/>
      <c r="GB136" s="580"/>
      <c r="GC136" s="427"/>
      <c r="GD136" s="580"/>
      <c r="GE136" s="427"/>
      <c r="GF136" s="580"/>
      <c r="GG136" s="427"/>
      <c r="GH136" s="580"/>
      <c r="GI136" s="427"/>
      <c r="GJ136" s="580"/>
      <c r="GK136" s="427"/>
      <c r="GL136" s="580"/>
      <c r="GM136" s="427">
        <v>0</v>
      </c>
      <c r="GN136" s="580"/>
      <c r="GO136" s="427"/>
      <c r="GP136" s="580"/>
      <c r="GQ136" s="821"/>
      <c r="GR136" s="580"/>
      <c r="GS136" s="580"/>
      <c r="GT136" s="821"/>
      <c r="GU136" s="580"/>
      <c r="GV136" s="580"/>
      <c r="GW136" s="821"/>
      <c r="GX136" s="580"/>
      <c r="GY136" s="580"/>
      <c r="GZ136" s="427"/>
      <c r="HA136" s="580"/>
      <c r="HB136" s="580"/>
      <c r="HC136" s="427"/>
      <c r="HD136" s="580"/>
      <c r="HE136" s="580"/>
      <c r="HF136" s="427"/>
      <c r="HG136" s="580"/>
      <c r="HH136" s="580"/>
      <c r="HI136" s="427"/>
      <c r="HJ136" s="580"/>
      <c r="HK136" s="580"/>
      <c r="HL136" s="427"/>
      <c r="HM136" s="580"/>
      <c r="HN136" s="580"/>
      <c r="HO136" s="427"/>
      <c r="HP136" s="580"/>
      <c r="HQ136" s="580"/>
      <c r="HR136" s="427"/>
      <c r="HS136" s="580"/>
      <c r="HT136" s="580"/>
      <c r="HU136" s="427"/>
      <c r="HV136" s="580"/>
      <c r="HW136" s="580"/>
      <c r="HX136" s="580"/>
      <c r="HY136" s="580"/>
      <c r="HZ136" s="580"/>
      <c r="IA136" s="576"/>
    </row>
    <row r="137" spans="2:236" ht="14.25" hidden="1" customHeight="1">
      <c r="B137" s="242" t="s">
        <v>877</v>
      </c>
      <c r="C137" s="242"/>
      <c r="D137" s="292"/>
      <c r="E137" s="234"/>
      <c r="F137" s="292"/>
      <c r="G137" s="234"/>
      <c r="H137" s="292"/>
      <c r="I137" s="233"/>
      <c r="J137" s="292"/>
      <c r="K137" s="233"/>
      <c r="L137" s="292"/>
      <c r="M137" s="233"/>
      <c r="N137" s="292"/>
      <c r="O137" s="233"/>
      <c r="P137" s="292"/>
      <c r="Q137" s="233"/>
      <c r="R137" s="292"/>
      <c r="S137" s="233"/>
      <c r="T137" s="292"/>
      <c r="U137" s="233"/>
      <c r="V137" s="292"/>
      <c r="W137" s="233"/>
      <c r="X137" s="292"/>
      <c r="Y137" s="233"/>
      <c r="Z137" s="292"/>
      <c r="AA137" s="233"/>
      <c r="AB137" s="292"/>
      <c r="AC137" s="233"/>
      <c r="AD137" s="292"/>
      <c r="AE137" s="233"/>
      <c r="AF137" s="292"/>
      <c r="AG137" s="233"/>
      <c r="AH137" s="292"/>
      <c r="AI137" s="233"/>
      <c r="AJ137" s="292"/>
      <c r="AK137" s="233"/>
      <c r="AL137" s="292"/>
      <c r="AM137" s="233"/>
      <c r="AN137" s="292"/>
      <c r="AO137" s="233"/>
      <c r="AP137" s="292"/>
      <c r="AQ137" s="233"/>
      <c r="AR137" s="292"/>
      <c r="AS137" s="233"/>
      <c r="AT137" s="292"/>
      <c r="AU137" s="233"/>
      <c r="AV137" s="292"/>
      <c r="AW137" s="233"/>
      <c r="AX137" s="292"/>
      <c r="AY137" s="233"/>
      <c r="AZ137" s="292"/>
      <c r="BA137" s="233"/>
      <c r="BB137" s="292"/>
      <c r="BC137" s="233"/>
      <c r="BD137" s="292"/>
      <c r="BE137" s="233"/>
      <c r="BF137" s="293"/>
      <c r="BG137" s="234"/>
      <c r="BH137" s="293"/>
      <c r="BI137" s="234"/>
      <c r="BJ137" s="293"/>
      <c r="BK137" s="234"/>
      <c r="BL137" s="293"/>
      <c r="BM137" s="234"/>
      <c r="BN137" s="293"/>
      <c r="BO137" s="234"/>
      <c r="BP137" s="293"/>
      <c r="BQ137" s="234"/>
      <c r="BR137" s="293"/>
      <c r="BS137" s="234"/>
      <c r="BT137" s="293"/>
      <c r="BU137" s="234"/>
      <c r="BV137" s="293"/>
      <c r="BW137" s="234"/>
      <c r="BX137" s="293"/>
      <c r="BY137" s="234"/>
      <c r="BZ137" s="293"/>
      <c r="CA137" s="234"/>
      <c r="CB137" s="293"/>
      <c r="CC137" s="234"/>
      <c r="CD137" s="293"/>
      <c r="CE137" s="234"/>
      <c r="CF137" s="306"/>
      <c r="CG137" s="234"/>
      <c r="CH137" s="305"/>
      <c r="CI137" s="234"/>
      <c r="CJ137" s="234"/>
      <c r="CK137" s="305"/>
      <c r="CL137" s="234"/>
      <c r="CM137" s="234"/>
      <c r="CN137" s="305"/>
      <c r="CO137" s="234"/>
      <c r="CP137" s="234"/>
      <c r="CQ137" s="305"/>
      <c r="CR137" s="234"/>
      <c r="CS137" s="425"/>
      <c r="CT137" s="426"/>
      <c r="CU137" s="234"/>
      <c r="CV137" s="291"/>
      <c r="CW137" s="426"/>
      <c r="CX137" s="234"/>
      <c r="CY137" s="436"/>
      <c r="CZ137" s="426"/>
      <c r="DA137" s="234"/>
      <c r="DB137" s="436"/>
      <c r="DC137" s="426"/>
      <c r="DD137" s="234"/>
      <c r="DE137" s="436"/>
      <c r="DF137" s="426"/>
      <c r="DG137" s="234"/>
      <c r="DH137" s="436"/>
      <c r="DI137" s="426"/>
      <c r="DJ137" s="234"/>
      <c r="DK137" s="436"/>
      <c r="DL137" s="426"/>
      <c r="DM137" s="234"/>
      <c r="DN137" s="436"/>
      <c r="DO137" s="576"/>
      <c r="DP137" s="425"/>
      <c r="DQ137" s="580"/>
      <c r="DR137" s="576"/>
      <c r="DS137" s="425"/>
      <c r="DT137" s="580"/>
      <c r="DU137" s="576"/>
      <c r="DV137" s="425"/>
      <c r="DW137" s="580"/>
      <c r="DX137" s="576"/>
      <c r="DY137" s="580"/>
      <c r="DZ137" s="580"/>
      <c r="EA137" s="576"/>
      <c r="EB137" s="580"/>
      <c r="EC137" s="580"/>
      <c r="ED137" s="576"/>
      <c r="EE137" s="580"/>
      <c r="EF137" s="580"/>
      <c r="EG137" s="426"/>
      <c r="EH137" s="234"/>
      <c r="EI137" s="436"/>
      <c r="EJ137" s="426"/>
      <c r="EK137" s="234"/>
      <c r="EL137" s="436"/>
      <c r="EM137" s="426"/>
      <c r="EN137" s="234"/>
      <c r="EO137" s="436"/>
      <c r="EP137" s="426"/>
      <c r="EQ137" s="234"/>
      <c r="ER137" s="436"/>
      <c r="ES137" s="426"/>
      <c r="ET137" s="234"/>
      <c r="EU137" s="436"/>
      <c r="EV137" s="820"/>
      <c r="EW137" s="234"/>
      <c r="EX137" s="436"/>
      <c r="EY137" s="576"/>
      <c r="EZ137" s="425"/>
      <c r="FA137" s="580"/>
      <c r="FB137" s="576"/>
      <c r="FC137" s="425"/>
      <c r="FD137" s="580"/>
      <c r="FE137" s="576"/>
      <c r="FF137" s="425"/>
      <c r="FG137" s="580"/>
      <c r="FH137" s="576"/>
      <c r="FI137" s="580"/>
      <c r="FJ137" s="580"/>
      <c r="FK137" s="427"/>
      <c r="FL137" s="580"/>
      <c r="FM137" s="580"/>
      <c r="FN137" s="427"/>
      <c r="FO137" s="580"/>
      <c r="FP137" s="580"/>
      <c r="FQ137" s="427"/>
      <c r="FR137" s="580"/>
      <c r="FS137" s="580"/>
      <c r="FT137" s="427"/>
      <c r="FU137" s="580"/>
      <c r="FV137" s="580"/>
      <c r="FW137" s="427"/>
      <c r="FX137" s="580"/>
      <c r="FY137" s="580"/>
      <c r="FZ137" s="427"/>
      <c r="GA137" s="580"/>
      <c r="GB137" s="580"/>
      <c r="GC137" s="427"/>
      <c r="GD137" s="580"/>
      <c r="GE137" s="427"/>
      <c r="GF137" s="580"/>
      <c r="GG137" s="427"/>
      <c r="GH137" s="580"/>
      <c r="GI137" s="427"/>
      <c r="GJ137" s="580"/>
      <c r="GK137" s="427"/>
      <c r="GL137" s="580"/>
      <c r="GM137" s="427">
        <v>0</v>
      </c>
      <c r="GN137" s="580"/>
      <c r="GO137" s="427"/>
      <c r="GP137" s="580"/>
      <c r="GQ137" s="821"/>
      <c r="GR137" s="580"/>
      <c r="GS137" s="580"/>
      <c r="GT137" s="821"/>
      <c r="GU137" s="580"/>
      <c r="GV137" s="580"/>
      <c r="GW137" s="821"/>
      <c r="GX137" s="580"/>
      <c r="GY137" s="580"/>
      <c r="GZ137" s="427"/>
      <c r="HA137" s="580"/>
      <c r="HB137" s="580"/>
      <c r="HC137" s="427"/>
      <c r="HD137" s="580"/>
      <c r="HE137" s="580"/>
      <c r="HF137" s="427"/>
      <c r="HG137" s="580"/>
      <c r="HH137" s="580"/>
      <c r="HI137" s="427"/>
      <c r="HJ137" s="580"/>
      <c r="HK137" s="580"/>
      <c r="HL137" s="427"/>
      <c r="HM137" s="580"/>
      <c r="HN137" s="580"/>
      <c r="HO137" s="427"/>
      <c r="HP137" s="580"/>
      <c r="HQ137" s="580"/>
      <c r="HR137" s="427"/>
      <c r="HS137" s="580"/>
      <c r="HT137" s="580"/>
      <c r="HU137" s="427"/>
      <c r="HV137" s="580"/>
      <c r="HW137" s="580"/>
      <c r="HX137" s="580"/>
      <c r="HY137" s="580"/>
      <c r="HZ137" s="580"/>
      <c r="IA137" s="576"/>
    </row>
    <row r="138" spans="2:236" ht="14.25" customHeight="1">
      <c r="B138" s="242" t="s">
        <v>870</v>
      </c>
      <c r="C138" s="242"/>
      <c r="D138" s="295">
        <v>5</v>
      </c>
      <c r="E138" s="234"/>
      <c r="F138" s="295">
        <v>2</v>
      </c>
      <c r="G138" s="234"/>
      <c r="H138" s="295">
        <v>6</v>
      </c>
      <c r="I138" s="233"/>
      <c r="J138" s="295">
        <v>5</v>
      </c>
      <c r="K138" s="233"/>
      <c r="L138" s="295">
        <v>9</v>
      </c>
      <c r="M138" s="233"/>
      <c r="N138" s="295">
        <v>8</v>
      </c>
      <c r="O138" s="233"/>
      <c r="P138" s="295" t="e">
        <f>+#REF!</f>
        <v>#REF!</v>
      </c>
      <c r="Q138" s="233"/>
      <c r="R138" s="295" t="e">
        <f>+#REF!</f>
        <v>#REF!</v>
      </c>
      <c r="S138" s="233"/>
      <c r="T138" s="295" t="e">
        <f>+#REF!</f>
        <v>#REF!</v>
      </c>
      <c r="U138" s="233"/>
      <c r="V138" s="295" t="e">
        <f>+#REF!</f>
        <v>#REF!</v>
      </c>
      <c r="W138" s="233"/>
      <c r="X138" s="295" t="e">
        <f>+#REF!</f>
        <v>#REF!</v>
      </c>
      <c r="Y138" s="233"/>
      <c r="Z138" s="295" t="e">
        <f>+#REF!</f>
        <v>#REF!</v>
      </c>
      <c r="AA138" s="233"/>
      <c r="AB138" s="295" t="e">
        <f>+#REF!</f>
        <v>#REF!</v>
      </c>
      <c r="AC138" s="233"/>
      <c r="AD138" s="295" t="e">
        <f>+#REF!</f>
        <v>#REF!</v>
      </c>
      <c r="AE138" s="233"/>
      <c r="AF138" s="295" t="e">
        <f>+#REF!</f>
        <v>#REF!</v>
      </c>
      <c r="AG138" s="233"/>
      <c r="AH138" s="295" t="e">
        <f>+#REF!</f>
        <v>#REF!</v>
      </c>
      <c r="AI138" s="233"/>
      <c r="AJ138" s="295">
        <v>7</v>
      </c>
      <c r="AK138" s="233"/>
      <c r="AL138" s="295" t="e">
        <f>+#REF!</f>
        <v>#REF!</v>
      </c>
      <c r="AM138" s="233"/>
      <c r="AN138" s="295" t="e">
        <f>+#REF!</f>
        <v>#REF!</v>
      </c>
      <c r="AO138" s="233"/>
      <c r="AP138" s="295" t="e">
        <f>+#REF!</f>
        <v>#REF!</v>
      </c>
      <c r="AQ138" s="233"/>
      <c r="AR138" s="295" t="e">
        <f>+#REF!</f>
        <v>#REF!</v>
      </c>
      <c r="AS138" s="233"/>
      <c r="AT138" s="295">
        <v>5</v>
      </c>
      <c r="AU138" s="233"/>
      <c r="AV138" s="295" t="e">
        <f>+#REF!</f>
        <v>#REF!</v>
      </c>
      <c r="AW138" s="233"/>
      <c r="AX138" s="295" t="e">
        <f>+#REF!</f>
        <v>#REF!</v>
      </c>
      <c r="AY138" s="233"/>
      <c r="AZ138" s="295" t="e">
        <f>+#REF!</f>
        <v>#REF!</v>
      </c>
      <c r="BA138" s="233"/>
      <c r="BB138" s="295" t="e">
        <f>+#REF!</f>
        <v>#REF!</v>
      </c>
      <c r="BC138" s="233"/>
      <c r="BD138" s="295" t="e">
        <f>#REF!</f>
        <v>#REF!</v>
      </c>
      <c r="BE138" s="233"/>
      <c r="BF138" s="296" t="e">
        <f>#REF!</f>
        <v>#REF!</v>
      </c>
      <c r="BG138" s="234"/>
      <c r="BH138" s="296">
        <v>3</v>
      </c>
      <c r="BI138" s="234"/>
      <c r="BJ138" s="296">
        <v>1</v>
      </c>
      <c r="BK138" s="234"/>
      <c r="BL138" s="296">
        <v>4</v>
      </c>
      <c r="BM138" s="234"/>
      <c r="BN138" s="293">
        <v>1</v>
      </c>
      <c r="BO138" s="234"/>
      <c r="BP138" s="293">
        <v>2</v>
      </c>
      <c r="BQ138" s="234"/>
      <c r="BR138" s="293">
        <v>8</v>
      </c>
      <c r="BS138" s="234"/>
      <c r="BT138" s="293">
        <v>14</v>
      </c>
      <c r="BU138" s="234"/>
      <c r="BV138" s="293">
        <v>6</v>
      </c>
      <c r="BW138" s="234"/>
      <c r="BX138" s="293">
        <v>5</v>
      </c>
      <c r="BY138" s="234"/>
      <c r="BZ138" s="293">
        <v>5</v>
      </c>
      <c r="CA138" s="234"/>
      <c r="CB138" s="293">
        <v>6</v>
      </c>
      <c r="CC138" s="234"/>
      <c r="CD138" s="293">
        <v>8</v>
      </c>
      <c r="CE138" s="234"/>
      <c r="CF138" s="293">
        <v>12</v>
      </c>
      <c r="CG138" s="234"/>
      <c r="CH138" s="292">
        <v>15</v>
      </c>
      <c r="CI138" s="234"/>
      <c r="CJ138" s="234"/>
      <c r="CK138" s="292">
        <v>15</v>
      </c>
      <c r="CL138" s="234"/>
      <c r="CM138" s="234"/>
      <c r="CN138" s="292">
        <v>5</v>
      </c>
      <c r="CO138" s="234"/>
      <c r="CP138" s="234"/>
      <c r="CQ138" s="292">
        <v>8</v>
      </c>
      <c r="CR138" s="234"/>
      <c r="CS138" s="425"/>
      <c r="CT138" s="427">
        <v>20</v>
      </c>
      <c r="CU138" s="234"/>
      <c r="CV138" s="291"/>
      <c r="CW138" s="427">
        <v>14</v>
      </c>
      <c r="CX138" s="234"/>
      <c r="CY138" s="436"/>
      <c r="CZ138" s="427">
        <v>10</v>
      </c>
      <c r="DA138" s="234"/>
      <c r="DB138" s="436"/>
      <c r="DC138" s="427">
        <v>16</v>
      </c>
      <c r="DD138" s="234"/>
      <c r="DE138" s="436"/>
      <c r="DF138" s="427">
        <v>16</v>
      </c>
      <c r="DG138" s="234"/>
      <c r="DH138" s="436"/>
      <c r="DI138" s="427">
        <v>18</v>
      </c>
      <c r="DJ138" s="234"/>
      <c r="DK138" s="436"/>
      <c r="DL138" s="427">
        <v>14</v>
      </c>
      <c r="DM138" s="234"/>
      <c r="DN138" s="436"/>
      <c r="DO138" s="577">
        <v>27</v>
      </c>
      <c r="DP138" s="425"/>
      <c r="DQ138" s="580"/>
      <c r="DR138" s="577">
        <v>13</v>
      </c>
      <c r="DS138" s="425"/>
      <c r="DT138" s="580"/>
      <c r="DU138" s="577">
        <v>7</v>
      </c>
      <c r="DV138" s="425"/>
      <c r="DW138" s="580"/>
      <c r="DX138" s="577">
        <v>13</v>
      </c>
      <c r="DY138" s="580"/>
      <c r="DZ138" s="580"/>
      <c r="EA138" s="577">
        <v>16</v>
      </c>
      <c r="EB138" s="580"/>
      <c r="EC138" s="580"/>
      <c r="ED138" s="577">
        <v>19</v>
      </c>
      <c r="EE138" s="580"/>
      <c r="EF138" s="580"/>
      <c r="EG138" s="427">
        <v>25</v>
      </c>
      <c r="EH138" s="234"/>
      <c r="EI138" s="436"/>
      <c r="EJ138" s="427">
        <v>16</v>
      </c>
      <c r="EK138" s="234"/>
      <c r="EL138" s="436"/>
      <c r="EM138" s="427">
        <v>33</v>
      </c>
      <c r="EN138" s="234"/>
      <c r="EO138" s="436"/>
      <c r="EP138" s="427">
        <v>23</v>
      </c>
      <c r="EQ138" s="234"/>
      <c r="ER138" s="436"/>
      <c r="ES138" s="427">
        <v>21</v>
      </c>
      <c r="ET138" s="234"/>
      <c r="EU138" s="436"/>
      <c r="EV138" s="821">
        <v>44</v>
      </c>
      <c r="EW138" s="234"/>
      <c r="EX138" s="436"/>
      <c r="EY138" s="577">
        <v>27</v>
      </c>
      <c r="EZ138" s="425"/>
      <c r="FA138" s="580"/>
      <c r="FB138" s="577">
        <v>24</v>
      </c>
      <c r="FC138" s="425"/>
      <c r="FD138" s="580"/>
      <c r="FE138" s="577">
        <v>66</v>
      </c>
      <c r="FF138" s="425"/>
      <c r="FG138" s="580"/>
      <c r="FH138" s="577">
        <v>53</v>
      </c>
      <c r="FI138" s="580"/>
      <c r="FJ138" s="580"/>
      <c r="FK138" s="427">
        <v>37</v>
      </c>
      <c r="FL138" s="580"/>
      <c r="FM138" s="580"/>
      <c r="FN138" s="427">
        <v>57</v>
      </c>
      <c r="FO138" s="580"/>
      <c r="FP138" s="580"/>
      <c r="FQ138" s="427">
        <v>32</v>
      </c>
      <c r="FR138" s="580"/>
      <c r="FS138" s="580"/>
      <c r="FT138" s="427">
        <v>40</v>
      </c>
      <c r="FU138" s="580"/>
      <c r="FV138" s="580"/>
      <c r="FW138" s="427">
        <v>33</v>
      </c>
      <c r="FX138" s="580"/>
      <c r="FY138" s="580"/>
      <c r="FZ138" s="427">
        <v>28</v>
      </c>
      <c r="GA138" s="580"/>
      <c r="GB138" s="580"/>
      <c r="GC138" s="427">
        <v>35</v>
      </c>
      <c r="GD138" s="580"/>
      <c r="GE138" s="427">
        <v>18</v>
      </c>
      <c r="GF138" s="580"/>
      <c r="GG138" s="427">
        <v>19</v>
      </c>
      <c r="GH138" s="580"/>
      <c r="GI138" s="427">
        <v>26</v>
      </c>
      <c r="GJ138" s="580"/>
      <c r="GK138" s="427">
        <v>28</v>
      </c>
      <c r="GL138" s="580"/>
      <c r="GM138" s="427">
        <v>20</v>
      </c>
      <c r="GN138" s="580"/>
      <c r="GO138" s="427">
        <v>26</v>
      </c>
      <c r="GP138" s="580"/>
      <c r="GQ138" s="821">
        <v>26</v>
      </c>
      <c r="GR138" s="580"/>
      <c r="GS138" s="580"/>
      <c r="GT138" s="821">
        <v>26</v>
      </c>
      <c r="GU138" s="580"/>
      <c r="GV138" s="580"/>
      <c r="GW138" s="821">
        <v>19</v>
      </c>
      <c r="GX138" s="580"/>
      <c r="GY138" s="580"/>
      <c r="GZ138" s="427">
        <v>36</v>
      </c>
      <c r="HA138" s="580"/>
      <c r="HB138" s="580"/>
      <c r="HC138" s="427">
        <v>32</v>
      </c>
      <c r="HD138" s="580"/>
      <c r="HE138" s="580"/>
      <c r="HF138" s="427">
        <v>36</v>
      </c>
      <c r="HG138" s="580"/>
      <c r="HH138" s="580"/>
      <c r="HI138" s="427">
        <v>31</v>
      </c>
      <c r="HJ138" s="580"/>
      <c r="HK138" s="580"/>
      <c r="HL138" s="427">
        <v>35</v>
      </c>
      <c r="HM138" s="580"/>
      <c r="HN138" s="580"/>
      <c r="HO138" s="427">
        <v>31</v>
      </c>
      <c r="HP138" s="580"/>
      <c r="HQ138" s="580"/>
      <c r="HR138" s="427">
        <v>31</v>
      </c>
      <c r="HS138" s="580"/>
      <c r="HT138" s="580"/>
      <c r="HU138" s="427">
        <v>31</v>
      </c>
      <c r="HV138" s="580"/>
      <c r="HW138" s="580"/>
      <c r="HX138" s="580"/>
      <c r="HY138" s="580"/>
      <c r="HZ138" s="580"/>
      <c r="IA138" s="577">
        <v>19</v>
      </c>
    </row>
    <row r="139" spans="2:236" ht="14.25" customHeight="1">
      <c r="B139" s="324" t="s">
        <v>457</v>
      </c>
      <c r="C139" s="324"/>
      <c r="D139" s="297"/>
      <c r="E139" s="233"/>
      <c r="F139" s="297"/>
      <c r="G139" s="233"/>
      <c r="H139" s="297"/>
      <c r="I139" s="233"/>
      <c r="J139" s="297"/>
      <c r="K139" s="233"/>
      <c r="L139" s="297"/>
      <c r="M139" s="233"/>
      <c r="N139" s="297"/>
      <c r="O139" s="233"/>
      <c r="P139" s="297"/>
      <c r="Q139" s="233"/>
      <c r="R139" s="297"/>
      <c r="S139" s="233"/>
      <c r="T139" s="297"/>
      <c r="U139" s="233"/>
      <c r="V139" s="297"/>
      <c r="W139" s="233"/>
      <c r="X139" s="297"/>
      <c r="Y139" s="233"/>
      <c r="Z139" s="297"/>
      <c r="AA139" s="233"/>
      <c r="AB139" s="297"/>
      <c r="AC139" s="233"/>
      <c r="AD139" s="297"/>
      <c r="AE139" s="233"/>
      <c r="AF139" s="297"/>
      <c r="AG139" s="233"/>
      <c r="AH139" s="297"/>
      <c r="AI139" s="233"/>
      <c r="AJ139" s="297"/>
      <c r="AK139" s="233"/>
      <c r="AL139" s="297"/>
      <c r="AM139" s="233"/>
      <c r="AN139" s="297"/>
      <c r="AO139" s="233"/>
      <c r="AP139" s="297"/>
      <c r="AQ139" s="233"/>
      <c r="AR139" s="297"/>
      <c r="AS139" s="233"/>
      <c r="AT139" s="297"/>
      <c r="AU139" s="233"/>
      <c r="AV139" s="297"/>
      <c r="AW139" s="233"/>
      <c r="AX139" s="297"/>
      <c r="AY139" s="233"/>
      <c r="AZ139" s="297"/>
      <c r="BA139" s="233"/>
      <c r="BB139" s="297"/>
      <c r="BC139" s="233"/>
      <c r="BD139" s="297"/>
      <c r="BE139" s="233"/>
      <c r="BF139" s="297"/>
      <c r="BG139" s="233"/>
      <c r="BH139" s="297"/>
      <c r="BI139" s="233"/>
      <c r="BJ139" s="297"/>
      <c r="BK139" s="233"/>
      <c r="BL139" s="297"/>
      <c r="BM139" s="233"/>
      <c r="BN139" s="331"/>
      <c r="BO139" s="233"/>
      <c r="BP139" s="331"/>
      <c r="BQ139" s="233"/>
      <c r="BR139" s="292"/>
      <c r="BS139" s="233"/>
      <c r="BT139" s="292">
        <v>3</v>
      </c>
      <c r="BU139" s="233"/>
      <c r="BV139" s="292">
        <v>8</v>
      </c>
      <c r="BW139" s="233"/>
      <c r="BX139" s="292">
        <v>26</v>
      </c>
      <c r="BY139" s="233"/>
      <c r="BZ139" s="292">
        <v>38</v>
      </c>
      <c r="CA139" s="233"/>
      <c r="CB139" s="292">
        <v>26</v>
      </c>
      <c r="CC139" s="233"/>
      <c r="CD139" s="292">
        <v>32</v>
      </c>
      <c r="CE139" s="233"/>
      <c r="CF139" s="292">
        <v>60</v>
      </c>
      <c r="CG139" s="233"/>
      <c r="CH139" s="292">
        <v>91</v>
      </c>
      <c r="CI139" s="233"/>
      <c r="CJ139" s="233"/>
      <c r="CK139" s="292">
        <v>128</v>
      </c>
      <c r="CL139" s="233"/>
      <c r="CM139" s="233"/>
      <c r="CN139" s="292">
        <v>130</v>
      </c>
      <c r="CO139" s="233"/>
      <c r="CP139" s="233"/>
      <c r="CQ139" s="292">
        <v>164</v>
      </c>
      <c r="CR139" s="233"/>
      <c r="CS139" s="233"/>
      <c r="CT139" s="427">
        <v>147</v>
      </c>
      <c r="CU139" s="233"/>
      <c r="CV139" s="291"/>
      <c r="CW139" s="427">
        <v>227</v>
      </c>
      <c r="CX139" s="233"/>
      <c r="CY139" s="233"/>
      <c r="CZ139" s="427">
        <v>121</v>
      </c>
      <c r="DA139" s="233"/>
      <c r="DB139" s="233"/>
      <c r="DC139" s="427">
        <v>201</v>
      </c>
      <c r="DD139" s="233"/>
      <c r="DE139" s="233"/>
      <c r="DF139" s="427">
        <v>261</v>
      </c>
      <c r="DG139" s="233"/>
      <c r="DH139" s="233"/>
      <c r="DI139" s="427">
        <v>255</v>
      </c>
      <c r="DJ139" s="233"/>
      <c r="DK139" s="233"/>
      <c r="DL139" s="427">
        <v>164</v>
      </c>
      <c r="DM139" s="233"/>
      <c r="DN139" s="233"/>
      <c r="DO139" s="427">
        <v>219</v>
      </c>
      <c r="DP139" s="233"/>
      <c r="DQ139" s="233"/>
      <c r="DR139" s="427">
        <v>264</v>
      </c>
      <c r="DS139" s="233"/>
      <c r="DT139" s="233"/>
      <c r="DU139" s="427">
        <v>303</v>
      </c>
      <c r="DV139" s="233"/>
      <c r="DW139" s="233"/>
      <c r="DX139" s="427">
        <v>189</v>
      </c>
      <c r="DY139" s="233"/>
      <c r="DZ139" s="233"/>
      <c r="EA139" s="427">
        <v>259</v>
      </c>
      <c r="EB139" s="233"/>
      <c r="EC139" s="233"/>
      <c r="ED139" s="427">
        <v>227</v>
      </c>
      <c r="EE139" s="233"/>
      <c r="EF139" s="233"/>
      <c r="EG139" s="427">
        <v>323</v>
      </c>
      <c r="EH139" s="233"/>
      <c r="EI139" s="233"/>
      <c r="EJ139" s="427">
        <v>282</v>
      </c>
      <c r="EK139" s="233"/>
      <c r="EL139" s="233"/>
      <c r="EM139" s="427">
        <v>333</v>
      </c>
      <c r="EN139" s="233"/>
      <c r="EO139" s="233"/>
      <c r="EP139" s="427">
        <v>432</v>
      </c>
      <c r="EQ139" s="233"/>
      <c r="ER139" s="233"/>
      <c r="ES139" s="427">
        <v>476</v>
      </c>
      <c r="ET139" s="233"/>
      <c r="EU139" s="233"/>
      <c r="EV139" s="821">
        <v>517</v>
      </c>
      <c r="EW139" s="233"/>
      <c r="EX139" s="233"/>
      <c r="EY139" s="427">
        <v>401</v>
      </c>
      <c r="EZ139" s="233"/>
      <c r="FA139" s="233"/>
      <c r="FB139" s="427">
        <v>506</v>
      </c>
      <c r="FC139" s="233"/>
      <c r="FD139" s="233"/>
      <c r="FE139" s="427">
        <v>523</v>
      </c>
      <c r="FF139" s="233"/>
      <c r="FG139" s="233"/>
      <c r="FH139" s="427">
        <v>465</v>
      </c>
      <c r="FI139" s="233"/>
      <c r="FJ139" s="233"/>
      <c r="FK139" s="427">
        <v>664</v>
      </c>
      <c r="FL139" s="233"/>
      <c r="FM139" s="233"/>
      <c r="FN139" s="427">
        <v>654</v>
      </c>
      <c r="FO139" s="233"/>
      <c r="FP139" s="233"/>
      <c r="FQ139" s="427">
        <v>479</v>
      </c>
      <c r="FR139" s="233"/>
      <c r="FS139" s="233"/>
      <c r="FT139" s="427">
        <v>595</v>
      </c>
      <c r="FU139" s="233"/>
      <c r="FV139" s="233"/>
      <c r="FW139" s="427">
        <v>556</v>
      </c>
      <c r="FX139" s="233"/>
      <c r="FY139" s="233"/>
      <c r="FZ139" s="427">
        <v>655</v>
      </c>
      <c r="GA139" s="233"/>
      <c r="GB139" s="233"/>
      <c r="GC139" s="427">
        <v>661</v>
      </c>
      <c r="GD139" s="233"/>
      <c r="GE139" s="427">
        <v>499</v>
      </c>
      <c r="GF139" s="233"/>
      <c r="GG139" s="427">
        <v>534</v>
      </c>
      <c r="GH139" s="233"/>
      <c r="GI139" s="427">
        <v>713</v>
      </c>
      <c r="GJ139" s="233"/>
      <c r="GK139" s="427">
        <v>656</v>
      </c>
      <c r="GL139" s="233"/>
      <c r="GM139" s="427">
        <v>536</v>
      </c>
      <c r="GN139" s="233"/>
      <c r="GO139" s="427">
        <v>715</v>
      </c>
      <c r="GP139" s="233"/>
      <c r="GQ139" s="821">
        <v>470</v>
      </c>
      <c r="GT139" s="821">
        <v>557</v>
      </c>
      <c r="GW139" s="821">
        <v>517</v>
      </c>
      <c r="GZ139" s="427">
        <v>455</v>
      </c>
      <c r="HC139" s="427">
        <v>429</v>
      </c>
      <c r="HF139" s="427">
        <v>481</v>
      </c>
      <c r="HI139" s="427">
        <v>486</v>
      </c>
      <c r="HL139" s="427">
        <v>594</v>
      </c>
      <c r="HO139" s="427">
        <v>584</v>
      </c>
      <c r="HQ139" s="233"/>
      <c r="HR139" s="427">
        <v>584</v>
      </c>
      <c r="HT139" s="233"/>
      <c r="HU139" s="427">
        <v>584</v>
      </c>
      <c r="HW139" s="233"/>
      <c r="HX139" s="233"/>
      <c r="HY139" s="233"/>
      <c r="HZ139" s="233"/>
      <c r="IA139" s="427">
        <v>227</v>
      </c>
    </row>
    <row r="140" spans="2:236" ht="14.25" customHeight="1" thickBot="1">
      <c r="B140" s="242" t="s">
        <v>871</v>
      </c>
      <c r="C140" s="242"/>
      <c r="D140" s="297">
        <v>6</v>
      </c>
      <c r="E140" s="234"/>
      <c r="F140" s="297">
        <v>10</v>
      </c>
      <c r="G140" s="234"/>
      <c r="H140" s="297">
        <v>7</v>
      </c>
      <c r="I140" s="233"/>
      <c r="J140" s="297">
        <v>7</v>
      </c>
      <c r="K140" s="233"/>
      <c r="L140" s="297">
        <v>13</v>
      </c>
      <c r="M140" s="233"/>
      <c r="N140" s="297">
        <v>27</v>
      </c>
      <c r="O140" s="233"/>
      <c r="P140" s="297" t="e">
        <f>+#REF!</f>
        <v>#REF!</v>
      </c>
      <c r="Q140" s="233"/>
      <c r="R140" s="297" t="e">
        <f>+#REF!</f>
        <v>#REF!</v>
      </c>
      <c r="S140" s="233"/>
      <c r="T140" s="297" t="e">
        <f>+#REF!</f>
        <v>#REF!</v>
      </c>
      <c r="U140" s="233"/>
      <c r="V140" s="297" t="e">
        <f>+#REF!</f>
        <v>#REF!</v>
      </c>
      <c r="W140" s="233"/>
      <c r="X140" s="297" t="e">
        <f>+#REF!</f>
        <v>#REF!</v>
      </c>
      <c r="Y140" s="233"/>
      <c r="Z140" s="297" t="e">
        <f>+#REF!</f>
        <v>#REF!</v>
      </c>
      <c r="AA140" s="233"/>
      <c r="AB140" s="297" t="e">
        <f>+#REF!</f>
        <v>#REF!</v>
      </c>
      <c r="AC140" s="233"/>
      <c r="AD140" s="297" t="e">
        <f>+#REF!</f>
        <v>#REF!</v>
      </c>
      <c r="AE140" s="233"/>
      <c r="AF140" s="297" t="e">
        <f>+#REF!</f>
        <v>#REF!</v>
      </c>
      <c r="AG140" s="233"/>
      <c r="AH140" s="297" t="e">
        <f>+#REF!</f>
        <v>#REF!</v>
      </c>
      <c r="AI140" s="233"/>
      <c r="AJ140" s="297">
        <v>40</v>
      </c>
      <c r="AK140" s="233"/>
      <c r="AL140" s="297">
        <f>SUM(AL141:AL143)</f>
        <v>34</v>
      </c>
      <c r="AM140" s="233"/>
      <c r="AN140" s="297" t="e">
        <f>+#REF!</f>
        <v>#REF!</v>
      </c>
      <c r="AO140" s="233"/>
      <c r="AP140" s="297" t="e">
        <f>+#REF!</f>
        <v>#REF!</v>
      </c>
      <c r="AQ140" s="233"/>
      <c r="AR140" s="297" t="e">
        <f>+#REF!</f>
        <v>#REF!</v>
      </c>
      <c r="AS140" s="233"/>
      <c r="AT140" s="297">
        <v>62</v>
      </c>
      <c r="AU140" s="233"/>
      <c r="AV140" s="297" t="e">
        <f>+#REF!</f>
        <v>#REF!</v>
      </c>
      <c r="AW140" s="233"/>
      <c r="AX140" s="297" t="e">
        <f>+#REF!</f>
        <v>#REF!</v>
      </c>
      <c r="AY140" s="233"/>
      <c r="AZ140" s="297" t="e">
        <f>+#REF!</f>
        <v>#REF!</v>
      </c>
      <c r="BA140" s="233"/>
      <c r="BB140" s="297" t="e">
        <f>+#REF!</f>
        <v>#REF!</v>
      </c>
      <c r="BC140" s="233"/>
      <c r="BD140" s="297" t="e">
        <f>#REF!</f>
        <v>#REF!</v>
      </c>
      <c r="BE140" s="233"/>
      <c r="BF140" s="307" t="e">
        <f>#REF!</f>
        <v>#REF!</v>
      </c>
      <c r="BG140" s="234"/>
      <c r="BH140" s="307">
        <v>111</v>
      </c>
      <c r="BI140" s="234"/>
      <c r="BJ140" s="307">
        <v>120</v>
      </c>
      <c r="BK140" s="234"/>
      <c r="BL140" s="307">
        <v>126</v>
      </c>
      <c r="BM140" s="234"/>
      <c r="BN140" s="307">
        <v>107</v>
      </c>
      <c r="BO140" s="234"/>
      <c r="BP140" s="307">
        <v>121</v>
      </c>
      <c r="BQ140" s="234"/>
      <c r="BR140" s="293">
        <v>130</v>
      </c>
      <c r="BS140" s="234"/>
      <c r="BT140" s="293">
        <v>143</v>
      </c>
      <c r="BU140" s="234"/>
      <c r="BV140" s="293">
        <v>143</v>
      </c>
      <c r="BW140" s="234"/>
      <c r="BX140" s="293">
        <v>156</v>
      </c>
      <c r="BY140" s="234"/>
      <c r="BZ140" s="293">
        <v>126</v>
      </c>
      <c r="CA140" s="234"/>
      <c r="CB140" s="293">
        <v>106</v>
      </c>
      <c r="CC140" s="234"/>
      <c r="CD140" s="293">
        <v>148</v>
      </c>
      <c r="CE140" s="234"/>
      <c r="CF140" s="293">
        <v>141</v>
      </c>
      <c r="CG140" s="234"/>
      <c r="CH140" s="292">
        <v>128</v>
      </c>
      <c r="CI140" s="234"/>
      <c r="CJ140" s="234"/>
      <c r="CK140" s="292">
        <v>151</v>
      </c>
      <c r="CL140" s="234"/>
      <c r="CM140" s="234"/>
      <c r="CN140" s="292">
        <v>156</v>
      </c>
      <c r="CO140" s="234"/>
      <c r="CP140" s="234"/>
      <c r="CQ140" s="292">
        <v>171</v>
      </c>
      <c r="CR140" s="234"/>
      <c r="CS140" s="425"/>
      <c r="CT140" s="427">
        <f>162+17</f>
        <v>179</v>
      </c>
      <c r="CU140" s="234"/>
      <c r="CV140" s="214"/>
      <c r="CW140" s="427">
        <v>177</v>
      </c>
      <c r="CX140" s="234"/>
      <c r="CY140" s="436"/>
      <c r="CZ140" s="427">
        <v>181</v>
      </c>
      <c r="DA140" s="234"/>
      <c r="DB140" s="436"/>
      <c r="DC140" s="427">
        <v>211</v>
      </c>
      <c r="DD140" s="234"/>
      <c r="DE140" s="436"/>
      <c r="DF140" s="427">
        <v>186</v>
      </c>
      <c r="DG140" s="234"/>
      <c r="DH140" s="436"/>
      <c r="DI140" s="427">
        <v>194</v>
      </c>
      <c r="DJ140" s="234"/>
      <c r="DK140" s="436"/>
      <c r="DL140" s="427">
        <v>178</v>
      </c>
      <c r="DM140" s="234"/>
      <c r="DN140" s="436"/>
      <c r="DO140" s="427">
        <v>187</v>
      </c>
      <c r="DP140" s="425"/>
      <c r="DQ140" s="580"/>
      <c r="DR140" s="427">
        <v>284</v>
      </c>
      <c r="DS140" s="425"/>
      <c r="DT140" s="580"/>
      <c r="DU140" s="427">
        <v>347</v>
      </c>
      <c r="DV140" s="425"/>
      <c r="DW140" s="580"/>
      <c r="DX140" s="427">
        <v>272</v>
      </c>
      <c r="DY140" s="580"/>
      <c r="DZ140" s="580"/>
      <c r="EA140" s="427">
        <v>346</v>
      </c>
      <c r="EB140" s="580"/>
      <c r="EC140" s="580"/>
      <c r="ED140" s="427">
        <v>403</v>
      </c>
      <c r="EE140" s="580"/>
      <c r="EF140" s="580"/>
      <c r="EG140" s="427">
        <v>448</v>
      </c>
      <c r="EH140" s="234"/>
      <c r="EI140" s="436"/>
      <c r="EJ140" s="427">
        <v>402</v>
      </c>
      <c r="EK140" s="234"/>
      <c r="EL140" s="436"/>
      <c r="EM140" s="427">
        <v>500</v>
      </c>
      <c r="EN140" s="234"/>
      <c r="EO140" s="436"/>
      <c r="EP140" s="427">
        <v>511</v>
      </c>
      <c r="EQ140" s="234"/>
      <c r="ER140" s="436"/>
      <c r="ES140" s="427">
        <v>484</v>
      </c>
      <c r="ET140" s="234"/>
      <c r="EU140" s="436"/>
      <c r="EV140" s="821">
        <v>605</v>
      </c>
      <c r="EW140" s="234"/>
      <c r="EX140" s="436"/>
      <c r="EY140" s="427">
        <v>597</v>
      </c>
      <c r="EZ140" s="425"/>
      <c r="FA140" s="580"/>
      <c r="FB140" s="427">
        <v>730</v>
      </c>
      <c r="FC140" s="425"/>
      <c r="FD140" s="580"/>
      <c r="FE140" s="427">
        <v>953</v>
      </c>
      <c r="FF140" s="425"/>
      <c r="FG140" s="580"/>
      <c r="FH140" s="427">
        <v>764</v>
      </c>
      <c r="FI140" s="580"/>
      <c r="FJ140" s="580"/>
      <c r="FK140" s="427">
        <v>1054</v>
      </c>
      <c r="FL140" s="580"/>
      <c r="FM140" s="580"/>
      <c r="FN140" s="427">
        <v>1106</v>
      </c>
      <c r="FO140" s="580"/>
      <c r="FP140" s="580"/>
      <c r="FQ140" s="427">
        <v>1070</v>
      </c>
      <c r="FR140" s="580"/>
      <c r="FS140" s="580"/>
      <c r="FT140" s="427">
        <v>1149</v>
      </c>
      <c r="FU140" s="580"/>
      <c r="FV140" s="580"/>
      <c r="FW140" s="427">
        <v>1156</v>
      </c>
      <c r="FX140" s="580"/>
      <c r="FY140" s="580"/>
      <c r="FZ140" s="427">
        <v>1130</v>
      </c>
      <c r="GA140" s="580"/>
      <c r="GB140" s="580"/>
      <c r="GC140" s="427">
        <v>1206</v>
      </c>
      <c r="GD140" s="580"/>
      <c r="GE140" s="427">
        <v>1212</v>
      </c>
      <c r="GF140" s="580"/>
      <c r="GG140" s="427">
        <v>1194</v>
      </c>
      <c r="GH140" s="580"/>
      <c r="GI140" s="427">
        <v>1340</v>
      </c>
      <c r="GJ140" s="580"/>
      <c r="GK140" s="427">
        <v>1266</v>
      </c>
      <c r="GL140" s="580"/>
      <c r="GM140" s="427">
        <v>1001</v>
      </c>
      <c r="GN140" s="580"/>
      <c r="GO140" s="427">
        <v>1032</v>
      </c>
      <c r="GP140" s="580"/>
      <c r="GQ140" s="821">
        <v>885</v>
      </c>
      <c r="GR140" s="233"/>
      <c r="GS140" s="233"/>
      <c r="GT140" s="821">
        <v>748</v>
      </c>
      <c r="GU140" s="233"/>
      <c r="GV140" s="233"/>
      <c r="GW140" s="821">
        <v>896</v>
      </c>
      <c r="GX140" s="233"/>
      <c r="GY140" s="233"/>
      <c r="GZ140" s="427">
        <v>999</v>
      </c>
      <c r="HA140" s="233"/>
      <c r="HB140" s="233"/>
      <c r="HC140" s="427">
        <v>941</v>
      </c>
      <c r="HD140" s="233"/>
      <c r="HE140" s="233"/>
      <c r="HF140" s="427">
        <v>956</v>
      </c>
      <c r="HG140" s="233"/>
      <c r="HH140" s="233"/>
      <c r="HI140" s="427">
        <v>779</v>
      </c>
      <c r="HJ140" s="233"/>
      <c r="HK140" s="233"/>
      <c r="HL140" s="427">
        <v>868</v>
      </c>
      <c r="HM140" s="233"/>
      <c r="HN140" s="233"/>
      <c r="HO140" s="427">
        <v>858</v>
      </c>
      <c r="HP140" s="233"/>
      <c r="HQ140" s="580"/>
      <c r="HR140" s="427">
        <v>858</v>
      </c>
      <c r="HS140" s="233"/>
      <c r="HT140" s="580"/>
      <c r="HU140" s="427">
        <v>858</v>
      </c>
      <c r="HV140" s="233"/>
      <c r="HW140" s="580"/>
      <c r="HX140" s="580"/>
      <c r="HY140" s="580"/>
      <c r="HZ140" s="580"/>
      <c r="IA140" s="427">
        <v>403</v>
      </c>
    </row>
    <row r="141" spans="2:236" ht="14.25" hidden="1" customHeight="1">
      <c r="B141" s="242" t="s">
        <v>444</v>
      </c>
      <c r="C141" s="242"/>
      <c r="D141" s="308"/>
      <c r="E141" s="234"/>
      <c r="F141" s="308"/>
      <c r="G141" s="234"/>
      <c r="H141" s="308"/>
      <c r="I141" s="233"/>
      <c r="J141" s="308"/>
      <c r="K141" s="233"/>
      <c r="L141" s="308"/>
      <c r="M141" s="233"/>
      <c r="N141" s="308"/>
      <c r="O141" s="233"/>
      <c r="P141" s="308"/>
      <c r="Q141" s="233"/>
      <c r="R141" s="308"/>
      <c r="S141" s="233"/>
      <c r="T141" s="308"/>
      <c r="U141" s="233"/>
      <c r="V141" s="308"/>
      <c r="W141" s="233"/>
      <c r="X141" s="308"/>
      <c r="Y141" s="233"/>
      <c r="Z141" s="308"/>
      <c r="AA141" s="233"/>
      <c r="AB141" s="308"/>
      <c r="AC141" s="233"/>
      <c r="AD141" s="308"/>
      <c r="AE141" s="233"/>
      <c r="AF141" s="308"/>
      <c r="AG141" s="233"/>
      <c r="AH141" s="308"/>
      <c r="AI141" s="233"/>
      <c r="AJ141" s="308"/>
      <c r="AK141" s="233"/>
      <c r="AL141" s="308">
        <v>16</v>
      </c>
      <c r="AM141" s="233"/>
      <c r="AN141" s="308"/>
      <c r="AO141" s="233"/>
      <c r="AP141" s="308"/>
      <c r="AQ141" s="233"/>
      <c r="AR141" s="308"/>
      <c r="AS141" s="233"/>
      <c r="AT141" s="308"/>
      <c r="AU141" s="233"/>
      <c r="AV141" s="308"/>
      <c r="AW141" s="233"/>
      <c r="AX141" s="308"/>
      <c r="AY141" s="233"/>
      <c r="AZ141" s="308"/>
      <c r="BA141" s="233"/>
      <c r="BB141" s="308"/>
      <c r="BC141" s="233"/>
      <c r="BD141" s="308"/>
      <c r="BE141" s="233"/>
      <c r="BF141" s="309"/>
      <c r="BG141" s="234"/>
      <c r="BH141" s="309"/>
      <c r="BI141" s="234"/>
      <c r="BJ141" s="309"/>
      <c r="BK141" s="234"/>
      <c r="BL141" s="309"/>
      <c r="BM141" s="234"/>
      <c r="BN141" s="309"/>
      <c r="BO141" s="234"/>
      <c r="BP141" s="309"/>
      <c r="BQ141" s="234"/>
      <c r="BR141" s="309"/>
      <c r="BS141" s="234"/>
      <c r="BT141" s="309"/>
      <c r="BU141" s="234"/>
      <c r="BV141" s="309"/>
      <c r="BW141" s="234"/>
      <c r="BX141" s="309"/>
      <c r="BY141" s="234"/>
      <c r="BZ141" s="309"/>
      <c r="CA141" s="234"/>
      <c r="CB141" s="309"/>
      <c r="CC141" s="234"/>
      <c r="CD141" s="309"/>
      <c r="CE141" s="234"/>
      <c r="CF141" s="309"/>
      <c r="CG141" s="234"/>
      <c r="CH141" s="309"/>
      <c r="CI141" s="234"/>
      <c r="CJ141" s="234"/>
      <c r="CK141" s="309"/>
      <c r="CL141" s="234"/>
      <c r="CM141" s="234"/>
      <c r="CN141" s="309"/>
      <c r="CO141" s="234"/>
      <c r="CP141" s="234"/>
      <c r="CQ141" s="309"/>
      <c r="CR141" s="234"/>
      <c r="CS141" s="234"/>
      <c r="CT141" s="309"/>
      <c r="CU141" s="234"/>
      <c r="CV141" s="198"/>
      <c r="CW141" s="309"/>
      <c r="CX141" s="234"/>
      <c r="CY141" s="436"/>
      <c r="CZ141" s="309"/>
      <c r="DA141" s="234"/>
      <c r="DB141" s="436"/>
      <c r="DC141" s="309"/>
      <c r="DD141" s="234"/>
      <c r="DE141" s="436"/>
      <c r="DF141" s="502"/>
      <c r="DG141" s="234"/>
      <c r="DH141" s="436"/>
      <c r="DI141" s="502"/>
      <c r="DJ141" s="234"/>
      <c r="DK141" s="436"/>
      <c r="DL141" s="502"/>
      <c r="DM141" s="234"/>
      <c r="DN141" s="436"/>
      <c r="DO141" s="502"/>
      <c r="DP141" s="425"/>
      <c r="DQ141" s="580"/>
      <c r="DR141" s="502"/>
      <c r="DS141" s="425"/>
      <c r="DT141" s="580"/>
      <c r="DU141" s="502"/>
      <c r="DV141" s="425"/>
      <c r="DW141" s="580"/>
      <c r="DX141" s="502"/>
      <c r="DY141" s="580"/>
      <c r="DZ141" s="580"/>
      <c r="EA141" s="502"/>
      <c r="EB141" s="580"/>
      <c r="EC141" s="580"/>
      <c r="ED141" s="502"/>
      <c r="EE141" s="580"/>
      <c r="EF141" s="580"/>
      <c r="EG141" s="309"/>
      <c r="EH141" s="234"/>
      <c r="EI141" s="436"/>
      <c r="EJ141" s="309"/>
      <c r="EK141" s="234"/>
      <c r="EL141" s="436"/>
      <c r="EM141" s="309"/>
      <c r="EN141" s="234"/>
      <c r="EO141" s="436"/>
      <c r="EP141" s="502"/>
      <c r="EQ141" s="234"/>
      <c r="ER141" s="436"/>
      <c r="ES141" s="502"/>
      <c r="ET141" s="234"/>
      <c r="EU141" s="436"/>
      <c r="EV141" s="822"/>
      <c r="EW141" s="234"/>
      <c r="EX141" s="436"/>
      <c r="EY141" s="502"/>
      <c r="EZ141" s="425"/>
      <c r="FA141" s="580"/>
      <c r="FB141" s="502"/>
      <c r="FC141" s="425"/>
      <c r="FD141" s="580"/>
      <c r="FE141" s="502"/>
      <c r="FF141" s="425"/>
      <c r="FG141" s="580"/>
      <c r="FH141" s="502"/>
      <c r="FI141" s="580"/>
      <c r="FJ141" s="580"/>
      <c r="FK141" s="502"/>
      <c r="FL141" s="580"/>
      <c r="FM141" s="580"/>
      <c r="FN141" s="502"/>
      <c r="FO141" s="580"/>
      <c r="FP141" s="580"/>
      <c r="FQ141" s="502"/>
      <c r="FR141" s="580"/>
      <c r="FS141" s="580"/>
      <c r="FT141" s="502"/>
      <c r="FU141" s="580"/>
      <c r="FV141" s="580"/>
      <c r="FW141" s="502"/>
      <c r="FX141" s="580"/>
      <c r="FY141" s="580"/>
      <c r="FZ141" s="502"/>
      <c r="GA141" s="580"/>
      <c r="GB141" s="580"/>
      <c r="GC141" s="502"/>
      <c r="GD141" s="580"/>
      <c r="GE141" s="502"/>
      <c r="GF141" s="580"/>
      <c r="GG141" s="502"/>
      <c r="GH141" s="580"/>
      <c r="GI141" s="502"/>
      <c r="GJ141" s="580"/>
      <c r="GK141" s="502"/>
      <c r="GL141" s="580"/>
      <c r="GM141" s="502"/>
      <c r="GN141" s="580"/>
      <c r="GO141" s="502"/>
      <c r="GP141" s="580"/>
      <c r="GQ141" s="822"/>
      <c r="GR141" s="580"/>
      <c r="GS141" s="580"/>
      <c r="GT141" s="822"/>
      <c r="GU141" s="580"/>
      <c r="GV141" s="580"/>
      <c r="GW141" s="822"/>
      <c r="GX141" s="580"/>
      <c r="GY141" s="580"/>
      <c r="GZ141" s="502"/>
      <c r="HA141" s="580"/>
      <c r="HB141" s="580"/>
      <c r="HC141" s="502"/>
      <c r="HD141" s="580"/>
      <c r="HE141" s="580"/>
      <c r="HF141" s="502"/>
      <c r="HG141" s="580"/>
      <c r="HH141" s="580"/>
      <c r="HI141" s="502"/>
      <c r="HJ141" s="580"/>
      <c r="HK141" s="580"/>
      <c r="HL141" s="502"/>
      <c r="HM141" s="580"/>
      <c r="HN141" s="580"/>
      <c r="HO141" s="502"/>
      <c r="HP141" s="580"/>
      <c r="HQ141" s="580"/>
      <c r="HR141" s="502"/>
      <c r="HS141" s="580"/>
      <c r="HT141" s="580"/>
      <c r="HU141" s="502"/>
      <c r="HV141" s="580"/>
      <c r="HW141" s="580"/>
      <c r="HX141" s="580"/>
      <c r="HY141" s="580"/>
      <c r="HZ141" s="580"/>
      <c r="IA141" s="502"/>
    </row>
    <row r="142" spans="2:236" ht="14.25" hidden="1" customHeight="1">
      <c r="B142" s="242" t="s">
        <v>446</v>
      </c>
      <c r="C142" s="242"/>
      <c r="D142" s="310"/>
      <c r="E142" s="234"/>
      <c r="F142" s="310"/>
      <c r="G142" s="234"/>
      <c r="H142" s="310"/>
      <c r="I142" s="233"/>
      <c r="J142" s="310"/>
      <c r="K142" s="233"/>
      <c r="L142" s="310"/>
      <c r="M142" s="233"/>
      <c r="N142" s="310"/>
      <c r="O142" s="233"/>
      <c r="P142" s="310"/>
      <c r="Q142" s="233"/>
      <c r="R142" s="310"/>
      <c r="S142" s="233"/>
      <c r="T142" s="310"/>
      <c r="U142" s="233"/>
      <c r="V142" s="310"/>
      <c r="W142" s="233"/>
      <c r="X142" s="310"/>
      <c r="Y142" s="233"/>
      <c r="Z142" s="310"/>
      <c r="AA142" s="233"/>
      <c r="AB142" s="310"/>
      <c r="AC142" s="233"/>
      <c r="AD142" s="310"/>
      <c r="AE142" s="233"/>
      <c r="AF142" s="310"/>
      <c r="AG142" s="233"/>
      <c r="AH142" s="310"/>
      <c r="AI142" s="233"/>
      <c r="AJ142" s="310"/>
      <c r="AK142" s="233"/>
      <c r="AL142" s="310">
        <v>14</v>
      </c>
      <c r="AM142" s="233"/>
      <c r="AN142" s="310"/>
      <c r="AO142" s="233"/>
      <c r="AP142" s="310"/>
      <c r="AQ142" s="233"/>
      <c r="AR142" s="310"/>
      <c r="AS142" s="233"/>
      <c r="AT142" s="310"/>
      <c r="AU142" s="233"/>
      <c r="AV142" s="310"/>
      <c r="AW142" s="233"/>
      <c r="AX142" s="310"/>
      <c r="AY142" s="233"/>
      <c r="AZ142" s="310"/>
      <c r="BA142" s="233"/>
      <c r="BB142" s="310"/>
      <c r="BC142" s="233"/>
      <c r="BD142" s="310"/>
      <c r="BE142" s="233"/>
      <c r="BF142" s="311"/>
      <c r="BG142" s="234"/>
      <c r="BH142" s="311"/>
      <c r="BI142" s="234"/>
      <c r="BJ142" s="311"/>
      <c r="BK142" s="234"/>
      <c r="BL142" s="311"/>
      <c r="BM142" s="234"/>
      <c r="BN142" s="311"/>
      <c r="BO142" s="234"/>
      <c r="BP142" s="311"/>
      <c r="BQ142" s="234"/>
      <c r="BR142" s="311"/>
      <c r="BS142" s="234"/>
      <c r="BT142" s="311"/>
      <c r="BU142" s="234"/>
      <c r="BV142" s="311"/>
      <c r="BW142" s="234"/>
      <c r="BX142" s="311"/>
      <c r="BY142" s="234"/>
      <c r="BZ142" s="311"/>
      <c r="CA142" s="234"/>
      <c r="CB142" s="311"/>
      <c r="CC142" s="234"/>
      <c r="CD142" s="311"/>
      <c r="CE142" s="234"/>
      <c r="CF142" s="311"/>
      <c r="CG142" s="234"/>
      <c r="CH142" s="311"/>
      <c r="CI142" s="234"/>
      <c r="CJ142" s="234"/>
      <c r="CK142" s="311"/>
      <c r="CL142" s="234"/>
      <c r="CM142" s="234"/>
      <c r="CN142" s="311"/>
      <c r="CO142" s="234"/>
      <c r="CP142" s="234"/>
      <c r="CQ142" s="311"/>
      <c r="CR142" s="234"/>
      <c r="CS142" s="234"/>
      <c r="CT142" s="311"/>
      <c r="CU142" s="234"/>
      <c r="CV142" s="198"/>
      <c r="CW142" s="311"/>
      <c r="CX142" s="234"/>
      <c r="CY142" s="436"/>
      <c r="CZ142" s="311"/>
      <c r="DA142" s="234"/>
      <c r="DB142" s="436"/>
      <c r="DC142" s="311"/>
      <c r="DD142" s="234"/>
      <c r="DE142" s="436"/>
      <c r="DF142" s="503"/>
      <c r="DG142" s="234"/>
      <c r="DH142" s="436"/>
      <c r="DI142" s="503"/>
      <c r="DJ142" s="234"/>
      <c r="DK142" s="436"/>
      <c r="DL142" s="503"/>
      <c r="DM142" s="234"/>
      <c r="DN142" s="436"/>
      <c r="DO142" s="503"/>
      <c r="DP142" s="425"/>
      <c r="DQ142" s="580"/>
      <c r="DR142" s="503"/>
      <c r="DS142" s="425"/>
      <c r="DT142" s="580"/>
      <c r="DU142" s="503"/>
      <c r="DV142" s="425"/>
      <c r="DW142" s="580"/>
      <c r="DX142" s="610"/>
      <c r="DY142" s="580"/>
      <c r="DZ142" s="580"/>
      <c r="EA142" s="610"/>
      <c r="EB142" s="580"/>
      <c r="EC142" s="580"/>
      <c r="ED142" s="610"/>
      <c r="EE142" s="580"/>
      <c r="EF142" s="580"/>
      <c r="EG142" s="311"/>
      <c r="EH142" s="234"/>
      <c r="EI142" s="436"/>
      <c r="EJ142" s="311"/>
      <c r="EK142" s="234"/>
      <c r="EL142" s="436"/>
      <c r="EM142" s="311"/>
      <c r="EN142" s="234"/>
      <c r="EO142" s="436"/>
      <c r="EP142" s="503"/>
      <c r="EQ142" s="234"/>
      <c r="ER142" s="436"/>
      <c r="ES142" s="503"/>
      <c r="ET142" s="234"/>
      <c r="EU142" s="436"/>
      <c r="EV142" s="823"/>
      <c r="EW142" s="234"/>
      <c r="EX142" s="436"/>
      <c r="EY142" s="503"/>
      <c r="EZ142" s="425"/>
      <c r="FA142" s="580"/>
      <c r="FB142" s="503"/>
      <c r="FC142" s="425"/>
      <c r="FD142" s="580"/>
      <c r="FE142" s="503"/>
      <c r="FF142" s="425"/>
      <c r="FG142" s="580"/>
      <c r="FH142" s="610"/>
      <c r="FI142" s="580"/>
      <c r="FJ142" s="580"/>
      <c r="FK142" s="610"/>
      <c r="FL142" s="580"/>
      <c r="FM142" s="580"/>
      <c r="FN142" s="610"/>
      <c r="FO142" s="580"/>
      <c r="FP142" s="580"/>
      <c r="FQ142" s="610"/>
      <c r="FR142" s="580"/>
      <c r="FS142" s="580"/>
      <c r="FT142" s="610"/>
      <c r="FU142" s="580"/>
      <c r="FV142" s="580"/>
      <c r="FW142" s="610"/>
      <c r="FX142" s="580"/>
      <c r="FY142" s="580"/>
      <c r="FZ142" s="610"/>
      <c r="GA142" s="580"/>
      <c r="GB142" s="580"/>
      <c r="GC142" s="610"/>
      <c r="GD142" s="580"/>
      <c r="GE142" s="610"/>
      <c r="GF142" s="580"/>
      <c r="GG142" s="610"/>
      <c r="GH142" s="580"/>
      <c r="GI142" s="610"/>
      <c r="GJ142" s="580"/>
      <c r="GK142" s="610"/>
      <c r="GL142" s="580"/>
      <c r="GM142" s="610"/>
      <c r="GN142" s="580"/>
      <c r="GO142" s="610"/>
      <c r="GP142" s="580"/>
      <c r="GQ142" s="1023"/>
      <c r="GR142" s="580"/>
      <c r="GS142" s="580"/>
      <c r="GT142" s="1023"/>
      <c r="GU142" s="580"/>
      <c r="GV142" s="580"/>
      <c r="GW142" s="1023"/>
      <c r="GX142" s="580"/>
      <c r="GY142" s="580"/>
      <c r="GZ142" s="610"/>
      <c r="HA142" s="580"/>
      <c r="HB142" s="580"/>
      <c r="HC142" s="610"/>
      <c r="HD142" s="580"/>
      <c r="HE142" s="580"/>
      <c r="HF142" s="610"/>
      <c r="HG142" s="580"/>
      <c r="HH142" s="580"/>
      <c r="HI142" s="610"/>
      <c r="HJ142" s="580"/>
      <c r="HK142" s="580"/>
      <c r="HL142" s="610"/>
      <c r="HM142" s="580"/>
      <c r="HN142" s="580"/>
      <c r="HO142" s="610"/>
      <c r="HP142" s="580"/>
      <c r="HQ142" s="580"/>
      <c r="HR142" s="610"/>
      <c r="HS142" s="580"/>
      <c r="HT142" s="580"/>
      <c r="HU142" s="610"/>
      <c r="HV142" s="580"/>
      <c r="HW142" s="580"/>
      <c r="HX142" s="580"/>
      <c r="HY142" s="580"/>
      <c r="HZ142" s="580"/>
      <c r="IA142" s="610"/>
    </row>
    <row r="143" spans="2:236" ht="14.25" hidden="1" customHeight="1" thickBot="1">
      <c r="B143" s="242" t="s">
        <v>447</v>
      </c>
      <c r="C143" s="242"/>
      <c r="D143" s="312"/>
      <c r="E143" s="234"/>
      <c r="F143" s="312"/>
      <c r="G143" s="234"/>
      <c r="H143" s="312"/>
      <c r="I143" s="233"/>
      <c r="J143" s="312"/>
      <c r="K143" s="233"/>
      <c r="L143" s="312"/>
      <c r="M143" s="233"/>
      <c r="N143" s="312"/>
      <c r="O143" s="233"/>
      <c r="P143" s="312"/>
      <c r="Q143" s="233"/>
      <c r="R143" s="312"/>
      <c r="S143" s="233"/>
      <c r="T143" s="312"/>
      <c r="U143" s="233"/>
      <c r="V143" s="312"/>
      <c r="W143" s="233"/>
      <c r="X143" s="312"/>
      <c r="Y143" s="233"/>
      <c r="Z143" s="312"/>
      <c r="AA143" s="233"/>
      <c r="AB143" s="312"/>
      <c r="AC143" s="233"/>
      <c r="AD143" s="312"/>
      <c r="AE143" s="233"/>
      <c r="AF143" s="312"/>
      <c r="AG143" s="233"/>
      <c r="AH143" s="312"/>
      <c r="AI143" s="233"/>
      <c r="AJ143" s="312"/>
      <c r="AK143" s="233"/>
      <c r="AL143" s="312">
        <v>4</v>
      </c>
      <c r="AM143" s="233"/>
      <c r="AN143" s="312"/>
      <c r="AO143" s="233"/>
      <c r="AP143" s="312"/>
      <c r="AQ143" s="233"/>
      <c r="AR143" s="312"/>
      <c r="AS143" s="233"/>
      <c r="AT143" s="312"/>
      <c r="AU143" s="233"/>
      <c r="AV143" s="312"/>
      <c r="AW143" s="233"/>
      <c r="AX143" s="312"/>
      <c r="AY143" s="233"/>
      <c r="AZ143" s="312"/>
      <c r="BA143" s="233"/>
      <c r="BB143" s="312"/>
      <c r="BC143" s="233"/>
      <c r="BD143" s="312"/>
      <c r="BE143" s="233"/>
      <c r="BF143" s="313"/>
      <c r="BG143" s="234"/>
      <c r="BH143" s="313"/>
      <c r="BI143" s="234"/>
      <c r="BJ143" s="313"/>
      <c r="BK143" s="234"/>
      <c r="BL143" s="313"/>
      <c r="BM143" s="234"/>
      <c r="BN143" s="313"/>
      <c r="BO143" s="234"/>
      <c r="BP143" s="313"/>
      <c r="BQ143" s="234"/>
      <c r="BR143" s="313"/>
      <c r="BS143" s="234"/>
      <c r="BT143" s="313"/>
      <c r="BU143" s="234"/>
      <c r="BV143" s="313"/>
      <c r="BW143" s="234"/>
      <c r="BX143" s="313"/>
      <c r="BY143" s="234"/>
      <c r="BZ143" s="313"/>
      <c r="CA143" s="234"/>
      <c r="CB143" s="313"/>
      <c r="CC143" s="234"/>
      <c r="CD143" s="313"/>
      <c r="CE143" s="234"/>
      <c r="CF143" s="313"/>
      <c r="CG143" s="234"/>
      <c r="CH143" s="313"/>
      <c r="CI143" s="234"/>
      <c r="CJ143" s="234"/>
      <c r="CK143" s="313"/>
      <c r="CL143" s="234"/>
      <c r="CM143" s="234"/>
      <c r="CN143" s="313"/>
      <c r="CO143" s="234"/>
      <c r="CP143" s="234"/>
      <c r="CQ143" s="313"/>
      <c r="CR143" s="234"/>
      <c r="CS143" s="234"/>
      <c r="CT143" s="313"/>
      <c r="CU143" s="234"/>
      <c r="CV143" s="198"/>
      <c r="CW143" s="313"/>
      <c r="CX143" s="234"/>
      <c r="CY143" s="436"/>
      <c r="CZ143" s="313"/>
      <c r="DA143" s="234"/>
      <c r="DB143" s="436"/>
      <c r="DC143" s="313"/>
      <c r="DD143" s="234"/>
      <c r="DE143" s="436"/>
      <c r="DF143" s="504"/>
      <c r="DG143" s="234"/>
      <c r="DH143" s="436"/>
      <c r="DI143" s="504"/>
      <c r="DJ143" s="234"/>
      <c r="DK143" s="436"/>
      <c r="DL143" s="504"/>
      <c r="DM143" s="234"/>
      <c r="DN143" s="436"/>
      <c r="DO143" s="504"/>
      <c r="DP143" s="425"/>
      <c r="DQ143" s="580"/>
      <c r="DR143" s="504"/>
      <c r="DS143" s="425"/>
      <c r="DT143" s="580"/>
      <c r="DU143" s="504"/>
      <c r="DV143" s="425"/>
      <c r="DW143" s="580"/>
      <c r="DX143" s="312"/>
      <c r="DY143" s="580"/>
      <c r="DZ143" s="580"/>
      <c r="EA143" s="312"/>
      <c r="EB143" s="580"/>
      <c r="EC143" s="580"/>
      <c r="ED143" s="312"/>
      <c r="EE143" s="580"/>
      <c r="EF143" s="580"/>
      <c r="EG143" s="313"/>
      <c r="EH143" s="234"/>
      <c r="EI143" s="436"/>
      <c r="EJ143" s="313"/>
      <c r="EK143" s="234"/>
      <c r="EL143" s="436"/>
      <c r="EM143" s="313"/>
      <c r="EN143" s="234"/>
      <c r="EO143" s="436"/>
      <c r="EP143" s="504"/>
      <c r="EQ143" s="234"/>
      <c r="ER143" s="436"/>
      <c r="ES143" s="504"/>
      <c r="ET143" s="234"/>
      <c r="EU143" s="436"/>
      <c r="EV143" s="824"/>
      <c r="EW143" s="234"/>
      <c r="EX143" s="436"/>
      <c r="EY143" s="504"/>
      <c r="EZ143" s="425"/>
      <c r="FA143" s="580"/>
      <c r="FB143" s="504"/>
      <c r="FC143" s="425"/>
      <c r="FD143" s="580"/>
      <c r="FE143" s="504"/>
      <c r="FF143" s="425"/>
      <c r="FG143" s="580"/>
      <c r="FH143" s="312"/>
      <c r="FI143" s="580"/>
      <c r="FJ143" s="580"/>
      <c r="FK143" s="312"/>
      <c r="FL143" s="580"/>
      <c r="FM143" s="580"/>
      <c r="FN143" s="312"/>
      <c r="FO143" s="580"/>
      <c r="FP143" s="580"/>
      <c r="FQ143" s="312"/>
      <c r="FR143" s="580"/>
      <c r="FS143" s="580"/>
      <c r="FT143" s="312"/>
      <c r="FU143" s="580"/>
      <c r="FV143" s="580"/>
      <c r="FW143" s="312"/>
      <c r="FX143" s="580"/>
      <c r="FY143" s="580"/>
      <c r="FZ143" s="312"/>
      <c r="GA143" s="580"/>
      <c r="GB143" s="580"/>
      <c r="GC143" s="312"/>
      <c r="GD143" s="580"/>
      <c r="GE143" s="312"/>
      <c r="GF143" s="580"/>
      <c r="GG143" s="312"/>
      <c r="GH143" s="580"/>
      <c r="GI143" s="312"/>
      <c r="GJ143" s="580"/>
      <c r="GK143" s="312"/>
      <c r="GL143" s="580"/>
      <c r="GM143" s="312"/>
      <c r="GN143" s="580"/>
      <c r="GO143" s="312"/>
      <c r="GP143" s="580"/>
      <c r="GQ143" s="1024"/>
      <c r="GR143" s="580"/>
      <c r="GS143" s="580"/>
      <c r="GT143" s="1024"/>
      <c r="GU143" s="580"/>
      <c r="GV143" s="580"/>
      <c r="GW143" s="1024"/>
      <c r="GX143" s="580"/>
      <c r="GY143" s="580"/>
      <c r="GZ143" s="312"/>
      <c r="HA143" s="580"/>
      <c r="HB143" s="580"/>
      <c r="HC143" s="312"/>
      <c r="HD143" s="580"/>
      <c r="HE143" s="580"/>
      <c r="HF143" s="312"/>
      <c r="HG143" s="580"/>
      <c r="HH143" s="580"/>
      <c r="HI143" s="312"/>
      <c r="HJ143" s="580"/>
      <c r="HK143" s="580"/>
      <c r="HL143" s="312"/>
      <c r="HM143" s="580"/>
      <c r="HN143" s="580"/>
      <c r="HO143" s="312"/>
      <c r="HP143" s="580"/>
      <c r="HQ143" s="580"/>
      <c r="HR143" s="312"/>
      <c r="HS143" s="580"/>
      <c r="HT143" s="580"/>
      <c r="HU143" s="312"/>
      <c r="HV143" s="580"/>
      <c r="HW143" s="580"/>
      <c r="HX143" s="580"/>
      <c r="HY143" s="580"/>
      <c r="HZ143" s="580"/>
      <c r="IA143" s="312"/>
    </row>
    <row r="144" spans="2:236" ht="14.25" customHeight="1" thickBot="1">
      <c r="B144" s="212" t="s">
        <v>399</v>
      </c>
      <c r="C144" s="212"/>
      <c r="D144" s="314">
        <v>77</v>
      </c>
      <c r="E144" s="315"/>
      <c r="F144" s="314">
        <v>70</v>
      </c>
      <c r="G144" s="315"/>
      <c r="H144" s="314">
        <v>84</v>
      </c>
      <c r="I144" s="315"/>
      <c r="J144" s="314">
        <v>102</v>
      </c>
      <c r="K144" s="315"/>
      <c r="L144" s="314">
        <v>93</v>
      </c>
      <c r="M144" s="315"/>
      <c r="N144" s="314">
        <f>SUM(N132:N140)</f>
        <v>116</v>
      </c>
      <c r="O144" s="315"/>
      <c r="P144" s="314" t="e">
        <f>SUM(P132:P140)</f>
        <v>#REF!</v>
      </c>
      <c r="Q144" s="315"/>
      <c r="R144" s="314" t="e">
        <f>SUM(R132:R140)</f>
        <v>#REF!</v>
      </c>
      <c r="S144" s="315"/>
      <c r="T144" s="314" t="e">
        <f>SUM(T132:T140)</f>
        <v>#REF!</v>
      </c>
      <c r="U144" s="315"/>
      <c r="V144" s="314" t="e">
        <f>SUM(V132:V140)</f>
        <v>#REF!</v>
      </c>
      <c r="W144" s="315"/>
      <c r="X144" s="314" t="e">
        <f>SUM(X132:X140)</f>
        <v>#REF!</v>
      </c>
      <c r="Y144" s="315"/>
      <c r="Z144" s="314" t="e">
        <f>SUM(Z132:Z140)</f>
        <v>#REF!</v>
      </c>
      <c r="AA144" s="315"/>
      <c r="AB144" s="314" t="e">
        <f>SUM(AB132:AB140)</f>
        <v>#REF!</v>
      </c>
      <c r="AC144" s="315"/>
      <c r="AD144" s="314" t="e">
        <f>SUM(AD132:AD140)</f>
        <v>#REF!</v>
      </c>
      <c r="AE144" s="315"/>
      <c r="AF144" s="314" t="e">
        <f>SUM(AF132:AF140)</f>
        <v>#REF!</v>
      </c>
      <c r="AG144" s="315"/>
      <c r="AH144" s="314" t="e">
        <f>SUM(AH132:AH140)</f>
        <v>#REF!</v>
      </c>
      <c r="AI144" s="315"/>
      <c r="AJ144" s="314">
        <f>SUM(AJ132:AJ140)</f>
        <v>206</v>
      </c>
      <c r="AK144" s="315"/>
      <c r="AL144" s="314" t="e">
        <f>SUM(AL132:AL140)</f>
        <v>#REF!</v>
      </c>
      <c r="AM144" s="315"/>
      <c r="AN144" s="314" t="e">
        <f>SUM(AN132:AN143)</f>
        <v>#REF!</v>
      </c>
      <c r="AO144" s="315"/>
      <c r="AP144" s="314" t="e">
        <f>SUM(AP132:AP143)</f>
        <v>#REF!</v>
      </c>
      <c r="AQ144" s="315"/>
      <c r="AR144" s="314" t="e">
        <f>SUM(AR132:AR143)</f>
        <v>#REF!</v>
      </c>
      <c r="AS144" s="315"/>
      <c r="AT144" s="314">
        <v>301</v>
      </c>
      <c r="AU144" s="315"/>
      <c r="AV144" s="314" t="e">
        <f>SUM(AV132:AV143)</f>
        <v>#REF!</v>
      </c>
      <c r="AW144" s="315"/>
      <c r="AX144" s="314" t="e">
        <f>SUM(AX132:AX143)</f>
        <v>#REF!</v>
      </c>
      <c r="AY144" s="315"/>
      <c r="AZ144" s="314" t="e">
        <f>SUM(AZ132:AZ143)</f>
        <v>#REF!</v>
      </c>
      <c r="BA144" s="315"/>
      <c r="BB144" s="314" t="e">
        <f>SUM(BB129:BB143)</f>
        <v>#REF!</v>
      </c>
      <c r="BC144" s="315"/>
      <c r="BD144" s="314" t="e">
        <f>SUM(BD129:BD143)</f>
        <v>#REF!</v>
      </c>
      <c r="BE144" s="315"/>
      <c r="BF144" s="314" t="e">
        <f>SUM(BF129:BF143)</f>
        <v>#REF!</v>
      </c>
      <c r="BG144" s="315"/>
      <c r="BH144" s="314">
        <f>SUM(BH129:BH143)</f>
        <v>217.00001</v>
      </c>
      <c r="BI144" s="315"/>
      <c r="BJ144" s="314">
        <f>SUM(BJ129:BJ143)</f>
        <v>249</v>
      </c>
      <c r="BK144" s="315"/>
      <c r="BL144" s="314">
        <f>SUM(BL129:BL143)</f>
        <v>303.00000199999999</v>
      </c>
      <c r="BM144" s="315"/>
      <c r="BN144" s="314">
        <f>SUM(BN129:BN143)</f>
        <v>265.000001</v>
      </c>
      <c r="BO144" s="315"/>
      <c r="BP144" s="314">
        <f>SUM(BP129:BP143)</f>
        <v>267.00000199999999</v>
      </c>
      <c r="BQ144" s="315"/>
      <c r="BR144" s="314">
        <f>SUM(BR129:BR143)</f>
        <v>335.00000000199998</v>
      </c>
      <c r="BS144" s="315"/>
      <c r="BT144" s="314">
        <f>SUM(BT129:BT143)</f>
        <v>364</v>
      </c>
      <c r="BU144" s="315"/>
      <c r="BV144" s="314">
        <f>SUM(BV129:BV143)</f>
        <v>355</v>
      </c>
      <c r="BW144" s="315"/>
      <c r="BX144" s="314">
        <f>SUM(BX129:BX143)</f>
        <v>397</v>
      </c>
      <c r="BY144" s="315"/>
      <c r="BZ144" s="314">
        <f>SUM(BZ129:BZ143)</f>
        <v>381</v>
      </c>
      <c r="CA144" s="315"/>
      <c r="CB144" s="314">
        <f>SUM(CB129:CB143)</f>
        <v>364</v>
      </c>
      <c r="CC144" s="315"/>
      <c r="CD144" s="314">
        <f>SUM(CD129:CD143)</f>
        <v>453</v>
      </c>
      <c r="CE144" s="315"/>
      <c r="CF144" s="314">
        <f>SUM(CF129:CF143)</f>
        <v>467</v>
      </c>
      <c r="CG144" s="315"/>
      <c r="CH144" s="314">
        <f>SUM(CH129:CH143)</f>
        <v>531</v>
      </c>
      <c r="CI144" s="315"/>
      <c r="CJ144" s="315"/>
      <c r="CK144" s="314">
        <f>SUM(CK129:CK143)</f>
        <v>612</v>
      </c>
      <c r="CL144" s="315"/>
      <c r="CM144" s="315"/>
      <c r="CN144" s="314">
        <f>SUM(CN129:CN143)</f>
        <v>504</v>
      </c>
      <c r="CO144" s="315"/>
      <c r="CP144" s="315"/>
      <c r="CQ144" s="314">
        <f>SUM(CQ129:CQ143)</f>
        <v>580</v>
      </c>
      <c r="CR144" s="315"/>
      <c r="CS144" s="315"/>
      <c r="CT144" s="301">
        <f>SUM(CT129:CT140)</f>
        <v>621</v>
      </c>
      <c r="CU144" s="315"/>
      <c r="CV144" s="200"/>
      <c r="CW144" s="301">
        <f>SUM(CW129:CW140)</f>
        <v>714</v>
      </c>
      <c r="CX144" s="315"/>
      <c r="CY144" s="444"/>
      <c r="CZ144" s="301">
        <f>SUM(CZ129:CZ140)</f>
        <v>508</v>
      </c>
      <c r="DA144" s="315"/>
      <c r="DB144" s="444"/>
      <c r="DC144" s="301">
        <f>SUM(DC129:DC140)</f>
        <v>699</v>
      </c>
      <c r="DD144" s="315"/>
      <c r="DE144" s="444"/>
      <c r="DF144" s="301">
        <f>SUM(DF129:DF140)</f>
        <v>714</v>
      </c>
      <c r="DG144" s="315"/>
      <c r="DH144" s="444"/>
      <c r="DI144" s="301">
        <f>SUM(DI129:DI140)</f>
        <v>708</v>
      </c>
      <c r="DJ144" s="315"/>
      <c r="DK144" s="444"/>
      <c r="DL144" s="301">
        <f>SUM(DL129:DL140)</f>
        <v>589</v>
      </c>
      <c r="DM144" s="315"/>
      <c r="DN144" s="444"/>
      <c r="DO144" s="301">
        <f>SUM(DO129:DO140)</f>
        <v>694</v>
      </c>
      <c r="DP144" s="505"/>
      <c r="DQ144" s="581"/>
      <c r="DR144" s="301">
        <f>SUM(DR129:DR140)</f>
        <v>794</v>
      </c>
      <c r="DS144" s="505"/>
      <c r="DT144" s="581"/>
      <c r="DU144" s="301">
        <f>SUM(DU129:DU140)</f>
        <v>962</v>
      </c>
      <c r="DV144" s="505"/>
      <c r="DW144" s="581"/>
      <c r="DX144" s="301">
        <f>SUM(DX129:DX140)</f>
        <v>695</v>
      </c>
      <c r="DY144" s="581"/>
      <c r="DZ144" s="581"/>
      <c r="EA144" s="301">
        <f>SUM(EA129:EA140)</f>
        <v>893</v>
      </c>
      <c r="EB144" s="581"/>
      <c r="EC144" s="581"/>
      <c r="ED144" s="301">
        <f>SUM(ED129:ED140)</f>
        <v>889</v>
      </c>
      <c r="EE144" s="581"/>
      <c r="EF144" s="581"/>
      <c r="EG144" s="301">
        <f>SUM(EG129:EG140)</f>
        <v>1049</v>
      </c>
      <c r="EH144" s="315"/>
      <c r="EI144" s="444"/>
      <c r="EJ144" s="301">
        <f>SUM(EJ129:EJ140)</f>
        <v>897</v>
      </c>
      <c r="EK144" s="315"/>
      <c r="EL144" s="444"/>
      <c r="EM144" s="301">
        <f>SUM(EM129:EM140)</f>
        <v>1161</v>
      </c>
      <c r="EN144" s="315"/>
      <c r="EO144" s="444"/>
      <c r="EP144" s="301">
        <f>SUM(EP129:EP140)</f>
        <v>1261</v>
      </c>
      <c r="EQ144" s="315"/>
      <c r="ER144" s="444"/>
      <c r="ES144" s="301">
        <f>SUM(ES129:ES140)</f>
        <v>1268</v>
      </c>
      <c r="ET144" s="315"/>
      <c r="EU144" s="444"/>
      <c r="EV144" s="817">
        <f>SUM(EV129:EV140)</f>
        <v>1501</v>
      </c>
      <c r="EW144" s="315"/>
      <c r="EX144" s="444"/>
      <c r="EY144" s="817">
        <f>SUM(EY129:EY140)</f>
        <v>1310</v>
      </c>
      <c r="EZ144" s="505"/>
      <c r="FA144" s="581"/>
      <c r="FB144" s="817">
        <f>SUM(FB129:FB140)</f>
        <v>1573</v>
      </c>
      <c r="FC144" s="505"/>
      <c r="FD144" s="581"/>
      <c r="FE144" s="817">
        <f>SUM(FE129:FE140)</f>
        <v>1838</v>
      </c>
      <c r="FF144" s="505"/>
      <c r="FG144" s="581"/>
      <c r="FH144" s="817">
        <f>SUM(FH129:FH140)</f>
        <v>1492</v>
      </c>
      <c r="FI144" s="581"/>
      <c r="FJ144" s="581"/>
      <c r="FK144" s="817">
        <f>SUM(FK129:FK140)</f>
        <v>1991</v>
      </c>
      <c r="FL144" s="581"/>
      <c r="FM144" s="581"/>
      <c r="FN144" s="817">
        <f>SUM(FN129:FN140)</f>
        <v>2077</v>
      </c>
      <c r="FO144" s="581"/>
      <c r="FP144" s="581"/>
      <c r="FQ144" s="817">
        <f>SUM(FQ129:FQ140)</f>
        <v>1738</v>
      </c>
      <c r="FR144" s="581"/>
      <c r="FS144" s="581"/>
      <c r="FT144" s="817">
        <f>SUM(FT129:FT140)</f>
        <v>1961</v>
      </c>
      <c r="FU144" s="581"/>
      <c r="FV144" s="581"/>
      <c r="FW144" s="817">
        <f>SUM(FW129:FW140)</f>
        <v>1917</v>
      </c>
      <c r="FX144" s="581"/>
      <c r="FY144" s="581"/>
      <c r="FZ144" s="817">
        <f>SUM(FZ129:FZ140)</f>
        <v>1969</v>
      </c>
      <c r="GA144" s="581"/>
      <c r="GB144" s="581"/>
      <c r="GC144" s="817">
        <f>SUM(GC129:GC140)</f>
        <v>2207</v>
      </c>
      <c r="GD144" s="581"/>
      <c r="GE144" s="817">
        <v>1877</v>
      </c>
      <c r="GF144" s="581"/>
      <c r="GG144" s="817">
        <f>SUM(GG132,GG135,GG138,GG139,GG140)</f>
        <v>1883</v>
      </c>
      <c r="GH144" s="581"/>
      <c r="GI144" s="817">
        <f>SUM(GI132,GI135,GI138,GI139,GI140)</f>
        <v>2276</v>
      </c>
      <c r="GJ144" s="581"/>
      <c r="GK144" s="817">
        <f>SUM(GK132,GK135,GK138,GK139,GK140)</f>
        <v>2068</v>
      </c>
      <c r="GL144" s="581"/>
      <c r="GM144" s="817">
        <f>SUM(GM132,GM135,GM138,GM139,GM140)</f>
        <v>1680</v>
      </c>
      <c r="GN144" s="581"/>
      <c r="GO144" s="817">
        <f>SUM(GO132,GO135,GO138,GO139,GO140)</f>
        <v>1976</v>
      </c>
      <c r="GP144" s="581"/>
      <c r="GQ144" s="817">
        <f>SUM(GQ132,GQ135,GQ138,GQ139,GQ140)</f>
        <v>1495</v>
      </c>
      <c r="GR144" s="581"/>
      <c r="GS144" s="581"/>
      <c r="GT144" s="817">
        <f>SUM(GT132,GT135,GT138,GT139,GT140)</f>
        <v>1416</v>
      </c>
      <c r="GU144" s="581"/>
      <c r="GV144" s="581"/>
      <c r="GW144" s="817">
        <f>SUM(GW132,GW135,GW138,GW139,GW140)</f>
        <v>1520</v>
      </c>
      <c r="GX144" s="581"/>
      <c r="GY144" s="581"/>
      <c r="GZ144" s="301">
        <f>SUM(GZ132,GZ135,GZ138,GZ139,GZ140)</f>
        <v>1600</v>
      </c>
      <c r="HA144" s="581"/>
      <c r="HB144" s="954"/>
      <c r="HC144" s="301">
        <f>SUM(HC132,HC135,HC138,HC139,HC140)</f>
        <v>1517</v>
      </c>
      <c r="HD144" s="581"/>
      <c r="HE144" s="581"/>
      <c r="HF144" s="301">
        <f>SUM(HF132,HF135,HF138,HF139,HF140,HF129)</f>
        <v>1605</v>
      </c>
      <c r="HG144" s="581"/>
      <c r="HH144" s="954"/>
      <c r="HI144" s="301">
        <f>SUM(HI132,HI135,HI138,HI139,HI140,HI129)</f>
        <v>1411</v>
      </c>
      <c r="HJ144" s="581"/>
      <c r="HK144" s="954"/>
      <c r="HL144" s="301">
        <f>SUM(HL132,HL135,HL138,HL139,HL140,HL129)</f>
        <v>1618</v>
      </c>
      <c r="HM144" s="581"/>
      <c r="HN144" s="954"/>
      <c r="HO144" s="301">
        <f>SUM(HO132,HO135,HO138,HO139,HO140,HO129)</f>
        <v>1614</v>
      </c>
      <c r="HP144" s="581"/>
      <c r="HQ144" s="581"/>
      <c r="HR144" s="301">
        <f>SUM(HR132,HR135,HR138,HR139,HR140,HR129)</f>
        <v>1614</v>
      </c>
      <c r="HS144" s="581"/>
      <c r="HT144" s="581"/>
      <c r="HU144" s="301">
        <f>SUM(HU132,HU135,HU138,HU139,HU140,HU129)</f>
        <v>1614</v>
      </c>
      <c r="HV144" s="581"/>
      <c r="HW144" s="581"/>
      <c r="HX144" s="581"/>
      <c r="HY144" s="581"/>
      <c r="HZ144" s="581"/>
      <c r="IA144" s="301">
        <f>SUM(IA129:IA140)</f>
        <v>889</v>
      </c>
    </row>
    <row r="145" spans="2:235" ht="14.25" customHeight="1">
      <c r="D145" s="267"/>
      <c r="E145" s="234"/>
      <c r="F145" s="240"/>
      <c r="G145" s="234"/>
      <c r="H145" s="157"/>
      <c r="I145" s="233"/>
      <c r="J145" s="157"/>
      <c r="K145" s="233"/>
      <c r="L145" s="157"/>
      <c r="M145" s="233"/>
      <c r="N145" s="157"/>
      <c r="O145" s="233"/>
      <c r="P145" s="157"/>
      <c r="Q145" s="233"/>
      <c r="R145" s="157"/>
      <c r="S145" s="233"/>
      <c r="T145" s="157"/>
      <c r="U145" s="233"/>
      <c r="V145" s="157"/>
      <c r="W145" s="233"/>
      <c r="X145" s="157"/>
      <c r="Y145" s="233"/>
      <c r="Z145" s="157"/>
      <c r="AA145" s="233"/>
      <c r="AB145" s="157"/>
      <c r="AC145" s="233"/>
      <c r="AD145" s="157"/>
      <c r="AE145" s="233"/>
      <c r="AF145" s="157"/>
      <c r="AG145" s="233"/>
      <c r="AH145" s="157"/>
      <c r="AI145" s="233"/>
      <c r="AJ145" s="157"/>
      <c r="AK145" s="233"/>
      <c r="AL145" s="157"/>
      <c r="AM145" s="233"/>
      <c r="AN145" s="157"/>
      <c r="AO145" s="233"/>
      <c r="AP145" s="157"/>
      <c r="AQ145" s="233"/>
      <c r="AR145" s="157"/>
      <c r="AS145" s="233"/>
      <c r="AT145" s="157"/>
      <c r="AU145" s="233"/>
      <c r="AV145" s="157"/>
      <c r="AW145" s="233"/>
      <c r="AX145" s="157"/>
      <c r="AY145" s="233"/>
      <c r="AZ145" s="157"/>
      <c r="BA145" s="233"/>
      <c r="BB145" s="157"/>
      <c r="BC145" s="233"/>
      <c r="BD145" s="157"/>
      <c r="BE145" s="233"/>
      <c r="BF145" s="157"/>
      <c r="BG145" s="234"/>
      <c r="BH145" s="157"/>
      <c r="BI145" s="234"/>
      <c r="BJ145" s="157"/>
      <c r="BK145" s="234"/>
      <c r="BL145" s="157"/>
      <c r="BM145" s="234"/>
      <c r="BN145" s="157"/>
      <c r="BO145" s="234"/>
      <c r="BP145" s="157"/>
      <c r="BQ145" s="234"/>
      <c r="BR145" s="157"/>
      <c r="BS145" s="234"/>
      <c r="BT145" s="157"/>
      <c r="BU145" s="234"/>
      <c r="BV145" s="157"/>
      <c r="BW145" s="234"/>
      <c r="BX145" s="157"/>
      <c r="BY145" s="234"/>
      <c r="BZ145" s="157"/>
      <c r="CA145" s="234"/>
      <c r="CB145" s="157"/>
      <c r="CC145" s="234"/>
      <c r="CD145" s="157"/>
      <c r="CE145" s="234"/>
      <c r="CF145" s="157"/>
      <c r="CG145" s="234"/>
      <c r="CH145" s="157"/>
      <c r="CI145" s="234"/>
      <c r="CJ145" s="234"/>
      <c r="CK145" s="157"/>
      <c r="CL145" s="234"/>
      <c r="CM145" s="234"/>
      <c r="CN145" s="157"/>
      <c r="CO145" s="234"/>
      <c r="CP145" s="234"/>
      <c r="CQ145" s="157"/>
      <c r="CR145" s="234"/>
      <c r="CS145" s="234"/>
      <c r="CT145" s="157"/>
      <c r="CU145" s="234"/>
      <c r="CV145" s="198"/>
      <c r="CW145" s="157"/>
      <c r="CX145" s="234"/>
      <c r="CY145" s="436"/>
      <c r="CZ145" s="157"/>
      <c r="DA145" s="234"/>
      <c r="DB145" s="436"/>
      <c r="DC145" s="157"/>
      <c r="DD145" s="234"/>
      <c r="DE145" s="436"/>
      <c r="DF145" s="501"/>
      <c r="DG145" s="234"/>
      <c r="DH145" s="436"/>
      <c r="DI145" s="501"/>
      <c r="DJ145" s="234"/>
      <c r="DK145" s="436"/>
      <c r="DL145" s="501"/>
      <c r="DM145" s="234"/>
      <c r="DN145" s="436"/>
      <c r="DO145" s="501"/>
      <c r="DP145" s="425"/>
      <c r="DQ145" s="580"/>
      <c r="DR145" s="501"/>
      <c r="DS145" s="425"/>
      <c r="DT145" s="580"/>
      <c r="DU145" s="501"/>
      <c r="DV145" s="425"/>
      <c r="DW145" s="580"/>
      <c r="DX145" s="511"/>
      <c r="DY145" s="580"/>
      <c r="DZ145" s="580"/>
      <c r="EA145" s="511"/>
      <c r="EB145" s="580"/>
      <c r="EC145" s="580"/>
      <c r="ED145" s="511"/>
      <c r="EE145" s="580"/>
      <c r="EF145" s="580"/>
      <c r="EG145" s="157"/>
      <c r="EH145" s="234"/>
      <c r="EI145" s="436"/>
      <c r="EJ145" s="157"/>
      <c r="EK145" s="234"/>
      <c r="EL145" s="436"/>
      <c r="EM145" s="157"/>
      <c r="EN145" s="234"/>
      <c r="EO145" s="436"/>
      <c r="EP145" s="501"/>
      <c r="EQ145" s="234"/>
      <c r="ER145" s="436"/>
      <c r="ES145" s="501"/>
      <c r="ET145" s="234"/>
      <c r="EU145" s="436"/>
      <c r="EV145" s="825"/>
      <c r="EW145" s="234"/>
      <c r="EX145" s="436"/>
      <c r="EY145" s="501"/>
      <c r="EZ145" s="425"/>
      <c r="FA145" s="580"/>
      <c r="FB145" s="501"/>
      <c r="FC145" s="425"/>
      <c r="FD145" s="580"/>
      <c r="FE145" s="501"/>
      <c r="FF145" s="425"/>
      <c r="FG145" s="580"/>
      <c r="FH145" s="511"/>
      <c r="FI145" s="580"/>
      <c r="FJ145" s="580"/>
      <c r="FK145" s="511"/>
      <c r="FL145" s="580"/>
      <c r="FM145" s="580"/>
      <c r="FN145" s="511"/>
      <c r="FO145" s="580"/>
      <c r="FP145" s="580"/>
      <c r="FQ145" s="511"/>
      <c r="FR145" s="580"/>
      <c r="FS145" s="580"/>
      <c r="FT145" s="511"/>
      <c r="FU145" s="580"/>
      <c r="FV145" s="580"/>
      <c r="FW145" s="511"/>
      <c r="FX145" s="580"/>
      <c r="FY145" s="580"/>
      <c r="FZ145" s="511"/>
      <c r="GA145" s="580"/>
      <c r="GB145" s="580"/>
      <c r="GC145" s="511"/>
      <c r="GD145" s="580"/>
      <c r="GE145" s="511"/>
      <c r="GF145" s="580"/>
      <c r="GG145" s="511"/>
      <c r="GH145" s="580"/>
      <c r="GI145" s="614"/>
      <c r="GJ145" s="580"/>
      <c r="GK145" s="614"/>
      <c r="GL145" s="580"/>
      <c r="GM145" s="614"/>
      <c r="GN145" s="580"/>
      <c r="GO145" s="614"/>
      <c r="GP145" s="580"/>
      <c r="GQ145" s="1025"/>
      <c r="GR145" s="580"/>
      <c r="GS145" s="580"/>
      <c r="GT145" s="1025"/>
      <c r="GU145" s="580"/>
      <c r="GV145" s="580"/>
      <c r="GW145" s="1025"/>
      <c r="GX145" s="580"/>
      <c r="GY145" s="580"/>
      <c r="GZ145" s="614"/>
      <c r="HA145" s="580"/>
      <c r="HB145" s="580"/>
      <c r="HC145" s="614"/>
      <c r="HD145" s="580"/>
      <c r="HE145" s="580"/>
      <c r="HF145" s="614"/>
      <c r="HG145" s="580"/>
      <c r="HH145" s="580"/>
      <c r="HI145" s="614"/>
      <c r="HJ145" s="580"/>
      <c r="HK145" s="580"/>
      <c r="HL145" s="614"/>
      <c r="HM145" s="580"/>
      <c r="HN145" s="580"/>
      <c r="HO145" s="614"/>
      <c r="HP145" s="580"/>
      <c r="HQ145" s="580"/>
      <c r="HR145" s="614"/>
      <c r="HS145" s="580"/>
      <c r="HT145" s="580"/>
      <c r="HU145" s="614"/>
      <c r="HV145" s="580"/>
      <c r="HW145" s="580"/>
      <c r="HX145" s="580"/>
      <c r="HY145" s="580"/>
      <c r="HZ145" s="580"/>
      <c r="IA145" s="511"/>
    </row>
    <row r="146" spans="2:235" ht="14.25" customHeight="1">
      <c r="B146" s="230" t="s">
        <v>475</v>
      </c>
      <c r="C146" s="230"/>
      <c r="D146" s="267"/>
      <c r="E146" s="234"/>
      <c r="F146" s="240"/>
      <c r="G146" s="234"/>
      <c r="H146" s="157"/>
      <c r="I146" s="233"/>
      <c r="J146" s="157"/>
      <c r="K146" s="233"/>
      <c r="L146" s="157"/>
      <c r="M146" s="233"/>
      <c r="N146" s="157"/>
      <c r="O146" s="233"/>
      <c r="P146" s="157"/>
      <c r="Q146" s="233"/>
      <c r="R146" s="157"/>
      <c r="S146" s="233"/>
      <c r="T146" s="157"/>
      <c r="U146" s="233"/>
      <c r="V146" s="157"/>
      <c r="W146" s="233"/>
      <c r="X146" s="157"/>
      <c r="Y146" s="233"/>
      <c r="Z146" s="157"/>
      <c r="AA146" s="233"/>
      <c r="AB146" s="157"/>
      <c r="AC146" s="233"/>
      <c r="AD146" s="157"/>
      <c r="AE146" s="233"/>
      <c r="AF146" s="157"/>
      <c r="AG146" s="233"/>
      <c r="AH146" s="157"/>
      <c r="AI146" s="233"/>
      <c r="AJ146" s="157"/>
      <c r="AK146" s="233"/>
      <c r="AL146" s="157"/>
      <c r="AM146" s="233"/>
      <c r="AN146" s="157"/>
      <c r="AO146" s="233"/>
      <c r="AP146" s="157"/>
      <c r="AQ146" s="233"/>
      <c r="AR146" s="157"/>
      <c r="AS146" s="233"/>
      <c r="AT146" s="157"/>
      <c r="AU146" s="233"/>
      <c r="AV146" s="157"/>
      <c r="AW146" s="233"/>
      <c r="AX146" s="157"/>
      <c r="AY146" s="233"/>
      <c r="AZ146" s="157"/>
      <c r="BA146" s="233"/>
      <c r="BB146" s="157"/>
      <c r="BC146" s="233"/>
      <c r="BD146" s="157"/>
      <c r="BE146" s="233"/>
      <c r="BF146" s="157"/>
      <c r="BG146" s="234"/>
      <c r="BH146" s="157"/>
      <c r="BI146" s="234"/>
      <c r="BJ146" s="157"/>
      <c r="BK146" s="234"/>
      <c r="BL146" s="157"/>
      <c r="BM146" s="234"/>
      <c r="BN146" s="157"/>
      <c r="BO146" s="234"/>
      <c r="BP146" s="157"/>
      <c r="BQ146" s="234"/>
      <c r="BR146" s="157"/>
      <c r="BS146" s="234"/>
      <c r="BT146" s="157"/>
      <c r="BU146" s="234"/>
      <c r="BV146" s="157"/>
      <c r="BW146" s="234"/>
      <c r="BX146" s="157"/>
      <c r="BY146" s="234"/>
      <c r="BZ146" s="157"/>
      <c r="CA146" s="234"/>
      <c r="CB146" s="157"/>
      <c r="CC146" s="234"/>
      <c r="CD146" s="157"/>
      <c r="CE146" s="234"/>
      <c r="CF146" s="157"/>
      <c r="CG146" s="234"/>
      <c r="CH146" s="157"/>
      <c r="CI146" s="234"/>
      <c r="CJ146" s="234"/>
      <c r="CK146" s="157"/>
      <c r="CL146" s="234"/>
      <c r="CM146" s="234"/>
      <c r="CN146" s="157"/>
      <c r="CO146" s="234"/>
      <c r="CP146" s="234"/>
      <c r="CQ146" s="157"/>
      <c r="CR146" s="234"/>
      <c r="CS146" s="234"/>
      <c r="CT146" s="157"/>
      <c r="CU146" s="234"/>
      <c r="CV146" s="198"/>
      <c r="CW146" s="157"/>
      <c r="CX146" s="234"/>
      <c r="CY146" s="436"/>
      <c r="CZ146" s="157"/>
      <c r="DA146" s="234"/>
      <c r="DB146" s="436"/>
      <c r="DC146" s="157"/>
      <c r="DD146" s="234"/>
      <c r="DE146" s="436"/>
      <c r="DF146" s="501"/>
      <c r="DG146" s="234"/>
      <c r="DH146" s="436"/>
      <c r="DI146" s="501"/>
      <c r="DJ146" s="234"/>
      <c r="DK146" s="436"/>
      <c r="DL146" s="501"/>
      <c r="DM146" s="234"/>
      <c r="DN146" s="436"/>
      <c r="DO146" s="501"/>
      <c r="DP146" s="425"/>
      <c r="DQ146" s="580"/>
      <c r="DR146" s="501"/>
      <c r="DS146" s="425"/>
      <c r="DT146" s="580"/>
      <c r="DU146" s="501"/>
      <c r="DV146" s="425"/>
      <c r="DW146" s="580"/>
      <c r="DX146" s="511"/>
      <c r="DY146" s="580"/>
      <c r="DZ146" s="580"/>
      <c r="EA146" s="511"/>
      <c r="EB146" s="580"/>
      <c r="EC146" s="580"/>
      <c r="ED146" s="511"/>
      <c r="EE146" s="580"/>
      <c r="EF146" s="580"/>
      <c r="EG146" s="157"/>
      <c r="EH146" s="234"/>
      <c r="EI146" s="436"/>
      <c r="EJ146" s="157"/>
      <c r="EK146" s="234"/>
      <c r="EL146" s="436"/>
      <c r="EM146" s="157"/>
      <c r="EN146" s="234"/>
      <c r="EO146" s="436"/>
      <c r="EP146" s="501"/>
      <c r="EQ146" s="234"/>
      <c r="ER146" s="436"/>
      <c r="ES146" s="501"/>
      <c r="ET146" s="234"/>
      <c r="EU146" s="436"/>
      <c r="EV146" s="825"/>
      <c r="EW146" s="234"/>
      <c r="EX146" s="436"/>
      <c r="EY146" s="501"/>
      <c r="EZ146" s="425"/>
      <c r="FA146" s="580"/>
      <c r="FB146" s="501"/>
      <c r="FC146" s="425"/>
      <c r="FD146" s="580"/>
      <c r="FE146" s="501"/>
      <c r="FF146" s="425"/>
      <c r="FG146" s="580"/>
      <c r="FH146" s="511"/>
      <c r="FI146" s="580"/>
      <c r="FJ146" s="580"/>
      <c r="FK146" s="511"/>
      <c r="FL146" s="580"/>
      <c r="FM146" s="580"/>
      <c r="FN146" s="511"/>
      <c r="FO146" s="580"/>
      <c r="FP146" s="580"/>
      <c r="FQ146" s="511"/>
      <c r="FR146" s="580"/>
      <c r="FS146" s="580"/>
      <c r="FT146" s="511"/>
      <c r="FU146" s="580"/>
      <c r="FV146" s="580"/>
      <c r="FW146" s="511"/>
      <c r="FX146" s="580"/>
      <c r="FY146" s="580"/>
      <c r="FZ146" s="511"/>
      <c r="GA146" s="580"/>
      <c r="GB146" s="580"/>
      <c r="GC146" s="511"/>
      <c r="GD146" s="580"/>
      <c r="GE146" s="511"/>
      <c r="GF146" s="580"/>
      <c r="GG146" s="511"/>
      <c r="GH146" s="580"/>
      <c r="GI146" s="511"/>
      <c r="GJ146" s="580"/>
      <c r="GK146" s="511"/>
      <c r="GL146" s="580"/>
      <c r="GM146" s="511"/>
      <c r="GN146" s="580"/>
      <c r="GO146" s="511"/>
      <c r="GP146" s="580"/>
      <c r="GQ146" s="545"/>
      <c r="GR146" s="580"/>
      <c r="GS146" s="580"/>
      <c r="GT146" s="545"/>
      <c r="GU146" s="580"/>
      <c r="GV146" s="580"/>
      <c r="GW146" s="545"/>
      <c r="GX146" s="580"/>
      <c r="GY146" s="580"/>
      <c r="GZ146" s="511"/>
      <c r="HA146" s="580"/>
      <c r="HB146" s="580"/>
      <c r="HC146" s="511"/>
      <c r="HD146" s="580"/>
      <c r="HE146" s="580"/>
      <c r="HF146" s="511"/>
      <c r="HG146" s="580"/>
      <c r="HH146" s="580"/>
      <c r="HI146" s="511"/>
      <c r="HJ146" s="580"/>
      <c r="HK146" s="580"/>
      <c r="HL146" s="511"/>
      <c r="HM146" s="580"/>
      <c r="HN146" s="580"/>
      <c r="HO146" s="511"/>
      <c r="HP146" s="580"/>
      <c r="HQ146" s="580"/>
      <c r="HR146" s="511"/>
      <c r="HS146" s="580"/>
      <c r="HT146" s="580"/>
      <c r="HU146" s="511"/>
      <c r="HV146" s="580"/>
      <c r="HW146" s="580"/>
      <c r="HX146" s="580"/>
      <c r="HY146" s="580"/>
      <c r="HZ146" s="580"/>
      <c r="IA146" s="511"/>
    </row>
    <row r="147" spans="2:235" ht="14.25" customHeight="1">
      <c r="B147" s="242" t="s">
        <v>450</v>
      </c>
      <c r="C147" s="230"/>
      <c r="D147" s="303"/>
      <c r="E147" s="234"/>
      <c r="F147" s="303"/>
      <c r="G147" s="283"/>
      <c r="H147" s="303"/>
      <c r="I147" s="233"/>
      <c r="J147" s="303"/>
      <c r="K147" s="233"/>
      <c r="L147" s="303"/>
      <c r="M147" s="233"/>
      <c r="N147" s="303"/>
      <c r="O147" s="233"/>
      <c r="P147" s="303"/>
      <c r="Q147" s="233"/>
      <c r="R147" s="303"/>
      <c r="S147" s="233"/>
      <c r="T147" s="303"/>
      <c r="U147" s="233"/>
      <c r="V147" s="303"/>
      <c r="W147" s="233"/>
      <c r="X147" s="303"/>
      <c r="Y147" s="233"/>
      <c r="Z147" s="303"/>
      <c r="AA147" s="233"/>
      <c r="AB147" s="303"/>
      <c r="AC147" s="233"/>
      <c r="AD147" s="303"/>
      <c r="AE147" s="233"/>
      <c r="AF147" s="303"/>
      <c r="AG147" s="233"/>
      <c r="AH147" s="303"/>
      <c r="AI147" s="233"/>
      <c r="AJ147" s="303"/>
      <c r="AK147" s="233"/>
      <c r="AL147" s="303"/>
      <c r="AM147" s="233"/>
      <c r="AN147" s="303"/>
      <c r="AO147" s="233"/>
      <c r="AP147" s="303"/>
      <c r="AQ147" s="233"/>
      <c r="AR147" s="303"/>
      <c r="AS147" s="233"/>
      <c r="AT147" s="303"/>
      <c r="AU147" s="233"/>
      <c r="AV147" s="303"/>
      <c r="AW147" s="233"/>
      <c r="AX147" s="303"/>
      <c r="AY147" s="233"/>
      <c r="AZ147" s="303"/>
      <c r="BA147" s="233"/>
      <c r="BB147" s="303" t="e">
        <f>+BB114/BB129</f>
        <v>#REF!</v>
      </c>
      <c r="BC147" s="233"/>
      <c r="BD147" s="303" t="e">
        <f>+BD114/BD129</f>
        <v>#REF!</v>
      </c>
      <c r="BE147" s="233"/>
      <c r="BF147" s="304" t="e">
        <f>+BF114/BF129</f>
        <v>#REF!</v>
      </c>
      <c r="BG147" s="234"/>
      <c r="BH147" s="304">
        <f>+BH114/BH129</f>
        <v>52629</v>
      </c>
      <c r="BI147" s="234"/>
      <c r="BJ147" s="304">
        <f>+BJ114/BJ129</f>
        <v>766112.5</v>
      </c>
      <c r="BK147" s="234"/>
      <c r="BL147" s="304">
        <f>+BL114/BL129</f>
        <v>159166.72999999998</v>
      </c>
      <c r="BM147" s="234"/>
      <c r="BN147" s="304">
        <f>+BN114/BN129</f>
        <v>119608.84875</v>
      </c>
      <c r="BO147" s="234"/>
      <c r="BP147" s="304">
        <f>+BP114/BP129</f>
        <v>212790.99272727271</v>
      </c>
      <c r="BQ147" s="234"/>
      <c r="BR147" s="304">
        <f>+BR114/BR129</f>
        <v>59094.998571428572</v>
      </c>
      <c r="BS147" s="234"/>
      <c r="BT147" s="304">
        <f>+BT114/BT129</f>
        <v>152304.53</v>
      </c>
      <c r="BU147" s="234"/>
      <c r="BV147" s="304">
        <f>+BV114/BV129</f>
        <v>55336.833333333336</v>
      </c>
      <c r="BW147" s="234"/>
      <c r="BX147" s="304">
        <f>+BX114/BX129</f>
        <v>239841.875</v>
      </c>
      <c r="BY147" s="234"/>
      <c r="BZ147" s="304">
        <f>+BZ114/BZ129</f>
        <v>181533.1575</v>
      </c>
      <c r="CA147" s="234"/>
      <c r="CB147" s="304">
        <f>+CB114/CB129</f>
        <v>262849.77500000002</v>
      </c>
      <c r="CC147" s="234"/>
      <c r="CD147" s="304"/>
      <c r="CE147" s="234"/>
      <c r="CF147" s="304">
        <f>+CF114/CF129</f>
        <v>210000</v>
      </c>
      <c r="CG147" s="234"/>
      <c r="CH147" s="304">
        <f>+CH114/CH129</f>
        <v>310000</v>
      </c>
      <c r="CI147" s="234"/>
      <c r="CJ147" s="234"/>
      <c r="CK147" s="304">
        <f>+CK114/CK129</f>
        <v>430000</v>
      </c>
      <c r="CL147" s="234"/>
      <c r="CM147" s="234"/>
      <c r="CN147" s="304">
        <f>+CN114/CN129</f>
        <v>174928.83333333334</v>
      </c>
      <c r="CO147" s="234"/>
      <c r="CP147" s="234"/>
      <c r="CQ147" s="304">
        <f>+CQ114/CQ129</f>
        <v>51375</v>
      </c>
      <c r="CR147" s="234"/>
      <c r="CS147" s="234"/>
      <c r="CT147" s="304">
        <f>+CT114/CT129</f>
        <v>148823.80571428573</v>
      </c>
      <c r="CU147" s="234"/>
      <c r="CV147" s="198"/>
      <c r="CW147" s="304">
        <f>+CW114/CW129</f>
        <v>172500</v>
      </c>
      <c r="CX147" s="234"/>
      <c r="CY147" s="436"/>
      <c r="CZ147" s="304">
        <f>+CZ114/CZ129</f>
        <v>75000</v>
      </c>
      <c r="DA147" s="234"/>
      <c r="DB147" s="436"/>
      <c r="DC147" s="304">
        <f>+DC114/DC129</f>
        <v>42000</v>
      </c>
      <c r="DD147" s="234"/>
      <c r="DE147" s="436"/>
      <c r="DF147" s="303">
        <f>+DF114/DF129</f>
        <v>505000</v>
      </c>
      <c r="DG147" s="234"/>
      <c r="DH147" s="436"/>
      <c r="DI147" s="303">
        <f>+DI114/DI129</f>
        <v>245714.28571428571</v>
      </c>
      <c r="DJ147" s="234"/>
      <c r="DK147" s="436"/>
      <c r="DL147" s="303">
        <f>+DL114/DL129</f>
        <v>473636.36363636365</v>
      </c>
      <c r="DM147" s="234"/>
      <c r="DN147" s="436"/>
      <c r="DO147" s="303">
        <f>+DO114/DO129</f>
        <v>79641.965555555566</v>
      </c>
      <c r="DP147" s="425"/>
      <c r="DQ147" s="580"/>
      <c r="DR147" s="303">
        <v>78888.888888888891</v>
      </c>
      <c r="DS147" s="425"/>
      <c r="DT147" s="580"/>
      <c r="DU147" s="303">
        <v>31250</v>
      </c>
      <c r="DV147" s="425"/>
      <c r="DW147" s="580"/>
      <c r="DX147" s="303">
        <v>40000</v>
      </c>
      <c r="DY147" s="580"/>
      <c r="DZ147" s="580"/>
      <c r="EA147" s="303">
        <v>153333.33333333334</v>
      </c>
      <c r="EB147" s="580"/>
      <c r="EC147" s="580"/>
      <c r="ED147" s="303">
        <f>ED114/ED129</f>
        <v>28571.428571428572</v>
      </c>
      <c r="EE147" s="580"/>
      <c r="EF147" s="580"/>
      <c r="EG147" s="304">
        <v>0</v>
      </c>
      <c r="EH147" s="234"/>
      <c r="EI147" s="436"/>
      <c r="EJ147" s="304">
        <f>+EJ114/EJ129</f>
        <v>28816.674999999999</v>
      </c>
      <c r="EK147" s="234"/>
      <c r="EL147" s="436"/>
      <c r="EM147" s="304">
        <v>0</v>
      </c>
      <c r="EN147" s="234"/>
      <c r="EO147" s="436"/>
      <c r="EP147" s="303">
        <f>+EP114/EP129</f>
        <v>160000</v>
      </c>
      <c r="EQ147" s="234"/>
      <c r="ER147" s="436"/>
      <c r="ES147" s="303">
        <v>0</v>
      </c>
      <c r="ET147" s="234"/>
      <c r="EU147" s="436"/>
      <c r="EV147" s="819">
        <v>0</v>
      </c>
      <c r="EW147" s="234"/>
      <c r="EX147" s="436"/>
      <c r="EY147" s="303">
        <v>0</v>
      </c>
      <c r="EZ147" s="425"/>
      <c r="FA147" s="580"/>
      <c r="FB147" s="303">
        <v>0</v>
      </c>
      <c r="FC147" s="425"/>
      <c r="FD147" s="580"/>
      <c r="FE147" s="303">
        <v>0</v>
      </c>
      <c r="FF147" s="425"/>
      <c r="FG147" s="580"/>
      <c r="FH147" s="303">
        <v>0</v>
      </c>
      <c r="FI147" s="580"/>
      <c r="FJ147" s="580"/>
      <c r="FK147" s="303">
        <v>0</v>
      </c>
      <c r="FL147" s="580"/>
      <c r="FM147" s="580"/>
      <c r="FN147" s="303">
        <v>0</v>
      </c>
      <c r="FO147" s="580"/>
      <c r="FP147" s="580"/>
      <c r="FQ147" s="303">
        <v>0</v>
      </c>
      <c r="FR147" s="580"/>
      <c r="FS147" s="580"/>
      <c r="FT147" s="303">
        <v>0</v>
      </c>
      <c r="FU147" s="580"/>
      <c r="FV147" s="580"/>
      <c r="FW147" s="303">
        <v>0</v>
      </c>
      <c r="FX147" s="580"/>
      <c r="FY147" s="580"/>
      <c r="FZ147" s="303">
        <v>0</v>
      </c>
      <c r="GA147" s="580"/>
      <c r="GB147" s="580"/>
      <c r="GC147" s="303">
        <v>0</v>
      </c>
      <c r="GD147" s="580"/>
      <c r="GE147" s="303">
        <v>0</v>
      </c>
      <c r="GF147" s="580"/>
      <c r="GG147" s="303">
        <v>0</v>
      </c>
      <c r="GH147" s="580"/>
      <c r="GI147" s="303">
        <v>0</v>
      </c>
      <c r="GJ147" s="580"/>
      <c r="GK147" s="303">
        <v>0</v>
      </c>
      <c r="GL147" s="580"/>
      <c r="GM147" s="303">
        <v>0</v>
      </c>
      <c r="GN147" s="580"/>
      <c r="GO147" s="303">
        <v>0</v>
      </c>
      <c r="GP147" s="580"/>
      <c r="GQ147" s="819">
        <v>0</v>
      </c>
      <c r="GR147" s="580"/>
      <c r="GS147" s="580"/>
      <c r="GT147" s="819">
        <v>0</v>
      </c>
      <c r="GU147" s="580"/>
      <c r="GV147" s="580"/>
      <c r="GW147" s="819">
        <v>0</v>
      </c>
      <c r="GX147" s="580"/>
      <c r="GY147" s="580"/>
      <c r="GZ147" s="303">
        <v>0</v>
      </c>
      <c r="HA147" s="580"/>
      <c r="HB147" s="580"/>
      <c r="HC147" s="303">
        <v>0</v>
      </c>
      <c r="HD147" s="580"/>
      <c r="HE147" s="580"/>
      <c r="HF147" s="303">
        <f>HF114/HF129</f>
        <v>45000</v>
      </c>
      <c r="HG147" s="580"/>
      <c r="HH147" s="580"/>
      <c r="HI147" s="303">
        <v>0</v>
      </c>
      <c r="HJ147" s="580"/>
      <c r="HK147" s="580"/>
      <c r="HL147" s="303">
        <v>0</v>
      </c>
      <c r="HM147" s="580"/>
      <c r="HN147" s="580"/>
      <c r="HO147" s="303">
        <v>0</v>
      </c>
      <c r="HP147" s="580"/>
      <c r="HQ147" s="580"/>
      <c r="HR147" s="303">
        <v>0</v>
      </c>
      <c r="HS147" s="580"/>
      <c r="HT147" s="580"/>
      <c r="HU147" s="303">
        <v>0</v>
      </c>
      <c r="HV147" s="580"/>
      <c r="HW147" s="580"/>
      <c r="HX147" s="580"/>
      <c r="HY147" s="580"/>
      <c r="HZ147" s="580"/>
      <c r="IA147" s="303">
        <f>IA114/IA129</f>
        <v>28571.428571428572</v>
      </c>
    </row>
    <row r="148" spans="2:235" ht="14.25" hidden="1" customHeight="1">
      <c r="B148" s="242" t="s">
        <v>451</v>
      </c>
      <c r="C148" s="230"/>
      <c r="D148" s="305"/>
      <c r="E148" s="234"/>
      <c r="F148" s="305"/>
      <c r="G148" s="283"/>
      <c r="H148" s="305"/>
      <c r="I148" s="233"/>
      <c r="J148" s="305"/>
      <c r="K148" s="233"/>
      <c r="L148" s="305"/>
      <c r="M148" s="233"/>
      <c r="N148" s="305"/>
      <c r="O148" s="233"/>
      <c r="P148" s="305"/>
      <c r="Q148" s="233"/>
      <c r="R148" s="305"/>
      <c r="S148" s="233"/>
      <c r="T148" s="305"/>
      <c r="U148" s="233"/>
      <c r="V148" s="305"/>
      <c r="W148" s="233"/>
      <c r="X148" s="305"/>
      <c r="Y148" s="233"/>
      <c r="Z148" s="305"/>
      <c r="AA148" s="233"/>
      <c r="AB148" s="305"/>
      <c r="AC148" s="233"/>
      <c r="AD148" s="305"/>
      <c r="AE148" s="233"/>
      <c r="AF148" s="305"/>
      <c r="AG148" s="233"/>
      <c r="AH148" s="305"/>
      <c r="AI148" s="233"/>
      <c r="AJ148" s="305"/>
      <c r="AK148" s="233"/>
      <c r="AL148" s="305"/>
      <c r="AM148" s="233"/>
      <c r="AN148" s="305"/>
      <c r="AO148" s="233"/>
      <c r="AP148" s="305"/>
      <c r="AQ148" s="233"/>
      <c r="AR148" s="305"/>
      <c r="AS148" s="233"/>
      <c r="AT148" s="305"/>
      <c r="AU148" s="233"/>
      <c r="AV148" s="305"/>
      <c r="AW148" s="233"/>
      <c r="AX148" s="305"/>
      <c r="AY148" s="233"/>
      <c r="AZ148" s="305"/>
      <c r="BA148" s="233"/>
      <c r="BB148" s="305"/>
      <c r="BC148" s="233"/>
      <c r="BD148" s="305"/>
      <c r="BE148" s="233"/>
      <c r="BF148" s="306"/>
      <c r="BG148" s="234"/>
      <c r="BH148" s="306"/>
      <c r="BI148" s="234"/>
      <c r="BJ148" s="306"/>
      <c r="BK148" s="234"/>
      <c r="BL148" s="306"/>
      <c r="BM148" s="234"/>
      <c r="BN148" s="306"/>
      <c r="BO148" s="234"/>
      <c r="BP148" s="306"/>
      <c r="BQ148" s="234"/>
      <c r="BR148" s="306"/>
      <c r="BS148" s="234"/>
      <c r="BT148" s="306"/>
      <c r="BU148" s="234"/>
      <c r="BV148" s="306"/>
      <c r="BW148" s="234"/>
      <c r="BX148" s="306"/>
      <c r="BY148" s="234"/>
      <c r="BZ148" s="306"/>
      <c r="CA148" s="234"/>
      <c r="CB148" s="306"/>
      <c r="CC148" s="234"/>
      <c r="CD148" s="306"/>
      <c r="CE148" s="234"/>
      <c r="CF148" s="306"/>
      <c r="CG148" s="234"/>
      <c r="CH148" s="306"/>
      <c r="CI148" s="234"/>
      <c r="CJ148" s="234"/>
      <c r="CK148" s="306"/>
      <c r="CL148" s="234"/>
      <c r="CM148" s="234"/>
      <c r="CN148" s="306"/>
      <c r="CO148" s="234"/>
      <c r="CP148" s="234"/>
      <c r="CQ148" s="306"/>
      <c r="CR148" s="234"/>
      <c r="CS148" s="234"/>
      <c r="CT148" s="306"/>
      <c r="CU148" s="234"/>
      <c r="CV148" s="198"/>
      <c r="CW148" s="306"/>
      <c r="CX148" s="234"/>
      <c r="CY148" s="436"/>
      <c r="CZ148" s="306"/>
      <c r="DA148" s="234"/>
      <c r="DB148" s="436"/>
      <c r="DC148" s="306"/>
      <c r="DD148" s="234"/>
      <c r="DE148" s="436"/>
      <c r="DF148" s="426"/>
      <c r="DG148" s="234"/>
      <c r="DH148" s="436"/>
      <c r="DI148" s="426"/>
      <c r="DJ148" s="234"/>
      <c r="DK148" s="436"/>
      <c r="DL148" s="426"/>
      <c r="DM148" s="234"/>
      <c r="DN148" s="436"/>
      <c r="DO148" s="426"/>
      <c r="DP148" s="425"/>
      <c r="DQ148" s="580"/>
      <c r="DR148" s="426"/>
      <c r="DS148" s="425"/>
      <c r="DT148" s="580"/>
      <c r="DU148" s="426"/>
      <c r="DV148" s="425"/>
      <c r="DW148" s="580"/>
      <c r="DX148" s="426"/>
      <c r="DY148" s="580"/>
      <c r="DZ148" s="580"/>
      <c r="EA148" s="426"/>
      <c r="EB148" s="580"/>
      <c r="EC148" s="580"/>
      <c r="ED148" s="426"/>
      <c r="EE148" s="580"/>
      <c r="EF148" s="580"/>
      <c r="EG148" s="306"/>
      <c r="EH148" s="234"/>
      <c r="EI148" s="436"/>
      <c r="EJ148" s="306"/>
      <c r="EK148" s="234"/>
      <c r="EL148" s="436"/>
      <c r="EM148" s="306"/>
      <c r="EN148" s="234"/>
      <c r="EO148" s="436"/>
      <c r="EP148" s="426"/>
      <c r="EQ148" s="234"/>
      <c r="ER148" s="436"/>
      <c r="ES148" s="426"/>
      <c r="ET148" s="234"/>
      <c r="EU148" s="436"/>
      <c r="EV148" s="820"/>
      <c r="EW148" s="234"/>
      <c r="EX148" s="436"/>
      <c r="EY148" s="426"/>
      <c r="EZ148" s="425"/>
      <c r="FA148" s="580"/>
      <c r="FB148" s="426" t="e">
        <f t="shared" ref="FB148:FB157" si="223">FB115/FB130</f>
        <v>#DIV/0!</v>
      </c>
      <c r="FC148" s="425"/>
      <c r="FD148" s="580"/>
      <c r="FE148" s="426"/>
      <c r="FF148" s="425"/>
      <c r="FG148" s="580"/>
      <c r="FH148" s="426"/>
      <c r="FI148" s="580"/>
      <c r="FJ148" s="580"/>
      <c r="FK148" s="426"/>
      <c r="FL148" s="580"/>
      <c r="FM148" s="580"/>
      <c r="FN148" s="426"/>
      <c r="FO148" s="580"/>
      <c r="FP148" s="580"/>
      <c r="FQ148" s="426"/>
      <c r="FR148" s="580"/>
      <c r="FS148" s="580"/>
      <c r="FT148" s="426"/>
      <c r="FU148" s="580"/>
      <c r="FV148" s="580"/>
      <c r="FW148" s="426"/>
      <c r="FX148" s="580"/>
      <c r="FY148" s="580"/>
      <c r="FZ148" s="426"/>
      <c r="GA148" s="580"/>
      <c r="GB148" s="580"/>
      <c r="GC148" s="426"/>
      <c r="GD148" s="580"/>
      <c r="GE148" s="426"/>
      <c r="GF148" s="580"/>
      <c r="GG148" s="426"/>
      <c r="GH148" s="580"/>
      <c r="GI148" s="426"/>
      <c r="GJ148" s="580"/>
      <c r="GK148" s="426"/>
      <c r="GL148" s="580"/>
      <c r="GM148" s="426"/>
      <c r="GN148" s="580"/>
      <c r="GO148" s="426"/>
      <c r="GP148" s="580"/>
      <c r="GQ148" s="820"/>
      <c r="GR148" s="580"/>
      <c r="GS148" s="580"/>
      <c r="GT148" s="820"/>
      <c r="GU148" s="580"/>
      <c r="GV148" s="580"/>
      <c r="GW148" s="820"/>
      <c r="GX148" s="580"/>
      <c r="GY148" s="580"/>
      <c r="GZ148" s="426"/>
      <c r="HA148" s="580"/>
      <c r="HB148" s="580"/>
      <c r="HC148" s="426"/>
      <c r="HD148" s="580"/>
      <c r="HE148" s="580"/>
      <c r="HF148" s="426"/>
      <c r="HG148" s="580"/>
      <c r="HH148" s="580"/>
      <c r="HI148" s="426"/>
      <c r="HJ148" s="580"/>
      <c r="HK148" s="580"/>
      <c r="HL148" s="426"/>
      <c r="HM148" s="580"/>
      <c r="HN148" s="580"/>
      <c r="HO148" s="426"/>
      <c r="HP148" s="580"/>
      <c r="HQ148" s="580"/>
      <c r="HR148" s="426"/>
      <c r="HS148" s="580"/>
      <c r="HT148" s="580"/>
      <c r="HU148" s="426"/>
      <c r="HV148" s="580"/>
      <c r="HW148" s="580"/>
      <c r="HX148" s="580"/>
      <c r="HY148" s="580"/>
      <c r="HZ148" s="580"/>
      <c r="IA148" s="426"/>
    </row>
    <row r="149" spans="2:235" ht="14.25" hidden="1" customHeight="1">
      <c r="B149" s="242" t="s">
        <v>452</v>
      </c>
      <c r="C149" s="230"/>
      <c r="D149" s="305"/>
      <c r="E149" s="234"/>
      <c r="F149" s="305"/>
      <c r="G149" s="283"/>
      <c r="H149" s="305"/>
      <c r="I149" s="233"/>
      <c r="J149" s="305"/>
      <c r="K149" s="233"/>
      <c r="L149" s="305"/>
      <c r="M149" s="233"/>
      <c r="N149" s="305"/>
      <c r="O149" s="233"/>
      <c r="P149" s="305"/>
      <c r="Q149" s="233"/>
      <c r="R149" s="305"/>
      <c r="S149" s="233"/>
      <c r="T149" s="305"/>
      <c r="U149" s="233"/>
      <c r="V149" s="305"/>
      <c r="W149" s="233"/>
      <c r="X149" s="305"/>
      <c r="Y149" s="233"/>
      <c r="Z149" s="305"/>
      <c r="AA149" s="233"/>
      <c r="AB149" s="305"/>
      <c r="AC149" s="233"/>
      <c r="AD149" s="305"/>
      <c r="AE149" s="233"/>
      <c r="AF149" s="305"/>
      <c r="AG149" s="233"/>
      <c r="AH149" s="305"/>
      <c r="AI149" s="233"/>
      <c r="AJ149" s="305"/>
      <c r="AK149" s="233"/>
      <c r="AL149" s="305"/>
      <c r="AM149" s="233"/>
      <c r="AN149" s="305"/>
      <c r="AO149" s="233"/>
      <c r="AP149" s="305"/>
      <c r="AQ149" s="233"/>
      <c r="AR149" s="305"/>
      <c r="AS149" s="233"/>
      <c r="AT149" s="305"/>
      <c r="AU149" s="233"/>
      <c r="AV149" s="305"/>
      <c r="AW149" s="233"/>
      <c r="AX149" s="305"/>
      <c r="AY149" s="233"/>
      <c r="AZ149" s="305"/>
      <c r="BA149" s="233"/>
      <c r="BB149" s="305"/>
      <c r="BC149" s="233"/>
      <c r="BD149" s="305"/>
      <c r="BE149" s="233"/>
      <c r="BF149" s="306"/>
      <c r="BG149" s="234"/>
      <c r="BH149" s="306"/>
      <c r="BI149" s="234"/>
      <c r="BJ149" s="306"/>
      <c r="BK149" s="234"/>
      <c r="BL149" s="306"/>
      <c r="BM149" s="234"/>
      <c r="BN149" s="306"/>
      <c r="BO149" s="234"/>
      <c r="BP149" s="306"/>
      <c r="BQ149" s="234"/>
      <c r="BR149" s="306"/>
      <c r="BS149" s="234"/>
      <c r="BT149" s="306"/>
      <c r="BU149" s="234"/>
      <c r="BV149" s="306"/>
      <c r="BW149" s="234"/>
      <c r="BX149" s="306"/>
      <c r="BY149" s="234"/>
      <c r="BZ149" s="306"/>
      <c r="CA149" s="234"/>
      <c r="CB149" s="306"/>
      <c r="CC149" s="234"/>
      <c r="CD149" s="306"/>
      <c r="CE149" s="234"/>
      <c r="CF149" s="306"/>
      <c r="CG149" s="234"/>
      <c r="CH149" s="306"/>
      <c r="CI149" s="234"/>
      <c r="CJ149" s="234"/>
      <c r="CK149" s="306"/>
      <c r="CL149" s="234"/>
      <c r="CM149" s="234"/>
      <c r="CN149" s="306"/>
      <c r="CO149" s="234"/>
      <c r="CP149" s="234"/>
      <c r="CQ149" s="306"/>
      <c r="CR149" s="234"/>
      <c r="CS149" s="234"/>
      <c r="CT149" s="306"/>
      <c r="CU149" s="234"/>
      <c r="CV149" s="198"/>
      <c r="CW149" s="306"/>
      <c r="CX149" s="234"/>
      <c r="CY149" s="436"/>
      <c r="CZ149" s="306"/>
      <c r="DA149" s="234"/>
      <c r="DB149" s="436"/>
      <c r="DC149" s="306"/>
      <c r="DD149" s="234"/>
      <c r="DE149" s="436"/>
      <c r="DF149" s="426"/>
      <c r="DG149" s="234"/>
      <c r="DH149" s="436"/>
      <c r="DI149" s="426"/>
      <c r="DJ149" s="234"/>
      <c r="DK149" s="436"/>
      <c r="DL149" s="426"/>
      <c r="DM149" s="234"/>
      <c r="DN149" s="436"/>
      <c r="DO149" s="426"/>
      <c r="DP149" s="425"/>
      <c r="DQ149" s="580"/>
      <c r="DR149" s="426"/>
      <c r="DS149" s="425"/>
      <c r="DT149" s="580"/>
      <c r="DU149" s="426"/>
      <c r="DV149" s="425"/>
      <c r="DW149" s="580"/>
      <c r="DX149" s="426"/>
      <c r="DY149" s="580"/>
      <c r="DZ149" s="580"/>
      <c r="EA149" s="426"/>
      <c r="EB149" s="580"/>
      <c r="EC149" s="580"/>
      <c r="ED149" s="426"/>
      <c r="EE149" s="580"/>
      <c r="EF149" s="580"/>
      <c r="EG149" s="306"/>
      <c r="EH149" s="234"/>
      <c r="EI149" s="436"/>
      <c r="EJ149" s="306"/>
      <c r="EK149" s="234"/>
      <c r="EL149" s="436"/>
      <c r="EM149" s="306"/>
      <c r="EN149" s="234"/>
      <c r="EO149" s="436"/>
      <c r="EP149" s="426"/>
      <c r="EQ149" s="234"/>
      <c r="ER149" s="436"/>
      <c r="ES149" s="426"/>
      <c r="ET149" s="234"/>
      <c r="EU149" s="436"/>
      <c r="EV149" s="820"/>
      <c r="EW149" s="234"/>
      <c r="EX149" s="436"/>
      <c r="EY149" s="426"/>
      <c r="EZ149" s="425"/>
      <c r="FA149" s="580"/>
      <c r="FB149" s="426" t="e">
        <f t="shared" si="223"/>
        <v>#DIV/0!</v>
      </c>
      <c r="FC149" s="425"/>
      <c r="FD149" s="580"/>
      <c r="FE149" s="426"/>
      <c r="FF149" s="425"/>
      <c r="FG149" s="580"/>
      <c r="FH149" s="426"/>
      <c r="FI149" s="580"/>
      <c r="FJ149" s="580"/>
      <c r="FK149" s="426"/>
      <c r="FL149" s="580"/>
      <c r="FM149" s="580"/>
      <c r="FN149" s="426"/>
      <c r="FO149" s="580"/>
      <c r="FP149" s="580"/>
      <c r="FQ149" s="426"/>
      <c r="FR149" s="580"/>
      <c r="FS149" s="580"/>
      <c r="FT149" s="426"/>
      <c r="FU149" s="580"/>
      <c r="FV149" s="580"/>
      <c r="FW149" s="426"/>
      <c r="FX149" s="580"/>
      <c r="FY149" s="580"/>
      <c r="FZ149" s="426"/>
      <c r="GA149" s="580"/>
      <c r="GB149" s="580"/>
      <c r="GC149" s="426"/>
      <c r="GD149" s="580"/>
      <c r="GE149" s="426"/>
      <c r="GF149" s="580"/>
      <c r="GG149" s="426"/>
      <c r="GH149" s="580"/>
      <c r="GI149" s="426"/>
      <c r="GJ149" s="580"/>
      <c r="GK149" s="426"/>
      <c r="GL149" s="580"/>
      <c r="GM149" s="426"/>
      <c r="GN149" s="580"/>
      <c r="GO149" s="426"/>
      <c r="GP149" s="580"/>
      <c r="GQ149" s="820"/>
      <c r="GR149" s="580"/>
      <c r="GS149" s="580"/>
      <c r="GT149" s="820"/>
      <c r="GU149" s="580"/>
      <c r="GV149" s="580"/>
      <c r="GW149" s="820"/>
      <c r="GX149" s="580"/>
      <c r="GY149" s="580"/>
      <c r="GZ149" s="426"/>
      <c r="HA149" s="580"/>
      <c r="HB149" s="580"/>
      <c r="HC149" s="426"/>
      <c r="HD149" s="580"/>
      <c r="HE149" s="580"/>
      <c r="HF149" s="426"/>
      <c r="HG149" s="580"/>
      <c r="HH149" s="580"/>
      <c r="HI149" s="426"/>
      <c r="HJ149" s="580"/>
      <c r="HK149" s="580"/>
      <c r="HL149" s="426"/>
      <c r="HM149" s="580"/>
      <c r="HN149" s="580"/>
      <c r="HO149" s="426"/>
      <c r="HP149" s="580"/>
      <c r="HQ149" s="580"/>
      <c r="HR149" s="426"/>
      <c r="HS149" s="580"/>
      <c r="HT149" s="580"/>
      <c r="HU149" s="426"/>
      <c r="HV149" s="580"/>
      <c r="HW149" s="580"/>
      <c r="HX149" s="580"/>
      <c r="HY149" s="580"/>
      <c r="HZ149" s="580"/>
      <c r="IA149" s="426"/>
    </row>
    <row r="150" spans="2:235" ht="14.25" customHeight="1">
      <c r="B150" s="242" t="s">
        <v>444</v>
      </c>
      <c r="C150" s="242"/>
      <c r="D150" s="305">
        <v>108560.60606060606</v>
      </c>
      <c r="E150" s="234"/>
      <c r="F150" s="305">
        <v>102228.11603448277</v>
      </c>
      <c r="G150" s="283"/>
      <c r="H150" s="305">
        <v>138923.89535211268</v>
      </c>
      <c r="I150" s="233"/>
      <c r="J150" s="305">
        <v>128888.88888888889</v>
      </c>
      <c r="K150" s="233"/>
      <c r="L150" s="305">
        <v>107676.05633802817</v>
      </c>
      <c r="M150" s="233"/>
      <c r="N150" s="305">
        <f>+N117/N132</f>
        <v>121560</v>
      </c>
      <c r="O150" s="233"/>
      <c r="P150" s="305" t="e">
        <f>+P117/P132</f>
        <v>#REF!</v>
      </c>
      <c r="Q150" s="233"/>
      <c r="R150" s="305" t="e">
        <f>+R117/R132</f>
        <v>#REF!</v>
      </c>
      <c r="S150" s="233"/>
      <c r="T150" s="305" t="e">
        <f>+T117/T132</f>
        <v>#REF!</v>
      </c>
      <c r="U150" s="233"/>
      <c r="V150" s="305" t="e">
        <f>+V117/V132</f>
        <v>#REF!</v>
      </c>
      <c r="W150" s="233"/>
      <c r="X150" s="305" t="e">
        <f>+X117/X132</f>
        <v>#REF!</v>
      </c>
      <c r="Y150" s="233"/>
      <c r="Z150" s="305" t="e">
        <f>+Z117/Z132</f>
        <v>#REF!</v>
      </c>
      <c r="AA150" s="233"/>
      <c r="AB150" s="305" t="e">
        <f>+AB117/AB132</f>
        <v>#REF!</v>
      </c>
      <c r="AC150" s="233"/>
      <c r="AD150" s="305" t="e">
        <f>+AD117/AD132</f>
        <v>#REF!</v>
      </c>
      <c r="AE150" s="233"/>
      <c r="AF150" s="305" t="e">
        <f>+AF117/AF132</f>
        <v>#REF!</v>
      </c>
      <c r="AG150" s="233"/>
      <c r="AH150" s="305" t="e">
        <f>+AH117/AH132</f>
        <v>#REF!</v>
      </c>
      <c r="AI150" s="233"/>
      <c r="AJ150" s="305">
        <f>+AJ117/AJ132</f>
        <v>101663.0795620438</v>
      </c>
      <c r="AK150" s="233"/>
      <c r="AL150" s="305" t="e">
        <f>+AL117/AL132</f>
        <v>#REF!</v>
      </c>
      <c r="AM150" s="233"/>
      <c r="AN150" s="305" t="e">
        <f>+AN117/AN132</f>
        <v>#REF!</v>
      </c>
      <c r="AO150" s="233"/>
      <c r="AP150" s="305" t="e">
        <f>+AP117/AP132</f>
        <v>#REF!</v>
      </c>
      <c r="AQ150" s="233"/>
      <c r="AR150" s="305" t="e">
        <f>+AR117/AR132</f>
        <v>#REF!</v>
      </c>
      <c r="AS150" s="233"/>
      <c r="AT150" s="305">
        <v>116659.89869791667</v>
      </c>
      <c r="AU150" s="233"/>
      <c r="AV150" s="305" t="e">
        <f>+AV117/AV132</f>
        <v>#REF!</v>
      </c>
      <c r="AW150" s="233"/>
      <c r="AX150" s="305" t="e">
        <f>+AX117/AX132</f>
        <v>#REF!</v>
      </c>
      <c r="AY150" s="233"/>
      <c r="AZ150" s="305" t="e">
        <f>+AZ117/AZ132</f>
        <v>#REF!</v>
      </c>
      <c r="BA150" s="233"/>
      <c r="BB150" s="305" t="e">
        <f>+BB117/BB132</f>
        <v>#REF!</v>
      </c>
      <c r="BC150" s="233"/>
      <c r="BD150" s="305" t="e">
        <f>+BD117/BD132</f>
        <v>#REF!</v>
      </c>
      <c r="BE150" s="233"/>
      <c r="BF150" s="306" t="e">
        <f>+BF117/BF132</f>
        <v>#REF!</v>
      </c>
      <c r="BG150" s="234"/>
      <c r="BH150" s="306">
        <f>+BH117/BH132</f>
        <v>120752.18963855422</v>
      </c>
      <c r="BI150" s="234"/>
      <c r="BJ150" s="306">
        <f>+BJ117/BJ132</f>
        <v>102595.95326923077</v>
      </c>
      <c r="BK150" s="234"/>
      <c r="BL150" s="306">
        <f>+BL117/BL132</f>
        <v>105502.65896825395</v>
      </c>
      <c r="BM150" s="234"/>
      <c r="BN150" s="306">
        <f>+BN117/BN132</f>
        <v>99588.011652173896</v>
      </c>
      <c r="BO150" s="234"/>
      <c r="BP150" s="306">
        <f>+BP117/BP132</f>
        <v>125334.81636363638</v>
      </c>
      <c r="BQ150" s="234"/>
      <c r="BR150" s="306">
        <f>+BR117/BR132</f>
        <v>108187.56819548873</v>
      </c>
      <c r="BS150" s="234"/>
      <c r="BT150" s="306">
        <f>+BT117/BT132</f>
        <v>94602.472262773706</v>
      </c>
      <c r="BU150" s="234"/>
      <c r="BV150" s="306">
        <f>+BV117/BV132</f>
        <v>91520.220931677002</v>
      </c>
      <c r="BW150" s="234"/>
      <c r="BX150" s="306">
        <f>+BX117/BX132</f>
        <v>113242.18052631577</v>
      </c>
      <c r="BY150" s="234"/>
      <c r="BZ150" s="306">
        <f>+BZ117/BZ132</f>
        <v>105706.14827160496</v>
      </c>
      <c r="CA150" s="234"/>
      <c r="CB150" s="306">
        <f>+CB117/CB132</f>
        <v>94018.472209944724</v>
      </c>
      <c r="CC150" s="234"/>
      <c r="CD150" s="306">
        <f>+CD117/CD132</f>
        <v>106279.17204761907</v>
      </c>
      <c r="CE150" s="234"/>
      <c r="CF150" s="306">
        <f>+CF117/CF132</f>
        <v>117022.85570680629</v>
      </c>
      <c r="CG150" s="234"/>
      <c r="CH150" s="306">
        <f>+CH117/CH132</f>
        <v>124047.02965217389</v>
      </c>
      <c r="CI150" s="234"/>
      <c r="CJ150" s="234"/>
      <c r="CK150" s="306">
        <f>+CK117/CK132</f>
        <v>109970.85702040819</v>
      </c>
      <c r="CL150" s="234"/>
      <c r="CM150" s="234"/>
      <c r="CN150" s="306">
        <f>+CN117/CN132</f>
        <v>90024.461077844317</v>
      </c>
      <c r="CO150" s="234"/>
      <c r="CP150" s="234"/>
      <c r="CQ150" s="306">
        <f>+CQ117/CQ132</f>
        <v>84392.60555555555</v>
      </c>
      <c r="CR150" s="234"/>
      <c r="CS150" s="234"/>
      <c r="CT150" s="306">
        <f>+CT117/CT132</f>
        <v>79922.244797979787</v>
      </c>
      <c r="CU150" s="234"/>
      <c r="CV150" s="198"/>
      <c r="CW150" s="306">
        <f>+CW117/CW132</f>
        <v>98063.210235849023</v>
      </c>
      <c r="CX150" s="234"/>
      <c r="CY150" s="436"/>
      <c r="CZ150" s="306">
        <f>+CZ117/CZ132</f>
        <v>106143.26673611115</v>
      </c>
      <c r="DA150" s="234"/>
      <c r="DB150" s="436"/>
      <c r="DC150" s="306">
        <f>+DC117/DC132</f>
        <v>90968.60829268294</v>
      </c>
      <c r="DD150" s="234"/>
      <c r="DE150" s="436"/>
      <c r="DF150" s="426">
        <f>+DF117/DF132</f>
        <v>101944.50125000003</v>
      </c>
      <c r="DG150" s="234"/>
      <c r="DH150" s="436"/>
      <c r="DI150" s="426">
        <f>+DI117/DI132</f>
        <v>107384.15711229946</v>
      </c>
      <c r="DJ150" s="234"/>
      <c r="DK150" s="436"/>
      <c r="DL150" s="426">
        <f>+DL117/DL132</f>
        <v>147714.06994252873</v>
      </c>
      <c r="DM150" s="234"/>
      <c r="DN150" s="436"/>
      <c r="DO150" s="426">
        <f>+DO117/DO132</f>
        <v>100225.32980392154</v>
      </c>
      <c r="DP150" s="425"/>
      <c r="DQ150" s="580"/>
      <c r="DR150" s="426">
        <v>96915.214590163931</v>
      </c>
      <c r="DS150" s="425"/>
      <c r="DT150" s="580"/>
      <c r="DU150" s="426">
        <v>126257.88766519824</v>
      </c>
      <c r="DV150" s="425"/>
      <c r="DW150" s="580"/>
      <c r="DX150" s="426">
        <v>68259.803724137935</v>
      </c>
      <c r="DY150" s="580"/>
      <c r="DZ150" s="580"/>
      <c r="EA150" s="426">
        <v>70340.887961783432</v>
      </c>
      <c r="EB150" s="580"/>
      <c r="EC150" s="580"/>
      <c r="ED150" s="426">
        <f>ED117/ED132</f>
        <v>60102.314960629919</v>
      </c>
      <c r="EE150" s="580"/>
      <c r="EF150" s="580"/>
      <c r="EG150" s="306">
        <v>58557.17253164557</v>
      </c>
      <c r="EH150" s="234"/>
      <c r="EI150" s="436"/>
      <c r="EJ150" s="306">
        <f>+EJ117/EJ132</f>
        <v>64364.684843750001</v>
      </c>
      <c r="EK150" s="234"/>
      <c r="EL150" s="436"/>
      <c r="EM150" s="306">
        <f>+EM117/EM132</f>
        <v>88491.909278350504</v>
      </c>
      <c r="EN150" s="234"/>
      <c r="EO150" s="436"/>
      <c r="EP150" s="426">
        <f>+EP117/EP132</f>
        <v>38598.066846846843</v>
      </c>
      <c r="EQ150" s="234"/>
      <c r="ER150" s="436"/>
      <c r="ES150" s="426">
        <f>+ES117/ES132</f>
        <v>30762.798199999997</v>
      </c>
      <c r="ET150" s="234"/>
      <c r="EU150" s="436"/>
      <c r="EV150" s="820">
        <f>+EV117/EV132</f>
        <v>38442.642553191487</v>
      </c>
      <c r="EW150" s="234"/>
      <c r="EX150" s="436"/>
      <c r="EY150" s="426">
        <f>+EY117/EY132</f>
        <v>26093.330879120876</v>
      </c>
      <c r="EZ150" s="425"/>
      <c r="FA150" s="580"/>
      <c r="FB150" s="426">
        <f t="shared" si="223"/>
        <v>67467.493258426955</v>
      </c>
      <c r="FC150" s="425"/>
      <c r="FD150" s="580"/>
      <c r="FE150" s="426">
        <v>126257.88766519824</v>
      </c>
      <c r="FF150" s="425"/>
      <c r="FG150" s="580"/>
      <c r="FH150" s="426">
        <f>FH117/FH132</f>
        <v>62110.118750000009</v>
      </c>
      <c r="FI150" s="580"/>
      <c r="FJ150" s="580"/>
      <c r="FK150" s="426">
        <f>FK117/FK132</f>
        <v>43898.717820512822</v>
      </c>
      <c r="FL150" s="580"/>
      <c r="FM150" s="580"/>
      <c r="FN150" s="426">
        <f>FN117/FN132</f>
        <v>38906.378791208786</v>
      </c>
      <c r="FO150" s="580"/>
      <c r="FP150" s="580"/>
      <c r="FQ150" s="426">
        <f t="shared" ref="FQ150:FQ158" si="224">FQ117/FQ132</f>
        <v>61340.682238805959</v>
      </c>
      <c r="FR150" s="580"/>
      <c r="FS150" s="580"/>
      <c r="FT150" s="426">
        <f t="shared" ref="FT150:FT158" si="225">FT117/FT132</f>
        <v>76688.88933333334</v>
      </c>
      <c r="FU150" s="580"/>
      <c r="FV150" s="580"/>
      <c r="FW150" s="426">
        <f t="shared" ref="FW150:FW158" si="226">FW117/FW132</f>
        <v>63060.073220338985</v>
      </c>
      <c r="FX150" s="580"/>
      <c r="FY150" s="580"/>
      <c r="FZ150" s="426">
        <f t="shared" ref="FZ150:FZ158" si="227">FZ117/FZ132</f>
        <v>39034.227857142854</v>
      </c>
      <c r="GA150" s="580"/>
      <c r="GB150" s="580"/>
      <c r="GC150" s="426">
        <f t="shared" ref="GC150:GC158" si="228">GC117/GC132</f>
        <v>53136.457812500004</v>
      </c>
      <c r="GD150" s="580"/>
      <c r="GE150" s="426">
        <v>60439.803921568629</v>
      </c>
      <c r="GF150" s="580"/>
      <c r="GG150" s="426">
        <f t="shared" ref="GG150:GG158" si="229">GG117/GG132</f>
        <v>62769.318636363634</v>
      </c>
      <c r="GH150" s="580"/>
      <c r="GI150" s="426">
        <f t="shared" ref="GI150" si="230">GI117/GI132</f>
        <v>87818.571142857152</v>
      </c>
      <c r="GJ150" s="580"/>
      <c r="GK150" s="426">
        <f t="shared" ref="GK150:GM150" si="231">GK117/GK132</f>
        <v>52869.998999999996</v>
      </c>
      <c r="GL150" s="580"/>
      <c r="GM150" s="426">
        <f t="shared" si="231"/>
        <v>27119.607647058823</v>
      </c>
      <c r="GN150" s="580"/>
      <c r="GO150" s="426">
        <f>GO117/GO132</f>
        <v>141120.28218487394</v>
      </c>
      <c r="GP150" s="580"/>
      <c r="GQ150" s="820">
        <f>GQ117/GQ132</f>
        <v>47804.285714285717</v>
      </c>
      <c r="GR150" s="580"/>
      <c r="GS150" s="580"/>
      <c r="GT150" s="820">
        <f>GT117/GT132</f>
        <v>54047.619047619046</v>
      </c>
      <c r="GU150" s="580"/>
      <c r="GV150" s="580"/>
      <c r="GW150" s="820">
        <f>GW117/GW132</f>
        <v>61769.230769230766</v>
      </c>
      <c r="GX150" s="580"/>
      <c r="GY150" s="580"/>
      <c r="GZ150" s="426">
        <f>GZ117/GZ132</f>
        <v>58366.875</v>
      </c>
      <c r="HA150" s="580"/>
      <c r="HB150" s="580"/>
      <c r="HC150" s="426">
        <f>HC117/HC132</f>
        <v>50467.391304347824</v>
      </c>
      <c r="HD150" s="580"/>
      <c r="HE150" s="580"/>
      <c r="HF150" s="426">
        <f>HF117/HF132</f>
        <v>43888.888888888891</v>
      </c>
      <c r="HG150" s="580"/>
      <c r="HH150" s="580"/>
      <c r="HI150" s="426">
        <f>HI117/HI132</f>
        <v>47041.440270270272</v>
      </c>
      <c r="HJ150" s="580"/>
      <c r="HK150" s="580"/>
      <c r="HL150" s="426">
        <f>HL117/HL132</f>
        <v>38781.668250000002</v>
      </c>
      <c r="HM150" s="580"/>
      <c r="HN150" s="580"/>
      <c r="HO150" s="426">
        <f>HO117/HO132</f>
        <v>55796.296296296299</v>
      </c>
      <c r="HP150" s="580"/>
      <c r="HQ150" s="580"/>
      <c r="HR150" s="426">
        <f>HR117/HR132</f>
        <v>55796.296296296299</v>
      </c>
      <c r="HS150" s="580"/>
      <c r="HT150" s="580"/>
      <c r="HU150" s="426">
        <f>HU117/HU132</f>
        <v>55796.296296296299</v>
      </c>
      <c r="HV150" s="580"/>
      <c r="HW150" s="580"/>
      <c r="HX150" s="580"/>
      <c r="HY150" s="580"/>
      <c r="HZ150" s="580"/>
      <c r="IA150" s="426">
        <f>IA117/IA132</f>
        <v>60102.314960629919</v>
      </c>
    </row>
    <row r="151" spans="2:235" ht="14.25" hidden="1" customHeight="1">
      <c r="B151" s="242" t="s">
        <v>453</v>
      </c>
      <c r="C151" s="242"/>
      <c r="D151" s="305"/>
      <c r="E151" s="234"/>
      <c r="F151" s="305"/>
      <c r="G151" s="283"/>
      <c r="H151" s="305"/>
      <c r="I151" s="233"/>
      <c r="J151" s="305"/>
      <c r="K151" s="233"/>
      <c r="L151" s="305"/>
      <c r="M151" s="233"/>
      <c r="N151" s="305"/>
      <c r="O151" s="233"/>
      <c r="P151" s="305"/>
      <c r="Q151" s="233"/>
      <c r="R151" s="305"/>
      <c r="S151" s="233"/>
      <c r="T151" s="305"/>
      <c r="U151" s="233"/>
      <c r="V151" s="305"/>
      <c r="W151" s="233"/>
      <c r="X151" s="305"/>
      <c r="Y151" s="233"/>
      <c r="Z151" s="305"/>
      <c r="AA151" s="233"/>
      <c r="AB151" s="305"/>
      <c r="AC151" s="233"/>
      <c r="AD151" s="305"/>
      <c r="AE151" s="233"/>
      <c r="AF151" s="305"/>
      <c r="AG151" s="233"/>
      <c r="AH151" s="305"/>
      <c r="AI151" s="233"/>
      <c r="AJ151" s="305"/>
      <c r="AK151" s="233"/>
      <c r="AL151" s="305"/>
      <c r="AM151" s="233"/>
      <c r="AN151" s="305"/>
      <c r="AO151" s="233"/>
      <c r="AP151" s="305"/>
      <c r="AQ151" s="233"/>
      <c r="AR151" s="305"/>
      <c r="AS151" s="233"/>
      <c r="AT151" s="305"/>
      <c r="AU151" s="233"/>
      <c r="AV151" s="305"/>
      <c r="AW151" s="233"/>
      <c r="AX151" s="305"/>
      <c r="AY151" s="233"/>
      <c r="AZ151" s="305"/>
      <c r="BA151" s="233"/>
      <c r="BB151" s="305"/>
      <c r="BC151" s="233"/>
      <c r="BD151" s="305"/>
      <c r="BE151" s="233"/>
      <c r="BF151" s="306"/>
      <c r="BG151" s="234"/>
      <c r="BH151" s="306"/>
      <c r="BI151" s="234"/>
      <c r="BJ151" s="306">
        <f>+BJ118/BJ133</f>
        <v>350000</v>
      </c>
      <c r="BK151" s="234"/>
      <c r="BL151" s="306">
        <f>+BL118/BL133</f>
        <v>0</v>
      </c>
      <c r="BM151" s="234"/>
      <c r="BN151" s="306">
        <f>+BN118/BN133</f>
        <v>0</v>
      </c>
      <c r="BO151" s="234"/>
      <c r="BP151" s="306">
        <f>+BP118/BP133</f>
        <v>0</v>
      </c>
      <c r="BQ151" s="234"/>
      <c r="BR151" s="306">
        <f>+BR118/BR133</f>
        <v>0</v>
      </c>
      <c r="BS151" s="234"/>
      <c r="BT151" s="306"/>
      <c r="BU151" s="234"/>
      <c r="BV151" s="306"/>
      <c r="BW151" s="234"/>
      <c r="BX151" s="306"/>
      <c r="BY151" s="234"/>
      <c r="BZ151" s="306"/>
      <c r="CA151" s="234"/>
      <c r="CB151" s="306"/>
      <c r="CC151" s="234"/>
      <c r="CD151" s="306"/>
      <c r="CE151" s="234"/>
      <c r="CF151" s="306"/>
      <c r="CG151" s="234"/>
      <c r="CH151" s="306"/>
      <c r="CI151" s="234"/>
      <c r="CJ151" s="234"/>
      <c r="CK151" s="306"/>
      <c r="CL151" s="234"/>
      <c r="CM151" s="234"/>
      <c r="CN151" s="306"/>
      <c r="CO151" s="234"/>
      <c r="CP151" s="234"/>
      <c r="CQ151" s="306"/>
      <c r="CR151" s="234"/>
      <c r="CS151" s="234"/>
      <c r="CT151" s="306"/>
      <c r="CU151" s="234"/>
      <c r="CV151" s="198"/>
      <c r="CW151" s="306"/>
      <c r="CX151" s="234"/>
      <c r="CY151" s="436"/>
      <c r="CZ151" s="306"/>
      <c r="DA151" s="234"/>
      <c r="DB151" s="436"/>
      <c r="DC151" s="306"/>
      <c r="DD151" s="234"/>
      <c r="DE151" s="436"/>
      <c r="DF151" s="426"/>
      <c r="DG151" s="234"/>
      <c r="DH151" s="436"/>
      <c r="DI151" s="426"/>
      <c r="DJ151" s="234"/>
      <c r="DK151" s="436"/>
      <c r="DL151" s="426"/>
      <c r="DM151" s="234"/>
      <c r="DN151" s="436"/>
      <c r="DO151" s="426"/>
      <c r="DP151" s="425"/>
      <c r="DQ151" s="580"/>
      <c r="DR151" s="426"/>
      <c r="DS151" s="425"/>
      <c r="DT151" s="580"/>
      <c r="DU151" s="426"/>
      <c r="DV151" s="425"/>
      <c r="DW151" s="580"/>
      <c r="DX151" s="426"/>
      <c r="DY151" s="580"/>
      <c r="DZ151" s="580"/>
      <c r="EA151" s="426"/>
      <c r="EB151" s="580"/>
      <c r="EC151" s="580"/>
      <c r="ED151" s="426"/>
      <c r="EE151" s="580"/>
      <c r="EF151" s="580"/>
      <c r="EG151" s="306"/>
      <c r="EH151" s="234"/>
      <c r="EI151" s="436"/>
      <c r="EJ151" s="306"/>
      <c r="EK151" s="234"/>
      <c r="EL151" s="436"/>
      <c r="EM151" s="306"/>
      <c r="EN151" s="234"/>
      <c r="EO151" s="436"/>
      <c r="EP151" s="426"/>
      <c r="EQ151" s="234"/>
      <c r="ER151" s="436"/>
      <c r="ES151" s="426"/>
      <c r="ET151" s="234"/>
      <c r="EU151" s="436"/>
      <c r="EV151" s="820"/>
      <c r="EW151" s="234"/>
      <c r="EX151" s="436"/>
      <c r="EY151" s="426"/>
      <c r="EZ151" s="425"/>
      <c r="FA151" s="580"/>
      <c r="FB151" s="426" t="e">
        <f t="shared" si="223"/>
        <v>#DIV/0!</v>
      </c>
      <c r="FC151" s="425"/>
      <c r="FD151" s="580"/>
      <c r="FE151" s="426"/>
      <c r="FF151" s="425"/>
      <c r="FG151" s="580"/>
      <c r="FH151" s="426" t="e">
        <f t="shared" ref="FH151:FH157" si="232">FH118/FH133</f>
        <v>#DIV/0!</v>
      </c>
      <c r="FI151" s="580"/>
      <c r="FJ151" s="580"/>
      <c r="FK151" s="426" t="e">
        <f t="shared" ref="FK151:FK157" si="233">FK118/FK133</f>
        <v>#DIV/0!</v>
      </c>
      <c r="FL151" s="580"/>
      <c r="FM151" s="580"/>
      <c r="FN151" s="426" t="e">
        <f t="shared" ref="FN151:FN157" si="234">FN118/FN133</f>
        <v>#DIV/0!</v>
      </c>
      <c r="FO151" s="580"/>
      <c r="FP151" s="580"/>
      <c r="FQ151" s="426" t="e">
        <f t="shared" si="224"/>
        <v>#DIV/0!</v>
      </c>
      <c r="FR151" s="580"/>
      <c r="FS151" s="580"/>
      <c r="FT151" s="426" t="e">
        <f t="shared" si="225"/>
        <v>#DIV/0!</v>
      </c>
      <c r="FU151" s="580"/>
      <c r="FV151" s="580"/>
      <c r="FW151" s="426" t="e">
        <f t="shared" si="226"/>
        <v>#DIV/0!</v>
      </c>
      <c r="FX151" s="580"/>
      <c r="FY151" s="580"/>
      <c r="FZ151" s="426" t="e">
        <f t="shared" si="227"/>
        <v>#DIV/0!</v>
      </c>
      <c r="GA151" s="580"/>
      <c r="GB151" s="580"/>
      <c r="GC151" s="426">
        <f t="shared" si="228"/>
        <v>0</v>
      </c>
      <c r="GD151" s="580"/>
      <c r="GE151" s="426">
        <v>0</v>
      </c>
      <c r="GF151" s="580"/>
      <c r="GG151" s="426">
        <f t="shared" si="229"/>
        <v>0</v>
      </c>
      <c r="GH151" s="580"/>
      <c r="GI151" s="426">
        <f t="shared" ref="GI151" si="235">GI118/GI133</f>
        <v>0</v>
      </c>
      <c r="GJ151" s="580"/>
      <c r="GK151" s="426">
        <f t="shared" ref="GK151:GM151" si="236">GK118/GK133</f>
        <v>0</v>
      </c>
      <c r="GL151" s="580"/>
      <c r="GM151" s="426" t="e">
        <f t="shared" si="236"/>
        <v>#DIV/0!</v>
      </c>
      <c r="GN151" s="580"/>
      <c r="GO151" s="426" t="e">
        <f t="shared" ref="GO151" si="237">GO118/GO133</f>
        <v>#DIV/0!</v>
      </c>
      <c r="GP151" s="580"/>
      <c r="GQ151" s="820" t="e">
        <f t="shared" ref="GQ151:GQ158" si="238">GQ118/GQ133</f>
        <v>#DIV/0!</v>
      </c>
      <c r="GR151" s="580"/>
      <c r="GS151" s="580"/>
      <c r="GT151" s="820" t="e">
        <f t="shared" ref="GT151:GT158" si="239">GT118/GT133</f>
        <v>#DIV/0!</v>
      </c>
      <c r="GU151" s="580"/>
      <c r="GV151" s="580"/>
      <c r="GW151" s="820" t="e">
        <f t="shared" ref="GW151:GW158" si="240">GW118/GW133</f>
        <v>#DIV/0!</v>
      </c>
      <c r="GX151" s="580"/>
      <c r="GY151" s="580"/>
      <c r="GZ151" s="426" t="e">
        <f t="shared" ref="GZ151:GZ158" si="241">GZ118/GZ133</f>
        <v>#DIV/0!</v>
      </c>
      <c r="HA151" s="580"/>
      <c r="HB151" s="580"/>
      <c r="HC151" s="426" t="e">
        <f t="shared" ref="HC151:HC158" si="242">HC118/HC133</f>
        <v>#DIV/0!</v>
      </c>
      <c r="HD151" s="580"/>
      <c r="HE151" s="580"/>
      <c r="HF151" s="426" t="e">
        <f t="shared" ref="HF151:HF158" si="243">HF118/HF133</f>
        <v>#DIV/0!</v>
      </c>
      <c r="HG151" s="580"/>
      <c r="HH151" s="580"/>
      <c r="HI151" s="426" t="e">
        <f t="shared" ref="HI151:HI158" si="244">HI118/HI133</f>
        <v>#DIV/0!</v>
      </c>
      <c r="HJ151" s="580"/>
      <c r="HK151" s="580"/>
      <c r="HL151" s="426" t="e">
        <f t="shared" ref="HL151:HL158" si="245">HL118/HL133</f>
        <v>#DIV/0!</v>
      </c>
      <c r="HM151" s="580"/>
      <c r="HN151" s="580"/>
      <c r="HO151" s="426" t="e">
        <f t="shared" ref="HO151:HO158" si="246">HO118/HO133</f>
        <v>#DIV/0!</v>
      </c>
      <c r="HP151" s="580"/>
      <c r="HQ151" s="580"/>
      <c r="HR151" s="426" t="e">
        <f t="shared" ref="HR151:HR158" si="247">HR118/HR133</f>
        <v>#DIV/0!</v>
      </c>
      <c r="HS151" s="580"/>
      <c r="HT151" s="580"/>
      <c r="HU151" s="426" t="e">
        <f t="shared" ref="HU151:HU158" si="248">HU118/HU133</f>
        <v>#DIV/0!</v>
      </c>
      <c r="HV151" s="580"/>
      <c r="HW151" s="580"/>
      <c r="HX151" s="580"/>
      <c r="HY151" s="580"/>
      <c r="HZ151" s="580"/>
      <c r="IA151" s="426"/>
    </row>
    <row r="152" spans="2:235" ht="14.25" hidden="1" customHeight="1">
      <c r="B152" s="242" t="s">
        <v>454</v>
      </c>
      <c r="C152" s="242"/>
      <c r="D152" s="305"/>
      <c r="E152" s="234"/>
      <c r="F152" s="305"/>
      <c r="G152" s="283"/>
      <c r="H152" s="305"/>
      <c r="I152" s="233"/>
      <c r="J152" s="305"/>
      <c r="K152" s="233"/>
      <c r="L152" s="305"/>
      <c r="M152" s="233"/>
      <c r="N152" s="305"/>
      <c r="O152" s="233"/>
      <c r="P152" s="305"/>
      <c r="Q152" s="233"/>
      <c r="R152" s="305"/>
      <c r="S152" s="233"/>
      <c r="T152" s="305"/>
      <c r="U152" s="233"/>
      <c r="V152" s="305"/>
      <c r="W152" s="233"/>
      <c r="X152" s="305"/>
      <c r="Y152" s="233"/>
      <c r="Z152" s="305"/>
      <c r="AA152" s="233"/>
      <c r="AB152" s="305"/>
      <c r="AC152" s="233"/>
      <c r="AD152" s="305"/>
      <c r="AE152" s="233"/>
      <c r="AF152" s="305"/>
      <c r="AG152" s="233"/>
      <c r="AH152" s="305"/>
      <c r="AI152" s="233"/>
      <c r="AJ152" s="305"/>
      <c r="AK152" s="233"/>
      <c r="AL152" s="305"/>
      <c r="AM152" s="233"/>
      <c r="AN152" s="305"/>
      <c r="AO152" s="233"/>
      <c r="AP152" s="305"/>
      <c r="AQ152" s="233"/>
      <c r="AR152" s="305"/>
      <c r="AS152" s="233"/>
      <c r="AT152" s="305"/>
      <c r="AU152" s="233"/>
      <c r="AV152" s="305"/>
      <c r="AW152" s="233"/>
      <c r="AX152" s="305"/>
      <c r="AY152" s="233"/>
      <c r="AZ152" s="305"/>
      <c r="BA152" s="233"/>
      <c r="BB152" s="305"/>
      <c r="BC152" s="233"/>
      <c r="BD152" s="305"/>
      <c r="BE152" s="233"/>
      <c r="BF152" s="306">
        <f>+BF119/BF134</f>
        <v>200000</v>
      </c>
      <c r="BG152" s="234"/>
      <c r="BH152" s="306">
        <f>+BH119/BH134</f>
        <v>0</v>
      </c>
      <c r="BI152" s="234"/>
      <c r="BJ152" s="306">
        <f>+BJ119/BJ134</f>
        <v>350000</v>
      </c>
      <c r="BK152" s="234"/>
      <c r="BL152" s="306">
        <f>+BL119/BL134</f>
        <v>0</v>
      </c>
      <c r="BM152" s="234"/>
      <c r="BN152" s="306">
        <f>+BN119/BN134</f>
        <v>230000</v>
      </c>
      <c r="BO152" s="234"/>
      <c r="BP152" s="306">
        <f>+BP119/BP134</f>
        <v>0</v>
      </c>
      <c r="BQ152" s="234"/>
      <c r="BR152" s="306">
        <f>+BR119/BR134</f>
        <v>0</v>
      </c>
      <c r="BS152" s="234"/>
      <c r="BT152" s="306"/>
      <c r="BU152" s="234"/>
      <c r="BV152" s="306"/>
      <c r="BW152" s="234"/>
      <c r="BX152" s="306"/>
      <c r="BY152" s="234"/>
      <c r="BZ152" s="306"/>
      <c r="CA152" s="234"/>
      <c r="CB152" s="306"/>
      <c r="CC152" s="234"/>
      <c r="CD152" s="306"/>
      <c r="CE152" s="234"/>
      <c r="CF152" s="306"/>
      <c r="CG152" s="234"/>
      <c r="CH152" s="306"/>
      <c r="CI152" s="234"/>
      <c r="CJ152" s="234"/>
      <c r="CK152" s="306"/>
      <c r="CL152" s="234"/>
      <c r="CM152" s="234"/>
      <c r="CN152" s="306"/>
      <c r="CO152" s="234"/>
      <c r="CP152" s="234"/>
      <c r="CQ152" s="306"/>
      <c r="CR152" s="234"/>
      <c r="CS152" s="234"/>
      <c r="CT152" s="306"/>
      <c r="CU152" s="234"/>
      <c r="CV152" s="198"/>
      <c r="CW152" s="306"/>
      <c r="CX152" s="234"/>
      <c r="CY152" s="436"/>
      <c r="CZ152" s="306"/>
      <c r="DA152" s="234"/>
      <c r="DB152" s="436"/>
      <c r="DC152" s="306"/>
      <c r="DD152" s="234"/>
      <c r="DE152" s="436"/>
      <c r="DF152" s="426"/>
      <c r="DG152" s="234"/>
      <c r="DH152" s="436"/>
      <c r="DI152" s="426"/>
      <c r="DJ152" s="234"/>
      <c r="DK152" s="436"/>
      <c r="DL152" s="426"/>
      <c r="DM152" s="234"/>
      <c r="DN152" s="436"/>
      <c r="DO152" s="426"/>
      <c r="DP152" s="425"/>
      <c r="DQ152" s="580"/>
      <c r="DR152" s="426"/>
      <c r="DS152" s="425"/>
      <c r="DT152" s="580"/>
      <c r="DU152" s="426"/>
      <c r="DV152" s="425"/>
      <c r="DW152" s="580"/>
      <c r="DX152" s="426"/>
      <c r="DY152" s="580"/>
      <c r="DZ152" s="580"/>
      <c r="EA152" s="426"/>
      <c r="EB152" s="580"/>
      <c r="EC152" s="580"/>
      <c r="ED152" s="426"/>
      <c r="EE152" s="580"/>
      <c r="EF152" s="580"/>
      <c r="EG152" s="306"/>
      <c r="EH152" s="234"/>
      <c r="EI152" s="436"/>
      <c r="EJ152" s="306"/>
      <c r="EK152" s="234"/>
      <c r="EL152" s="436"/>
      <c r="EM152" s="306"/>
      <c r="EN152" s="234"/>
      <c r="EO152" s="436"/>
      <c r="EP152" s="426"/>
      <c r="EQ152" s="234"/>
      <c r="ER152" s="436"/>
      <c r="ES152" s="426"/>
      <c r="ET152" s="234"/>
      <c r="EU152" s="436"/>
      <c r="EV152" s="820"/>
      <c r="EW152" s="234"/>
      <c r="EX152" s="436"/>
      <c r="EY152" s="426"/>
      <c r="EZ152" s="425"/>
      <c r="FA152" s="580"/>
      <c r="FB152" s="426" t="e">
        <f t="shared" si="223"/>
        <v>#DIV/0!</v>
      </c>
      <c r="FC152" s="425"/>
      <c r="FD152" s="580"/>
      <c r="FE152" s="426"/>
      <c r="FF152" s="425"/>
      <c r="FG152" s="580"/>
      <c r="FH152" s="426" t="e">
        <f t="shared" si="232"/>
        <v>#DIV/0!</v>
      </c>
      <c r="FI152" s="580"/>
      <c r="FJ152" s="580"/>
      <c r="FK152" s="426" t="e">
        <f t="shared" si="233"/>
        <v>#DIV/0!</v>
      </c>
      <c r="FL152" s="580"/>
      <c r="FM152" s="580"/>
      <c r="FN152" s="426" t="e">
        <f t="shared" si="234"/>
        <v>#DIV/0!</v>
      </c>
      <c r="FO152" s="580"/>
      <c r="FP152" s="580"/>
      <c r="FQ152" s="426" t="e">
        <f t="shared" si="224"/>
        <v>#DIV/0!</v>
      </c>
      <c r="FR152" s="580"/>
      <c r="FS152" s="580"/>
      <c r="FT152" s="426" t="e">
        <f t="shared" si="225"/>
        <v>#DIV/0!</v>
      </c>
      <c r="FU152" s="580"/>
      <c r="FV152" s="580"/>
      <c r="FW152" s="426" t="e">
        <f t="shared" si="226"/>
        <v>#DIV/0!</v>
      </c>
      <c r="FX152" s="580"/>
      <c r="FY152" s="580"/>
      <c r="FZ152" s="426" t="e">
        <f t="shared" si="227"/>
        <v>#DIV/0!</v>
      </c>
      <c r="GA152" s="580"/>
      <c r="GB152" s="580"/>
      <c r="GC152" s="426">
        <f t="shared" si="228"/>
        <v>0</v>
      </c>
      <c r="GD152" s="580"/>
      <c r="GE152" s="426">
        <v>0</v>
      </c>
      <c r="GF152" s="580"/>
      <c r="GG152" s="426">
        <f t="shared" si="229"/>
        <v>0</v>
      </c>
      <c r="GH152" s="580"/>
      <c r="GI152" s="426">
        <f t="shared" ref="GI152" si="249">GI119/GI134</f>
        <v>0</v>
      </c>
      <c r="GJ152" s="580"/>
      <c r="GK152" s="426">
        <f t="shared" ref="GK152:GM152" si="250">GK119/GK134</f>
        <v>0</v>
      </c>
      <c r="GL152" s="580"/>
      <c r="GM152" s="426" t="e">
        <f t="shared" si="250"/>
        <v>#DIV/0!</v>
      </c>
      <c r="GN152" s="580"/>
      <c r="GO152" s="426" t="e">
        <f t="shared" ref="GO152" si="251">GO119/GO134</f>
        <v>#DIV/0!</v>
      </c>
      <c r="GP152" s="580"/>
      <c r="GQ152" s="820" t="e">
        <f t="shared" si="238"/>
        <v>#DIV/0!</v>
      </c>
      <c r="GR152" s="580"/>
      <c r="GS152" s="580"/>
      <c r="GT152" s="820" t="e">
        <f t="shared" si="239"/>
        <v>#DIV/0!</v>
      </c>
      <c r="GU152" s="580"/>
      <c r="GV152" s="580"/>
      <c r="GW152" s="820" t="e">
        <f t="shared" si="240"/>
        <v>#DIV/0!</v>
      </c>
      <c r="GX152" s="580"/>
      <c r="GY152" s="580"/>
      <c r="GZ152" s="426" t="e">
        <f t="shared" si="241"/>
        <v>#DIV/0!</v>
      </c>
      <c r="HA152" s="580"/>
      <c r="HB152" s="580"/>
      <c r="HC152" s="426" t="e">
        <f t="shared" si="242"/>
        <v>#DIV/0!</v>
      </c>
      <c r="HD152" s="580"/>
      <c r="HE152" s="580"/>
      <c r="HF152" s="426" t="e">
        <f t="shared" si="243"/>
        <v>#DIV/0!</v>
      </c>
      <c r="HG152" s="580"/>
      <c r="HH152" s="580"/>
      <c r="HI152" s="426" t="e">
        <f t="shared" si="244"/>
        <v>#DIV/0!</v>
      </c>
      <c r="HJ152" s="580"/>
      <c r="HK152" s="580"/>
      <c r="HL152" s="426" t="e">
        <f t="shared" si="245"/>
        <v>#DIV/0!</v>
      </c>
      <c r="HM152" s="580"/>
      <c r="HN152" s="580"/>
      <c r="HO152" s="426" t="e">
        <f t="shared" si="246"/>
        <v>#DIV/0!</v>
      </c>
      <c r="HP152" s="580"/>
      <c r="HQ152" s="580"/>
      <c r="HR152" s="426" t="e">
        <f t="shared" si="247"/>
        <v>#DIV/0!</v>
      </c>
      <c r="HS152" s="580"/>
      <c r="HT152" s="580"/>
      <c r="HU152" s="426" t="e">
        <f t="shared" si="248"/>
        <v>#DIV/0!</v>
      </c>
      <c r="HV152" s="580"/>
      <c r="HW152" s="580"/>
      <c r="HX152" s="580"/>
      <c r="HY152" s="580"/>
      <c r="HZ152" s="580"/>
      <c r="IA152" s="426"/>
    </row>
    <row r="153" spans="2:235" ht="14.25" customHeight="1">
      <c r="B153" s="242" t="s">
        <v>446</v>
      </c>
      <c r="C153" s="242"/>
      <c r="D153" s="305"/>
      <c r="E153" s="234"/>
      <c r="F153" s="305"/>
      <c r="G153" s="283"/>
      <c r="H153" s="305"/>
      <c r="I153" s="233"/>
      <c r="J153" s="305"/>
      <c r="K153" s="233"/>
      <c r="L153" s="305"/>
      <c r="M153" s="233"/>
      <c r="N153" s="305">
        <f>+N120/N135</f>
        <v>343333.33333333331</v>
      </c>
      <c r="O153" s="233"/>
      <c r="P153" s="305" t="e">
        <f>+P120/P135</f>
        <v>#REF!</v>
      </c>
      <c r="Q153" s="233"/>
      <c r="R153" s="305" t="e">
        <f>+R120/R135</f>
        <v>#REF!</v>
      </c>
      <c r="S153" s="233"/>
      <c r="T153" s="305" t="e">
        <f>+T120/T135</f>
        <v>#REF!</v>
      </c>
      <c r="U153" s="233"/>
      <c r="V153" s="305" t="e">
        <f>+V120/V135</f>
        <v>#REF!</v>
      </c>
      <c r="W153" s="233"/>
      <c r="X153" s="305" t="e">
        <f>+X120/X135</f>
        <v>#REF!</v>
      </c>
      <c r="Y153" s="233"/>
      <c r="Z153" s="305" t="e">
        <f>+Z120/Z135</f>
        <v>#REF!</v>
      </c>
      <c r="AA153" s="233"/>
      <c r="AB153" s="305" t="e">
        <f>+AB120/AB135</f>
        <v>#REF!</v>
      </c>
      <c r="AC153" s="233"/>
      <c r="AD153" s="305" t="e">
        <f>+AD120/AD135</f>
        <v>#REF!</v>
      </c>
      <c r="AE153" s="233"/>
      <c r="AF153" s="305" t="e">
        <f>+AF120/AF135</f>
        <v>#REF!</v>
      </c>
      <c r="AG153" s="233"/>
      <c r="AH153" s="305" t="e">
        <f>+AH120/AH135</f>
        <v>#REF!</v>
      </c>
      <c r="AI153" s="233"/>
      <c r="AJ153" s="305">
        <f>+AJ120/AJ135</f>
        <v>363227.59136363637</v>
      </c>
      <c r="AK153" s="233"/>
      <c r="AL153" s="305" t="e">
        <f>+AL120/AL135</f>
        <v>#REF!</v>
      </c>
      <c r="AM153" s="233"/>
      <c r="AN153" s="305" t="e">
        <f>+AN120/AN135</f>
        <v>#REF!</v>
      </c>
      <c r="AO153" s="233"/>
      <c r="AP153" s="305" t="e">
        <f>+AP120/AP135</f>
        <v>#REF!</v>
      </c>
      <c r="AQ153" s="233"/>
      <c r="AR153" s="305" t="e">
        <f>+AR120/AR135</f>
        <v>#REF!</v>
      </c>
      <c r="AS153" s="233"/>
      <c r="AT153" s="305">
        <v>331465.17785714287</v>
      </c>
      <c r="AU153" s="233"/>
      <c r="AV153" s="305" t="e">
        <f>+AV120/AV135</f>
        <v>#REF!</v>
      </c>
      <c r="AW153" s="233"/>
      <c r="AX153" s="305" t="e">
        <f>+AX120/AX135</f>
        <v>#REF!</v>
      </c>
      <c r="AY153" s="233"/>
      <c r="AZ153" s="305" t="e">
        <f>+AZ120/AZ135</f>
        <v>#REF!</v>
      </c>
      <c r="BA153" s="233"/>
      <c r="BB153" s="305" t="e">
        <f>+BB120/BB135</f>
        <v>#REF!</v>
      </c>
      <c r="BC153" s="233"/>
      <c r="BD153" s="305" t="e">
        <f>+BD120/BD135</f>
        <v>#REF!</v>
      </c>
      <c r="BE153" s="233"/>
      <c r="BF153" s="306" t="e">
        <f>+BF120/BF135</f>
        <v>#REF!</v>
      </c>
      <c r="BG153" s="234"/>
      <c r="BH153" s="306">
        <f>+BH120/BH135</f>
        <v>367141.42105263157</v>
      </c>
      <c r="BI153" s="234"/>
      <c r="BJ153" s="306">
        <f>+BJ120/BJ135</f>
        <v>252968.5295</v>
      </c>
      <c r="BK153" s="234"/>
      <c r="BL153" s="306">
        <f>+BL120/BL135</f>
        <v>395542.24727272725</v>
      </c>
      <c r="BM153" s="234"/>
      <c r="BN153" s="306">
        <f>+BN120/BN135</f>
        <v>305643.73515151523</v>
      </c>
      <c r="BO153" s="234"/>
      <c r="BP153" s="306">
        <f>+BP120/BP135</f>
        <v>362129.93956521741</v>
      </c>
      <c r="BQ153" s="234"/>
      <c r="BR153" s="306">
        <f>+BR120/BR135</f>
        <v>257476.37125</v>
      </c>
      <c r="BS153" s="234"/>
      <c r="BT153" s="306">
        <f>+BT120/BT135</f>
        <v>328058.35425925924</v>
      </c>
      <c r="BU153" s="234"/>
      <c r="BV153" s="306">
        <f>+BV120/BV135</f>
        <v>318306.09129032254</v>
      </c>
      <c r="BW153" s="234"/>
      <c r="BX153" s="306">
        <f>+BX120/BX135</f>
        <v>282408.41399999999</v>
      </c>
      <c r="BY153" s="234"/>
      <c r="BZ153" s="306">
        <f>+BZ120/BZ135</f>
        <v>352612.16684210533</v>
      </c>
      <c r="CA153" s="234"/>
      <c r="CB153" s="306">
        <f>+CB120/CB135</f>
        <v>363596.39756097569</v>
      </c>
      <c r="CC153" s="234"/>
      <c r="CD153" s="306">
        <f>+CD120/CD135</f>
        <v>359204.8552727272</v>
      </c>
      <c r="CE153" s="234"/>
      <c r="CF153" s="306">
        <f>+CF120/CF135</f>
        <v>249750.3624561404</v>
      </c>
      <c r="CG153" s="234"/>
      <c r="CH153" s="306">
        <f>+CH120/CH135</f>
        <v>273782.52919354837</v>
      </c>
      <c r="CI153" s="234"/>
      <c r="CJ153" s="234"/>
      <c r="CK153" s="306">
        <f>+CK120/CK135</f>
        <v>263709.09867647057</v>
      </c>
      <c r="CL153" s="234"/>
      <c r="CM153" s="234"/>
      <c r="CN153" s="306">
        <f>+CN120/CN135</f>
        <v>201416.25</v>
      </c>
      <c r="CO153" s="234"/>
      <c r="CP153" s="234"/>
      <c r="CQ153" s="306">
        <f>+CQ120/CQ135</f>
        <v>276392.27183673473</v>
      </c>
      <c r="CR153" s="234"/>
      <c r="CS153" s="234"/>
      <c r="CT153" s="306">
        <f>+CT120/CT135</f>
        <v>239618.3462857143</v>
      </c>
      <c r="CU153" s="234"/>
      <c r="CV153" s="198"/>
      <c r="CW153" s="306">
        <f>+CW120/CW135</f>
        <v>189474.67631578949</v>
      </c>
      <c r="CX153" s="234"/>
      <c r="CY153" s="436"/>
      <c r="CZ153" s="306">
        <f>+CZ120/CZ135</f>
        <v>271604.14359999995</v>
      </c>
      <c r="DA153" s="234"/>
      <c r="DB153" s="436"/>
      <c r="DC153" s="306">
        <f>+DC120/DC135</f>
        <v>220918.30655737707</v>
      </c>
      <c r="DD153" s="234"/>
      <c r="DE153" s="436"/>
      <c r="DF153" s="426">
        <f>+DF120/DF135</f>
        <v>315430.15972972976</v>
      </c>
      <c r="DG153" s="234"/>
      <c r="DH153" s="436"/>
      <c r="DI153" s="426">
        <f>+DI120/DI135</f>
        <v>253935.50404255319</v>
      </c>
      <c r="DJ153" s="234"/>
      <c r="DK153" s="436"/>
      <c r="DL153" s="426">
        <f>+DL120/DL135</f>
        <v>228030.27625000002</v>
      </c>
      <c r="DM153" s="234"/>
      <c r="DN153" s="436"/>
      <c r="DO153" s="426">
        <f>+DO120/DO135</f>
        <v>267486.71270833327</v>
      </c>
      <c r="DP153" s="425"/>
      <c r="DQ153" s="580"/>
      <c r="DR153" s="426">
        <v>335977.21926829265</v>
      </c>
      <c r="DS153" s="425"/>
      <c r="DT153" s="580"/>
      <c r="DU153" s="426">
        <v>229311.84594594597</v>
      </c>
      <c r="DV153" s="425"/>
      <c r="DW153" s="580"/>
      <c r="DX153" s="426">
        <v>172240.89824324325</v>
      </c>
      <c r="DY153" s="580"/>
      <c r="DZ153" s="580"/>
      <c r="EA153" s="426">
        <v>183039.32651785717</v>
      </c>
      <c r="EB153" s="580"/>
      <c r="EC153" s="580"/>
      <c r="ED153" s="426">
        <f>ED120/ED135</f>
        <v>229613.56301886798</v>
      </c>
      <c r="EE153" s="580"/>
      <c r="EF153" s="580"/>
      <c r="EG153" s="306">
        <v>170838.15431034483</v>
      </c>
      <c r="EH153" s="234"/>
      <c r="EI153" s="436"/>
      <c r="EJ153" s="306">
        <f>+EJ120/EJ135</f>
        <v>146639.55488549618</v>
      </c>
      <c r="EK153" s="234"/>
      <c r="EL153" s="436"/>
      <c r="EM153" s="306">
        <f>+EM120/EM135</f>
        <v>157104.39106060608</v>
      </c>
      <c r="EN153" s="234"/>
      <c r="EO153" s="436"/>
      <c r="EP153" s="426">
        <f>+EP120/EP135</f>
        <v>176753.13896174866</v>
      </c>
      <c r="EQ153" s="234"/>
      <c r="ER153" s="436"/>
      <c r="ES153" s="426">
        <f>+ES120/ES135</f>
        <v>157660.37240641707</v>
      </c>
      <c r="ET153" s="234"/>
      <c r="EU153" s="436"/>
      <c r="EV153" s="820">
        <f>+EV120/EV135</f>
        <v>117106.32568464732</v>
      </c>
      <c r="EW153" s="234"/>
      <c r="EX153" s="436"/>
      <c r="EY153" s="426">
        <f>+EY120/EY135</f>
        <v>170366.67525773196</v>
      </c>
      <c r="EZ153" s="425"/>
      <c r="FA153" s="580"/>
      <c r="FB153" s="426">
        <f t="shared" si="223"/>
        <v>145443.8800892857</v>
      </c>
      <c r="FC153" s="425"/>
      <c r="FD153" s="580"/>
      <c r="FE153" s="426">
        <v>229311.84594594597</v>
      </c>
      <c r="FF153" s="425"/>
      <c r="FG153" s="580"/>
      <c r="FH153" s="426">
        <f t="shared" si="232"/>
        <v>119548.18149350649</v>
      </c>
      <c r="FI153" s="580"/>
      <c r="FJ153" s="580"/>
      <c r="FK153" s="426">
        <f t="shared" si="233"/>
        <v>108880.27993670884</v>
      </c>
      <c r="FL153" s="580"/>
      <c r="FM153" s="580"/>
      <c r="FN153" s="426">
        <f t="shared" si="234"/>
        <v>93088.345119047619</v>
      </c>
      <c r="FO153" s="580"/>
      <c r="FP153" s="580"/>
      <c r="FQ153" s="426">
        <f t="shared" si="224"/>
        <v>113513.25177777775</v>
      </c>
      <c r="FR153" s="580"/>
      <c r="FS153" s="580"/>
      <c r="FT153" s="426">
        <f t="shared" si="225"/>
        <v>127487.3931372549</v>
      </c>
      <c r="FU153" s="580"/>
      <c r="FV153" s="580"/>
      <c r="FW153" s="426">
        <f t="shared" si="226"/>
        <v>93913.151592920345</v>
      </c>
      <c r="FX153" s="580"/>
      <c r="FY153" s="580"/>
      <c r="FZ153" s="426">
        <f t="shared" si="227"/>
        <v>81751.281300000002</v>
      </c>
      <c r="GA153" s="580"/>
      <c r="GB153" s="580"/>
      <c r="GC153" s="426">
        <f t="shared" si="228"/>
        <v>94117.733628318572</v>
      </c>
      <c r="GD153" s="580"/>
      <c r="GE153" s="426">
        <v>65697.22525773196</v>
      </c>
      <c r="GF153" s="580"/>
      <c r="GG153" s="426">
        <f t="shared" si="229"/>
        <v>73662.864891304358</v>
      </c>
      <c r="GH153" s="580"/>
      <c r="GI153" s="426">
        <f t="shared" ref="GI153" si="252">GI120/GI135</f>
        <v>95401.515984251964</v>
      </c>
      <c r="GJ153" s="580"/>
      <c r="GK153" s="426">
        <f t="shared" ref="GK153:GM153" si="253">GK120/GK135</f>
        <v>71470.08820512821</v>
      </c>
      <c r="GL153" s="580"/>
      <c r="GM153" s="426">
        <f t="shared" si="253"/>
        <v>79544.553820224726</v>
      </c>
      <c r="GN153" s="580"/>
      <c r="GO153" s="426">
        <f t="shared" ref="GO153" si="254">GO120/GO135</f>
        <v>65485.922976190479</v>
      </c>
      <c r="GP153" s="580"/>
      <c r="GQ153" s="820">
        <f t="shared" si="238"/>
        <v>76298.046582278475</v>
      </c>
      <c r="GR153" s="580"/>
      <c r="GS153" s="580"/>
      <c r="GT153" s="820">
        <f t="shared" si="239"/>
        <v>89216.305156250004</v>
      </c>
      <c r="GU153" s="580"/>
      <c r="GV153" s="580"/>
      <c r="GW153" s="820">
        <f t="shared" si="240"/>
        <v>59242.980806451604</v>
      </c>
      <c r="GX153" s="580"/>
      <c r="GY153" s="580"/>
      <c r="GZ153" s="426">
        <f t="shared" si="241"/>
        <v>73862.751282051278</v>
      </c>
      <c r="HA153" s="580"/>
      <c r="HB153" s="580"/>
      <c r="HC153" s="426">
        <f t="shared" si="242"/>
        <v>61211.270289855078</v>
      </c>
      <c r="HD153" s="580"/>
      <c r="HE153" s="580"/>
      <c r="HF153" s="426">
        <f t="shared" si="243"/>
        <v>59835.73126315789</v>
      </c>
      <c r="HG153" s="580"/>
      <c r="HH153" s="580"/>
      <c r="HI153" s="426">
        <f t="shared" si="244"/>
        <v>56076.423846153841</v>
      </c>
      <c r="HJ153" s="580"/>
      <c r="HK153" s="580"/>
      <c r="HL153" s="426">
        <f t="shared" si="245"/>
        <v>52578.140617283956</v>
      </c>
      <c r="HM153" s="580"/>
      <c r="HN153" s="580"/>
      <c r="HO153" s="426">
        <f t="shared" si="246"/>
        <v>50748.728390804587</v>
      </c>
      <c r="HP153" s="580"/>
      <c r="HQ153" s="580"/>
      <c r="HR153" s="426">
        <f t="shared" si="247"/>
        <v>50748.728390804587</v>
      </c>
      <c r="HS153" s="580"/>
      <c r="HT153" s="580"/>
      <c r="HU153" s="426">
        <f t="shared" si="248"/>
        <v>50748.728390804587</v>
      </c>
      <c r="HV153" s="580"/>
      <c r="HW153" s="580"/>
      <c r="HX153" s="580"/>
      <c r="HY153" s="580"/>
      <c r="HZ153" s="580"/>
      <c r="IA153" s="426">
        <f>IA120/IA135</f>
        <v>229613.56301886798</v>
      </c>
    </row>
    <row r="154" spans="2:235" ht="14.25" hidden="1" customHeight="1">
      <c r="B154" s="242" t="s">
        <v>455</v>
      </c>
      <c r="C154" s="242"/>
      <c r="D154" s="305"/>
      <c r="E154" s="234"/>
      <c r="F154" s="305"/>
      <c r="G154" s="283"/>
      <c r="H154" s="305"/>
      <c r="I154" s="233"/>
      <c r="J154" s="305"/>
      <c r="K154" s="233"/>
      <c r="L154" s="305"/>
      <c r="M154" s="233"/>
      <c r="N154" s="305"/>
      <c r="O154" s="233"/>
      <c r="P154" s="305"/>
      <c r="Q154" s="233"/>
      <c r="R154" s="305"/>
      <c r="S154" s="233"/>
      <c r="T154" s="305"/>
      <c r="U154" s="233"/>
      <c r="V154" s="305"/>
      <c r="W154" s="233"/>
      <c r="X154" s="305"/>
      <c r="Y154" s="233"/>
      <c r="Z154" s="305"/>
      <c r="AA154" s="233"/>
      <c r="AB154" s="305"/>
      <c r="AC154" s="233"/>
      <c r="AD154" s="305"/>
      <c r="AE154" s="233"/>
      <c r="AF154" s="305"/>
      <c r="AG154" s="233"/>
      <c r="AH154" s="305"/>
      <c r="AI154" s="233"/>
      <c r="AJ154" s="305"/>
      <c r="AK154" s="233"/>
      <c r="AL154" s="305"/>
      <c r="AM154" s="233"/>
      <c r="AN154" s="305"/>
      <c r="AO154" s="233"/>
      <c r="AP154" s="305"/>
      <c r="AQ154" s="233"/>
      <c r="AR154" s="305"/>
      <c r="AS154" s="233"/>
      <c r="AT154" s="305"/>
      <c r="AU154" s="233"/>
      <c r="AV154" s="305"/>
      <c r="AW154" s="233"/>
      <c r="AX154" s="305"/>
      <c r="AY154" s="233"/>
      <c r="AZ154" s="305"/>
      <c r="BA154" s="233"/>
      <c r="BB154" s="305"/>
      <c r="BC154" s="233"/>
      <c r="BD154" s="305"/>
      <c r="BE154" s="233"/>
      <c r="BF154" s="306"/>
      <c r="BG154" s="234"/>
      <c r="BH154" s="306"/>
      <c r="BI154" s="234"/>
      <c r="BJ154" s="306"/>
      <c r="BK154" s="234"/>
      <c r="BL154" s="306"/>
      <c r="BM154" s="234"/>
      <c r="BN154" s="306"/>
      <c r="BO154" s="234"/>
      <c r="BP154" s="306"/>
      <c r="BQ154" s="234"/>
      <c r="BR154" s="306"/>
      <c r="BS154" s="234"/>
      <c r="BT154" s="306"/>
      <c r="BU154" s="234"/>
      <c r="BV154" s="306"/>
      <c r="BW154" s="234"/>
      <c r="BX154" s="306"/>
      <c r="BY154" s="234"/>
      <c r="BZ154" s="306"/>
      <c r="CA154" s="234"/>
      <c r="CB154" s="306"/>
      <c r="CC154" s="234"/>
      <c r="CD154" s="306"/>
      <c r="CE154" s="234"/>
      <c r="CF154" s="306"/>
      <c r="CG154" s="234"/>
      <c r="CH154" s="306"/>
      <c r="CI154" s="234"/>
      <c r="CJ154" s="234"/>
      <c r="CK154" s="306"/>
      <c r="CL154" s="234"/>
      <c r="CM154" s="234"/>
      <c r="CN154" s="306"/>
      <c r="CO154" s="234"/>
      <c r="CP154" s="234"/>
      <c r="CQ154" s="306"/>
      <c r="CR154" s="234"/>
      <c r="CS154" s="234"/>
      <c r="CT154" s="306"/>
      <c r="CU154" s="234"/>
      <c r="CV154" s="198"/>
      <c r="CW154" s="306"/>
      <c r="CX154" s="234"/>
      <c r="CY154" s="436"/>
      <c r="CZ154" s="306"/>
      <c r="DA154" s="234"/>
      <c r="DB154" s="436"/>
      <c r="DC154" s="306"/>
      <c r="DD154" s="234"/>
      <c r="DE154" s="436"/>
      <c r="DF154" s="426"/>
      <c r="DG154" s="234"/>
      <c r="DH154" s="436"/>
      <c r="DI154" s="426"/>
      <c r="DJ154" s="234"/>
      <c r="DK154" s="436"/>
      <c r="DL154" s="426"/>
      <c r="DM154" s="234"/>
      <c r="DN154" s="436"/>
      <c r="DO154" s="426"/>
      <c r="DP154" s="425"/>
      <c r="DQ154" s="580"/>
      <c r="DR154" s="426"/>
      <c r="DS154" s="425"/>
      <c r="DT154" s="580"/>
      <c r="DU154" s="426"/>
      <c r="DV154" s="425"/>
      <c r="DW154" s="580"/>
      <c r="DX154" s="426"/>
      <c r="DY154" s="580"/>
      <c r="DZ154" s="580"/>
      <c r="EA154" s="426"/>
      <c r="EB154" s="580"/>
      <c r="EC154" s="580"/>
      <c r="ED154" s="426"/>
      <c r="EE154" s="580"/>
      <c r="EF154" s="580"/>
      <c r="EG154" s="306"/>
      <c r="EH154" s="234"/>
      <c r="EI154" s="436"/>
      <c r="EJ154" s="306"/>
      <c r="EK154" s="234"/>
      <c r="EL154" s="436"/>
      <c r="EM154" s="306"/>
      <c r="EN154" s="234"/>
      <c r="EO154" s="436"/>
      <c r="EP154" s="426"/>
      <c r="EQ154" s="234"/>
      <c r="ER154" s="436"/>
      <c r="ES154" s="426"/>
      <c r="ET154" s="234"/>
      <c r="EU154" s="436"/>
      <c r="EV154" s="820"/>
      <c r="EW154" s="234"/>
      <c r="EX154" s="436"/>
      <c r="EY154" s="426"/>
      <c r="EZ154" s="425"/>
      <c r="FA154" s="580"/>
      <c r="FB154" s="426" t="e">
        <f t="shared" si="223"/>
        <v>#DIV/0!</v>
      </c>
      <c r="FC154" s="425"/>
      <c r="FD154" s="580"/>
      <c r="FE154" s="426"/>
      <c r="FF154" s="425"/>
      <c r="FG154" s="580"/>
      <c r="FH154" s="426" t="e">
        <f t="shared" si="232"/>
        <v>#DIV/0!</v>
      </c>
      <c r="FI154" s="580"/>
      <c r="FJ154" s="580"/>
      <c r="FK154" s="426" t="e">
        <f t="shared" si="233"/>
        <v>#DIV/0!</v>
      </c>
      <c r="FL154" s="580"/>
      <c r="FM154" s="580"/>
      <c r="FN154" s="426" t="e">
        <f t="shared" si="234"/>
        <v>#DIV/0!</v>
      </c>
      <c r="FO154" s="580"/>
      <c r="FP154" s="580"/>
      <c r="FQ154" s="426" t="e">
        <f t="shared" si="224"/>
        <v>#DIV/0!</v>
      </c>
      <c r="FR154" s="580"/>
      <c r="FS154" s="580"/>
      <c r="FT154" s="426" t="e">
        <f t="shared" si="225"/>
        <v>#DIV/0!</v>
      </c>
      <c r="FU154" s="580"/>
      <c r="FV154" s="580"/>
      <c r="FW154" s="426" t="e">
        <f t="shared" si="226"/>
        <v>#DIV/0!</v>
      </c>
      <c r="FX154" s="580"/>
      <c r="FY154" s="580"/>
      <c r="FZ154" s="426" t="e">
        <f t="shared" si="227"/>
        <v>#DIV/0!</v>
      </c>
      <c r="GA154" s="580"/>
      <c r="GB154" s="580"/>
      <c r="GC154" s="426" t="e">
        <f t="shared" si="228"/>
        <v>#DIV/0!</v>
      </c>
      <c r="GD154" s="580"/>
      <c r="GE154" s="426" t="e">
        <v>#DIV/0!</v>
      </c>
      <c r="GF154" s="580"/>
      <c r="GG154" s="426" t="e">
        <f t="shared" si="229"/>
        <v>#DIV/0!</v>
      </c>
      <c r="GH154" s="580"/>
      <c r="GI154" s="426" t="e">
        <f t="shared" ref="GI154" si="255">GI121/GI136</f>
        <v>#DIV/0!</v>
      </c>
      <c r="GJ154" s="580"/>
      <c r="GK154" s="426" t="e">
        <f t="shared" ref="GK154:GM154" si="256">GK121/GK136</f>
        <v>#DIV/0!</v>
      </c>
      <c r="GL154" s="580"/>
      <c r="GM154" s="426" t="e">
        <f t="shared" si="256"/>
        <v>#DIV/0!</v>
      </c>
      <c r="GN154" s="580"/>
      <c r="GO154" s="426" t="e">
        <f t="shared" ref="GO154" si="257">GO121/GO136</f>
        <v>#DIV/0!</v>
      </c>
      <c r="GP154" s="580"/>
      <c r="GQ154" s="820" t="e">
        <f t="shared" si="238"/>
        <v>#DIV/0!</v>
      </c>
      <c r="GR154" s="580"/>
      <c r="GS154" s="580"/>
      <c r="GT154" s="820" t="e">
        <f t="shared" si="239"/>
        <v>#DIV/0!</v>
      </c>
      <c r="GU154" s="580"/>
      <c r="GV154" s="580"/>
      <c r="GW154" s="820" t="e">
        <f t="shared" si="240"/>
        <v>#DIV/0!</v>
      </c>
      <c r="GX154" s="580"/>
      <c r="GY154" s="580"/>
      <c r="GZ154" s="426" t="e">
        <f t="shared" si="241"/>
        <v>#DIV/0!</v>
      </c>
      <c r="HA154" s="580"/>
      <c r="HB154" s="580"/>
      <c r="HC154" s="426" t="e">
        <f t="shared" si="242"/>
        <v>#DIV/0!</v>
      </c>
      <c r="HD154" s="580"/>
      <c r="HE154" s="580"/>
      <c r="HF154" s="426" t="e">
        <f t="shared" si="243"/>
        <v>#DIV/0!</v>
      </c>
      <c r="HG154" s="580"/>
      <c r="HH154" s="580"/>
      <c r="HI154" s="426" t="e">
        <f t="shared" si="244"/>
        <v>#DIV/0!</v>
      </c>
      <c r="HJ154" s="580"/>
      <c r="HK154" s="580"/>
      <c r="HL154" s="426" t="e">
        <f t="shared" si="245"/>
        <v>#DIV/0!</v>
      </c>
      <c r="HM154" s="580"/>
      <c r="HN154" s="580"/>
      <c r="HO154" s="426" t="e">
        <f t="shared" si="246"/>
        <v>#DIV/0!</v>
      </c>
      <c r="HP154" s="580"/>
      <c r="HQ154" s="580"/>
      <c r="HR154" s="426" t="e">
        <f t="shared" si="247"/>
        <v>#DIV/0!</v>
      </c>
      <c r="HS154" s="580"/>
      <c r="HT154" s="580"/>
      <c r="HU154" s="426" t="e">
        <f t="shared" si="248"/>
        <v>#DIV/0!</v>
      </c>
      <c r="HV154" s="580"/>
      <c r="HW154" s="580"/>
      <c r="HX154" s="580"/>
      <c r="HY154" s="580"/>
      <c r="HZ154" s="580"/>
      <c r="IA154" s="426"/>
    </row>
    <row r="155" spans="2:235" ht="14.25" hidden="1" customHeight="1">
      <c r="B155" s="242" t="s">
        <v>456</v>
      </c>
      <c r="C155" s="242"/>
      <c r="D155" s="305"/>
      <c r="E155" s="234"/>
      <c r="F155" s="305"/>
      <c r="G155" s="283"/>
      <c r="H155" s="305"/>
      <c r="I155" s="233"/>
      <c r="J155" s="305"/>
      <c r="K155" s="233"/>
      <c r="L155" s="305"/>
      <c r="M155" s="233"/>
      <c r="N155" s="305"/>
      <c r="O155" s="233"/>
      <c r="P155" s="305"/>
      <c r="Q155" s="233"/>
      <c r="R155" s="305"/>
      <c r="S155" s="233"/>
      <c r="T155" s="305"/>
      <c r="U155" s="233"/>
      <c r="V155" s="305"/>
      <c r="W155" s="233"/>
      <c r="X155" s="305"/>
      <c r="Y155" s="233"/>
      <c r="Z155" s="305"/>
      <c r="AA155" s="233"/>
      <c r="AB155" s="305"/>
      <c r="AC155" s="233"/>
      <c r="AD155" s="305"/>
      <c r="AE155" s="233"/>
      <c r="AF155" s="305"/>
      <c r="AG155" s="233"/>
      <c r="AH155" s="305"/>
      <c r="AI155" s="233"/>
      <c r="AJ155" s="305"/>
      <c r="AK155" s="233"/>
      <c r="AL155" s="305"/>
      <c r="AM155" s="233"/>
      <c r="AN155" s="305"/>
      <c r="AO155" s="233"/>
      <c r="AP155" s="305"/>
      <c r="AQ155" s="233"/>
      <c r="AR155" s="305"/>
      <c r="AS155" s="233"/>
      <c r="AT155" s="305"/>
      <c r="AU155" s="233"/>
      <c r="AV155" s="305"/>
      <c r="AW155" s="233"/>
      <c r="AX155" s="305"/>
      <c r="AY155" s="233"/>
      <c r="AZ155" s="305"/>
      <c r="BA155" s="233"/>
      <c r="BB155" s="305"/>
      <c r="BC155" s="233"/>
      <c r="BD155" s="305"/>
      <c r="BE155" s="233"/>
      <c r="BF155" s="306"/>
      <c r="BG155" s="234"/>
      <c r="BH155" s="306"/>
      <c r="BI155" s="234"/>
      <c r="BJ155" s="306"/>
      <c r="BK155" s="234"/>
      <c r="BL155" s="306"/>
      <c r="BM155" s="234"/>
      <c r="BN155" s="306"/>
      <c r="BO155" s="234"/>
      <c r="BP155" s="306"/>
      <c r="BQ155" s="234"/>
      <c r="BR155" s="306"/>
      <c r="BS155" s="234"/>
      <c r="BT155" s="306"/>
      <c r="BU155" s="234"/>
      <c r="BV155" s="306"/>
      <c r="BW155" s="234"/>
      <c r="BX155" s="306"/>
      <c r="BY155" s="234"/>
      <c r="BZ155" s="306"/>
      <c r="CA155" s="234"/>
      <c r="CB155" s="306"/>
      <c r="CC155" s="234"/>
      <c r="CD155" s="306"/>
      <c r="CE155" s="234"/>
      <c r="CF155" s="306"/>
      <c r="CG155" s="234"/>
      <c r="CH155" s="306"/>
      <c r="CI155" s="234"/>
      <c r="CJ155" s="234"/>
      <c r="CK155" s="306"/>
      <c r="CL155" s="234"/>
      <c r="CM155" s="234"/>
      <c r="CN155" s="306"/>
      <c r="CO155" s="234"/>
      <c r="CP155" s="234"/>
      <c r="CQ155" s="306"/>
      <c r="CR155" s="234"/>
      <c r="CS155" s="234"/>
      <c r="CT155" s="306"/>
      <c r="CU155" s="234"/>
      <c r="CV155" s="198"/>
      <c r="CW155" s="306"/>
      <c r="CX155" s="234"/>
      <c r="CY155" s="436"/>
      <c r="CZ155" s="306"/>
      <c r="DA155" s="234"/>
      <c r="DB155" s="436"/>
      <c r="DC155" s="306"/>
      <c r="DD155" s="234"/>
      <c r="DE155" s="436"/>
      <c r="DF155" s="426"/>
      <c r="DG155" s="234"/>
      <c r="DH155" s="436"/>
      <c r="DI155" s="426"/>
      <c r="DJ155" s="234"/>
      <c r="DK155" s="436"/>
      <c r="DL155" s="426"/>
      <c r="DM155" s="234"/>
      <c r="DN155" s="436"/>
      <c r="DO155" s="426"/>
      <c r="DP155" s="425"/>
      <c r="DQ155" s="580"/>
      <c r="DR155" s="426"/>
      <c r="DS155" s="425"/>
      <c r="DT155" s="580"/>
      <c r="DU155" s="426"/>
      <c r="DV155" s="425"/>
      <c r="DW155" s="580"/>
      <c r="DX155" s="426"/>
      <c r="DY155" s="580"/>
      <c r="DZ155" s="580"/>
      <c r="EA155" s="426"/>
      <c r="EB155" s="580"/>
      <c r="EC155" s="580"/>
      <c r="ED155" s="426"/>
      <c r="EE155" s="580"/>
      <c r="EF155" s="580"/>
      <c r="EG155" s="306"/>
      <c r="EH155" s="234"/>
      <c r="EI155" s="436"/>
      <c r="EJ155" s="306"/>
      <c r="EK155" s="234"/>
      <c r="EL155" s="436"/>
      <c r="EM155" s="306"/>
      <c r="EN155" s="234"/>
      <c r="EO155" s="436"/>
      <c r="EP155" s="426"/>
      <c r="EQ155" s="234"/>
      <c r="ER155" s="436"/>
      <c r="ES155" s="426"/>
      <c r="ET155" s="234"/>
      <c r="EU155" s="436"/>
      <c r="EV155" s="820"/>
      <c r="EW155" s="234"/>
      <c r="EX155" s="436"/>
      <c r="EY155" s="426"/>
      <c r="EZ155" s="425"/>
      <c r="FA155" s="580"/>
      <c r="FB155" s="426" t="e">
        <f t="shared" si="223"/>
        <v>#DIV/0!</v>
      </c>
      <c r="FC155" s="425"/>
      <c r="FD155" s="580"/>
      <c r="FE155" s="426"/>
      <c r="FF155" s="425"/>
      <c r="FG155" s="580"/>
      <c r="FH155" s="426" t="e">
        <f t="shared" si="232"/>
        <v>#DIV/0!</v>
      </c>
      <c r="FI155" s="580"/>
      <c r="FJ155" s="580"/>
      <c r="FK155" s="426" t="e">
        <f t="shared" si="233"/>
        <v>#DIV/0!</v>
      </c>
      <c r="FL155" s="580"/>
      <c r="FM155" s="580"/>
      <c r="FN155" s="426" t="e">
        <f t="shared" si="234"/>
        <v>#DIV/0!</v>
      </c>
      <c r="FO155" s="580"/>
      <c r="FP155" s="580"/>
      <c r="FQ155" s="426" t="e">
        <f t="shared" si="224"/>
        <v>#DIV/0!</v>
      </c>
      <c r="FR155" s="580"/>
      <c r="FS155" s="580"/>
      <c r="FT155" s="426" t="e">
        <f t="shared" si="225"/>
        <v>#DIV/0!</v>
      </c>
      <c r="FU155" s="580"/>
      <c r="FV155" s="580"/>
      <c r="FW155" s="426" t="e">
        <f t="shared" si="226"/>
        <v>#DIV/0!</v>
      </c>
      <c r="FX155" s="580"/>
      <c r="FY155" s="580"/>
      <c r="FZ155" s="426" t="e">
        <f t="shared" si="227"/>
        <v>#DIV/0!</v>
      </c>
      <c r="GA155" s="580"/>
      <c r="GB155" s="580"/>
      <c r="GC155" s="426" t="e">
        <f t="shared" si="228"/>
        <v>#DIV/0!</v>
      </c>
      <c r="GD155" s="580"/>
      <c r="GE155" s="426" t="e">
        <v>#DIV/0!</v>
      </c>
      <c r="GF155" s="580"/>
      <c r="GG155" s="426" t="e">
        <f t="shared" si="229"/>
        <v>#DIV/0!</v>
      </c>
      <c r="GH155" s="580"/>
      <c r="GI155" s="426" t="e">
        <f t="shared" ref="GI155" si="258">GI122/GI137</f>
        <v>#DIV/0!</v>
      </c>
      <c r="GJ155" s="580"/>
      <c r="GK155" s="426" t="e">
        <f t="shared" ref="GK155:GM155" si="259">GK122/GK137</f>
        <v>#DIV/0!</v>
      </c>
      <c r="GL155" s="580"/>
      <c r="GM155" s="426" t="e">
        <f t="shared" si="259"/>
        <v>#DIV/0!</v>
      </c>
      <c r="GN155" s="580"/>
      <c r="GO155" s="426" t="e">
        <f t="shared" ref="GO155" si="260">GO122/GO137</f>
        <v>#DIV/0!</v>
      </c>
      <c r="GP155" s="580"/>
      <c r="GQ155" s="820" t="e">
        <f t="shared" si="238"/>
        <v>#DIV/0!</v>
      </c>
      <c r="GR155" s="580"/>
      <c r="GS155" s="580"/>
      <c r="GT155" s="820" t="e">
        <f t="shared" si="239"/>
        <v>#DIV/0!</v>
      </c>
      <c r="GU155" s="580"/>
      <c r="GV155" s="580"/>
      <c r="GW155" s="820" t="e">
        <f t="shared" si="240"/>
        <v>#DIV/0!</v>
      </c>
      <c r="GX155" s="580"/>
      <c r="GY155" s="580"/>
      <c r="GZ155" s="426" t="e">
        <f t="shared" si="241"/>
        <v>#DIV/0!</v>
      </c>
      <c r="HA155" s="580"/>
      <c r="HB155" s="580"/>
      <c r="HC155" s="426" t="e">
        <f t="shared" si="242"/>
        <v>#DIV/0!</v>
      </c>
      <c r="HD155" s="580"/>
      <c r="HE155" s="580"/>
      <c r="HF155" s="426" t="e">
        <f t="shared" si="243"/>
        <v>#DIV/0!</v>
      </c>
      <c r="HG155" s="580"/>
      <c r="HH155" s="580"/>
      <c r="HI155" s="426" t="e">
        <f t="shared" si="244"/>
        <v>#DIV/0!</v>
      </c>
      <c r="HJ155" s="580"/>
      <c r="HK155" s="580"/>
      <c r="HL155" s="426" t="e">
        <f t="shared" si="245"/>
        <v>#DIV/0!</v>
      </c>
      <c r="HM155" s="580"/>
      <c r="HN155" s="580"/>
      <c r="HO155" s="426" t="e">
        <f t="shared" si="246"/>
        <v>#DIV/0!</v>
      </c>
      <c r="HP155" s="580"/>
      <c r="HQ155" s="580"/>
      <c r="HR155" s="426" t="e">
        <f t="shared" si="247"/>
        <v>#DIV/0!</v>
      </c>
      <c r="HS155" s="580"/>
      <c r="HT155" s="580"/>
      <c r="HU155" s="426" t="e">
        <f t="shared" si="248"/>
        <v>#DIV/0!</v>
      </c>
      <c r="HV155" s="580"/>
      <c r="HW155" s="580"/>
      <c r="HX155" s="580"/>
      <c r="HY155" s="580"/>
      <c r="HZ155" s="580"/>
      <c r="IA155" s="426"/>
    </row>
    <row r="156" spans="2:235" ht="14.25" customHeight="1">
      <c r="B156" s="242" t="s">
        <v>447</v>
      </c>
      <c r="C156" s="242"/>
      <c r="D156" s="295">
        <v>210000</v>
      </c>
      <c r="E156" s="234"/>
      <c r="F156" s="316">
        <v>295000</v>
      </c>
      <c r="G156" s="283"/>
      <c r="H156" s="316">
        <v>246666.66666666666</v>
      </c>
      <c r="I156" s="233"/>
      <c r="J156" s="316">
        <v>199000</v>
      </c>
      <c r="K156" s="233"/>
      <c r="L156" s="316">
        <v>204444.44444444444</v>
      </c>
      <c r="M156" s="233"/>
      <c r="N156" s="316">
        <f>+N123/N138</f>
        <v>312500</v>
      </c>
      <c r="O156" s="233"/>
      <c r="P156" s="316" t="e">
        <f>+P123/P138</f>
        <v>#REF!</v>
      </c>
      <c r="Q156" s="233"/>
      <c r="R156" s="316" t="e">
        <f>+R123/R138</f>
        <v>#REF!</v>
      </c>
      <c r="S156" s="233"/>
      <c r="T156" s="316" t="e">
        <f>+T123/T138</f>
        <v>#REF!</v>
      </c>
      <c r="U156" s="233"/>
      <c r="V156" s="316" t="e">
        <f>+V123/V138</f>
        <v>#REF!</v>
      </c>
      <c r="W156" s="233"/>
      <c r="X156" s="316" t="e">
        <f>+X123/X138</f>
        <v>#REF!</v>
      </c>
      <c r="Y156" s="233"/>
      <c r="Z156" s="316" t="e">
        <f>+Z123/Z138</f>
        <v>#REF!</v>
      </c>
      <c r="AA156" s="233"/>
      <c r="AB156" s="316" t="e">
        <f>+AB123/AB138</f>
        <v>#REF!</v>
      </c>
      <c r="AC156" s="233"/>
      <c r="AD156" s="316" t="e">
        <f>+AD123/AD138</f>
        <v>#REF!</v>
      </c>
      <c r="AE156" s="233"/>
      <c r="AF156" s="305" t="e">
        <f>+AF123/AF138</f>
        <v>#REF!</v>
      </c>
      <c r="AG156" s="233"/>
      <c r="AH156" s="305" t="e">
        <f>+AH123/AH138</f>
        <v>#REF!</v>
      </c>
      <c r="AI156" s="233"/>
      <c r="AJ156" s="305">
        <f>+AJ123/AJ138</f>
        <v>404762.09428571432</v>
      </c>
      <c r="AK156" s="233"/>
      <c r="AL156" s="305" t="e">
        <f>+AL123/AL138</f>
        <v>#REF!</v>
      </c>
      <c r="AM156" s="233"/>
      <c r="AN156" s="305" t="e">
        <f>+AN123/AN138</f>
        <v>#REF!</v>
      </c>
      <c r="AO156" s="233"/>
      <c r="AP156" s="305" t="e">
        <f>+AP123/AP138</f>
        <v>#REF!</v>
      </c>
      <c r="AQ156" s="233"/>
      <c r="AR156" s="305" t="e">
        <f>+AR123/AR138</f>
        <v>#REF!</v>
      </c>
      <c r="AS156" s="233"/>
      <c r="AT156" s="305">
        <v>480405.554</v>
      </c>
      <c r="AU156" s="233"/>
      <c r="AV156" s="305" t="e">
        <f>+AV123/AV138</f>
        <v>#REF!</v>
      </c>
      <c r="AW156" s="233"/>
      <c r="AX156" s="305" t="e">
        <f>+AX123/AX138</f>
        <v>#REF!</v>
      </c>
      <c r="AY156" s="233"/>
      <c r="AZ156" s="305" t="e">
        <f>+AZ123/AZ138</f>
        <v>#REF!</v>
      </c>
      <c r="BA156" s="233"/>
      <c r="BB156" s="305" t="e">
        <f>+BB123/BB138</f>
        <v>#REF!</v>
      </c>
      <c r="BC156" s="233"/>
      <c r="BD156" s="305" t="e">
        <f>+BD123/BD138</f>
        <v>#REF!</v>
      </c>
      <c r="BE156" s="233"/>
      <c r="BF156" s="306" t="e">
        <f>+BF123/BF138</f>
        <v>#REF!</v>
      </c>
      <c r="BG156" s="234"/>
      <c r="BH156" s="306">
        <f>+BH123/BH138</f>
        <v>616666.66666666663</v>
      </c>
      <c r="BI156" s="234"/>
      <c r="BJ156" s="306">
        <f>+BJ123/BJ138</f>
        <v>100000</v>
      </c>
      <c r="BK156" s="234"/>
      <c r="BL156" s="306">
        <f>+BL123/BL138</f>
        <v>414050.01500000001</v>
      </c>
      <c r="BM156" s="234"/>
      <c r="BN156" s="306">
        <f>+BN123/BN138</f>
        <v>100000</v>
      </c>
      <c r="BO156" s="234"/>
      <c r="BP156" s="306">
        <f>+BP123/BP138</f>
        <v>574166.69500000007</v>
      </c>
      <c r="BQ156" s="234"/>
      <c r="BR156" s="306">
        <f>+BR123/BR138</f>
        <v>633218.75</v>
      </c>
      <c r="BS156" s="234"/>
      <c r="BT156" s="306">
        <f>+BT123/BT138</f>
        <v>511451.48857142864</v>
      </c>
      <c r="BU156" s="234"/>
      <c r="BV156" s="306">
        <f>+BV123/BV138</f>
        <v>626715.96</v>
      </c>
      <c r="BW156" s="234"/>
      <c r="BX156" s="306">
        <f>+BX123/BX138</f>
        <v>733444.44800000009</v>
      </c>
      <c r="BY156" s="234"/>
      <c r="BZ156" s="306">
        <f>+BZ123/BZ138</f>
        <v>485765.00600000005</v>
      </c>
      <c r="CA156" s="234"/>
      <c r="CB156" s="306">
        <f>+CB123/CB138</f>
        <v>303462.96666666667</v>
      </c>
      <c r="CC156" s="234"/>
      <c r="CD156" s="306">
        <f>+CD123/CD138</f>
        <v>574735.79500000004</v>
      </c>
      <c r="CE156" s="234"/>
      <c r="CF156" s="306">
        <f>+CF123/CF138</f>
        <v>357275.00750000001</v>
      </c>
      <c r="CG156" s="234"/>
      <c r="CH156" s="306">
        <f>+CH123/CH138</f>
        <v>431631.54733333335</v>
      </c>
      <c r="CI156" s="234"/>
      <c r="CJ156" s="234"/>
      <c r="CK156" s="306">
        <f>+CK123/CK138</f>
        <v>501000.97999999992</v>
      </c>
      <c r="CL156" s="234"/>
      <c r="CM156" s="234"/>
      <c r="CN156" s="306">
        <f>+CN123/CN138</f>
        <v>240760</v>
      </c>
      <c r="CO156" s="234"/>
      <c r="CP156" s="234"/>
      <c r="CQ156" s="306">
        <f>+CQ123/CQ138</f>
        <v>934114.57374999998</v>
      </c>
      <c r="CR156" s="234"/>
      <c r="CS156" s="234"/>
      <c r="CT156" s="306">
        <f>+CT123/CT138</f>
        <v>400969.32500000001</v>
      </c>
      <c r="CU156" s="234"/>
      <c r="CV156" s="198"/>
      <c r="CW156" s="306">
        <f t="shared" ref="CW156:CZ158" si="261">+CW123/CW138</f>
        <v>430444.56428571424</v>
      </c>
      <c r="CX156" s="234"/>
      <c r="CY156" s="436"/>
      <c r="CZ156" s="306">
        <f t="shared" si="261"/>
        <v>617058.33299999998</v>
      </c>
      <c r="DA156" s="234"/>
      <c r="DB156" s="436"/>
      <c r="DC156" s="306">
        <f>+DC123/DC138</f>
        <v>370334.02750000003</v>
      </c>
      <c r="DD156" s="234"/>
      <c r="DE156" s="436"/>
      <c r="DF156" s="426">
        <f>+DF123/DF138</f>
        <v>664997.91374999995</v>
      </c>
      <c r="DG156" s="234"/>
      <c r="DH156" s="436"/>
      <c r="DI156" s="426">
        <f>+DI123/DI138</f>
        <v>395004.63222222222</v>
      </c>
      <c r="DJ156" s="234"/>
      <c r="DK156" s="436"/>
      <c r="DL156" s="426">
        <f>+DL123/DL138</f>
        <v>470063.49642857135</v>
      </c>
      <c r="DM156" s="234"/>
      <c r="DN156" s="436"/>
      <c r="DO156" s="426">
        <f>+DO123/DO138</f>
        <v>438187.30777777778</v>
      </c>
      <c r="DP156" s="425"/>
      <c r="DQ156" s="580"/>
      <c r="DR156" s="426">
        <v>557884.6123076923</v>
      </c>
      <c r="DS156" s="425"/>
      <c r="DT156" s="580"/>
      <c r="DU156" s="426">
        <v>574217.01571428566</v>
      </c>
      <c r="DV156" s="425"/>
      <c r="DW156" s="580"/>
      <c r="DX156" s="426">
        <v>280942.30769230769</v>
      </c>
      <c r="DY156" s="580"/>
      <c r="DZ156" s="580"/>
      <c r="EA156" s="426">
        <v>339583.33624999999</v>
      </c>
      <c r="EB156" s="580"/>
      <c r="EC156" s="580"/>
      <c r="ED156" s="426">
        <f>ED123/ED138</f>
        <v>423353.7989473684</v>
      </c>
      <c r="EE156" s="580"/>
      <c r="EF156" s="580"/>
      <c r="EG156" s="306">
        <v>806710.9604000001</v>
      </c>
      <c r="EH156" s="234"/>
      <c r="EI156" s="436"/>
      <c r="EJ156" s="306">
        <f>+EJ123/EJ138</f>
        <v>319005.77812500001</v>
      </c>
      <c r="EK156" s="234"/>
      <c r="EL156" s="436"/>
      <c r="EM156" s="306">
        <f>+EM123/EM138</f>
        <v>486922.10575757571</v>
      </c>
      <c r="EN156" s="234"/>
      <c r="EO156" s="436"/>
      <c r="EP156" s="426">
        <f>+EP123/EP138</f>
        <v>392084.41826086951</v>
      </c>
      <c r="EQ156" s="234"/>
      <c r="ER156" s="436"/>
      <c r="ES156" s="426">
        <f>+ES123/ES138</f>
        <v>802388.09809523821</v>
      </c>
      <c r="ET156" s="234"/>
      <c r="EU156" s="436"/>
      <c r="EV156" s="820">
        <f>+EV123/EV138</f>
        <v>715239.79886363645</v>
      </c>
      <c r="EW156" s="234"/>
      <c r="EX156" s="436"/>
      <c r="EY156" s="426">
        <f>+EY123/EY138</f>
        <v>529150.78444444435</v>
      </c>
      <c r="EZ156" s="425"/>
      <c r="FA156" s="580"/>
      <c r="FB156" s="426">
        <f t="shared" si="223"/>
        <v>621152.08333333337</v>
      </c>
      <c r="FC156" s="425"/>
      <c r="FD156" s="580"/>
      <c r="FE156" s="426">
        <v>574217.01571428566</v>
      </c>
      <c r="FF156" s="425"/>
      <c r="FG156" s="580"/>
      <c r="FH156" s="426">
        <f t="shared" si="232"/>
        <v>479957.17490566045</v>
      </c>
      <c r="FI156" s="580"/>
      <c r="FJ156" s="580"/>
      <c r="FK156" s="426">
        <f t="shared" si="233"/>
        <v>520957.34162162174</v>
      </c>
      <c r="FL156" s="580"/>
      <c r="FM156" s="580"/>
      <c r="FN156" s="426">
        <f t="shared" si="234"/>
        <v>392107.28859649121</v>
      </c>
      <c r="FO156" s="580"/>
      <c r="FP156" s="580"/>
      <c r="FQ156" s="426">
        <f t="shared" si="224"/>
        <v>351882.82937499997</v>
      </c>
      <c r="FR156" s="580"/>
      <c r="FS156" s="580"/>
      <c r="FT156" s="426">
        <f t="shared" si="225"/>
        <v>317333.33525</v>
      </c>
      <c r="FU156" s="580"/>
      <c r="FV156" s="580"/>
      <c r="FW156" s="426">
        <f t="shared" si="226"/>
        <v>449443.09757575759</v>
      </c>
      <c r="FX156" s="580"/>
      <c r="FY156" s="580"/>
      <c r="FZ156" s="426">
        <f t="shared" si="227"/>
        <v>438450.00285714288</v>
      </c>
      <c r="GA156" s="580"/>
      <c r="GB156" s="580"/>
      <c r="GC156" s="426">
        <f t="shared" si="228"/>
        <v>368279.0845714286</v>
      </c>
      <c r="GD156" s="580"/>
      <c r="GE156" s="426">
        <v>368611.11111111112</v>
      </c>
      <c r="GF156" s="580"/>
      <c r="GG156" s="426">
        <f t="shared" si="229"/>
        <v>292566.34052631579</v>
      </c>
      <c r="GH156" s="580"/>
      <c r="GI156" s="426">
        <f t="shared" ref="GI156" si="262">GI123/GI138</f>
        <v>330831.38961538463</v>
      </c>
      <c r="GJ156" s="580"/>
      <c r="GK156" s="426">
        <f t="shared" ref="GK156:GM156" si="263">GK123/GK138</f>
        <v>270223.21535714285</v>
      </c>
      <c r="GL156" s="580"/>
      <c r="GM156" s="426">
        <f t="shared" si="263"/>
        <v>237750</v>
      </c>
      <c r="GN156" s="580"/>
      <c r="GO156" s="426">
        <f t="shared" ref="GO156" si="264">GO123/GO138</f>
        <v>248213.14076923078</v>
      </c>
      <c r="GP156" s="580"/>
      <c r="GQ156" s="820">
        <f t="shared" si="238"/>
        <v>259594.1676923077</v>
      </c>
      <c r="GR156" s="580"/>
      <c r="GS156" s="580"/>
      <c r="GT156" s="820">
        <f t="shared" si="239"/>
        <v>254134.61769230769</v>
      </c>
      <c r="GU156" s="580"/>
      <c r="GV156" s="580"/>
      <c r="GW156" s="820">
        <f t="shared" si="240"/>
        <v>264033.05894736841</v>
      </c>
      <c r="GX156" s="580"/>
      <c r="GY156" s="580"/>
      <c r="GZ156" s="426">
        <f t="shared" si="241"/>
        <v>358620.8336111111</v>
      </c>
      <c r="HA156" s="580"/>
      <c r="HB156" s="580"/>
      <c r="HC156" s="426">
        <f t="shared" si="242"/>
        <v>213339.06156249999</v>
      </c>
      <c r="HD156" s="580"/>
      <c r="HE156" s="580"/>
      <c r="HF156" s="426">
        <f t="shared" si="243"/>
        <v>309844.13250000001</v>
      </c>
      <c r="HG156" s="580"/>
      <c r="HH156" s="580"/>
      <c r="HI156" s="426">
        <f t="shared" si="244"/>
        <v>367502.15258064517</v>
      </c>
      <c r="HJ156" s="580"/>
      <c r="HK156" s="580"/>
      <c r="HL156" s="426">
        <f t="shared" si="245"/>
        <v>204725.01285714286</v>
      </c>
      <c r="HM156" s="580"/>
      <c r="HN156" s="580"/>
      <c r="HO156" s="426">
        <f t="shared" si="246"/>
        <v>256982.61806451614</v>
      </c>
      <c r="HP156" s="580"/>
      <c r="HQ156" s="580"/>
      <c r="HR156" s="426">
        <f t="shared" si="247"/>
        <v>256982.61806451614</v>
      </c>
      <c r="HS156" s="580"/>
      <c r="HT156" s="580"/>
      <c r="HU156" s="426">
        <f t="shared" si="248"/>
        <v>256982.61806451614</v>
      </c>
      <c r="HV156" s="580"/>
      <c r="HW156" s="580"/>
      <c r="HX156" s="580"/>
      <c r="HY156" s="580"/>
      <c r="HZ156" s="580"/>
      <c r="IA156" s="426">
        <f>IA123/IA138</f>
        <v>423353.7989473684</v>
      </c>
    </row>
    <row r="157" spans="2:235" ht="14.25" customHeight="1">
      <c r="B157" s="324" t="s">
        <v>457</v>
      </c>
      <c r="C157" s="324"/>
      <c r="D157" s="297"/>
      <c r="E157" s="233"/>
      <c r="F157" s="317"/>
      <c r="G157" s="333"/>
      <c r="H157" s="317"/>
      <c r="I157" s="233"/>
      <c r="J157" s="317"/>
      <c r="K157" s="233"/>
      <c r="L157" s="317"/>
      <c r="M157" s="233"/>
      <c r="N157" s="317"/>
      <c r="O157" s="233"/>
      <c r="P157" s="317"/>
      <c r="Q157" s="233"/>
      <c r="R157" s="317"/>
      <c r="S157" s="233"/>
      <c r="T157" s="317"/>
      <c r="U157" s="233"/>
      <c r="V157" s="317"/>
      <c r="W157" s="233"/>
      <c r="X157" s="317"/>
      <c r="Y157" s="233"/>
      <c r="Z157" s="317"/>
      <c r="AA157" s="233"/>
      <c r="AB157" s="317"/>
      <c r="AC157" s="233"/>
      <c r="AD157" s="317"/>
      <c r="AE157" s="233"/>
      <c r="AF157" s="305"/>
      <c r="AG157" s="233"/>
      <c r="AH157" s="305"/>
      <c r="AI157" s="233"/>
      <c r="AJ157" s="305"/>
      <c r="AK157" s="233"/>
      <c r="AL157" s="305"/>
      <c r="AM157" s="233"/>
      <c r="AN157" s="305"/>
      <c r="AO157" s="233"/>
      <c r="AP157" s="305"/>
      <c r="AQ157" s="233"/>
      <c r="AR157" s="305"/>
      <c r="AS157" s="233"/>
      <c r="AT157" s="305"/>
      <c r="AU157" s="233"/>
      <c r="AV157" s="305"/>
      <c r="AW157" s="233"/>
      <c r="AX157" s="305"/>
      <c r="AY157" s="233"/>
      <c r="AZ157" s="305"/>
      <c r="BA157" s="233"/>
      <c r="BB157" s="305"/>
      <c r="BC157" s="233"/>
      <c r="BD157" s="305"/>
      <c r="BE157" s="233"/>
      <c r="BF157" s="305"/>
      <c r="BG157" s="233"/>
      <c r="BH157" s="305"/>
      <c r="BI157" s="233"/>
      <c r="BJ157" s="305"/>
      <c r="BK157" s="233"/>
      <c r="BL157" s="305"/>
      <c r="BM157" s="233"/>
      <c r="BN157" s="305"/>
      <c r="BO157" s="233"/>
      <c r="BP157" s="305"/>
      <c r="BQ157" s="233"/>
      <c r="BR157" s="305"/>
      <c r="BS157" s="233"/>
      <c r="BT157" s="306">
        <f>+BT124/BT139</f>
        <v>563333.33333333337</v>
      </c>
      <c r="BU157" s="233"/>
      <c r="BV157" s="306">
        <f>+BV124/BV139</f>
        <v>193750</v>
      </c>
      <c r="BW157" s="233"/>
      <c r="BX157" s="306">
        <f>+BX124/BX139</f>
        <v>235096.15384615384</v>
      </c>
      <c r="BY157" s="234"/>
      <c r="BZ157" s="306">
        <f>+BZ124/BZ139</f>
        <v>139662.57394736842</v>
      </c>
      <c r="CA157" s="234"/>
      <c r="CB157" s="306">
        <f>+CB124/CB139</f>
        <v>174509.5830769231</v>
      </c>
      <c r="CC157" s="234"/>
      <c r="CD157" s="306">
        <f>+CD124/CD139</f>
        <v>153953.125</v>
      </c>
      <c r="CE157" s="234"/>
      <c r="CF157" s="306">
        <f>+CF124/CF139</f>
        <v>161087.88166666665</v>
      </c>
      <c r="CG157" s="234"/>
      <c r="CH157" s="306">
        <f>+CH124/CH139</f>
        <v>108559.80967032966</v>
      </c>
      <c r="CI157" s="233"/>
      <c r="CJ157" s="233"/>
      <c r="CK157" s="306">
        <f>+CK124/CK139</f>
        <v>123920.736953125</v>
      </c>
      <c r="CL157" s="233"/>
      <c r="CM157" s="233"/>
      <c r="CN157" s="306">
        <f>+CN124/CN139</f>
        <v>90278.705461538455</v>
      </c>
      <c r="CO157" s="233"/>
      <c r="CP157" s="233"/>
      <c r="CQ157" s="306">
        <f>+CQ124/CQ139</f>
        <v>105018.01481707318</v>
      </c>
      <c r="CR157" s="233"/>
      <c r="CS157" s="233"/>
      <c r="CT157" s="306">
        <f>+CT124/CT139</f>
        <v>137609.66578231292</v>
      </c>
      <c r="CU157" s="233"/>
      <c r="CV157" s="198"/>
      <c r="CW157" s="306">
        <f t="shared" si="261"/>
        <v>107449.72612334801</v>
      </c>
      <c r="CX157" s="233"/>
      <c r="CY157" s="233"/>
      <c r="CZ157" s="306">
        <f t="shared" si="261"/>
        <v>163049.78892561985</v>
      </c>
      <c r="DA157" s="233"/>
      <c r="DB157" s="233"/>
      <c r="DC157" s="306">
        <f>+DC124/DC139</f>
        <v>128520.0363681592</v>
      </c>
      <c r="DD157" s="233"/>
      <c r="DE157" s="233"/>
      <c r="DF157" s="426">
        <f>+DF124/DF139</f>
        <v>118134.44482758621</v>
      </c>
      <c r="DG157" s="233"/>
      <c r="DH157" s="233"/>
      <c r="DI157" s="426">
        <f>+DI124/DI139</f>
        <v>107071.52031372547</v>
      </c>
      <c r="DJ157" s="233"/>
      <c r="DK157" s="233"/>
      <c r="DL157" s="426">
        <f>+DL124/DL139</f>
        <v>145526.12384146341</v>
      </c>
      <c r="DM157" s="233"/>
      <c r="DN157" s="233"/>
      <c r="DO157" s="426">
        <f>+DO124/DO139</f>
        <v>119580.20593607302</v>
      </c>
      <c r="DP157" s="233"/>
      <c r="DQ157" s="233"/>
      <c r="DR157" s="426">
        <v>109934.50041509436</v>
      </c>
      <c r="DS157" s="233"/>
      <c r="DT157" s="233"/>
      <c r="DU157" s="426">
        <v>128394.83557003261</v>
      </c>
      <c r="DV157" s="233"/>
      <c r="DW157" s="233"/>
      <c r="DX157" s="426">
        <v>141401.31268041235</v>
      </c>
      <c r="DY157" s="233"/>
      <c r="DZ157" s="233"/>
      <c r="EA157" s="426">
        <v>130504.06451737451</v>
      </c>
      <c r="EB157" s="233"/>
      <c r="EC157" s="233"/>
      <c r="ED157" s="426">
        <f>ED124/ED139</f>
        <v>143374.5870044053</v>
      </c>
      <c r="EE157" s="233"/>
      <c r="EF157" s="233"/>
      <c r="EG157" s="306">
        <v>117538.53287925696</v>
      </c>
      <c r="EH157" s="233"/>
      <c r="EI157" s="233"/>
      <c r="EJ157" s="306">
        <f>+EJ124/EJ139</f>
        <v>135209.65368794321</v>
      </c>
      <c r="EK157" s="233"/>
      <c r="EL157" s="233"/>
      <c r="EM157" s="306">
        <f>+EM124/EM139</f>
        <v>127433.29459459458</v>
      </c>
      <c r="EN157" s="233"/>
      <c r="EO157" s="233"/>
      <c r="EP157" s="426">
        <f>+EP124/EP139</f>
        <v>91792.805879629625</v>
      </c>
      <c r="EQ157" s="233"/>
      <c r="ER157" s="233"/>
      <c r="ES157" s="426">
        <f>+ES124/ES139</f>
        <v>86978.342542016806</v>
      </c>
      <c r="ET157" s="233"/>
      <c r="EU157" s="233"/>
      <c r="EV157" s="820">
        <f>+EV124/EV139</f>
        <v>97918.433384912991</v>
      </c>
      <c r="EW157" s="233"/>
      <c r="EX157" s="233"/>
      <c r="EY157" s="426">
        <f>+EY124/EY139</f>
        <v>101421.69807980048</v>
      </c>
      <c r="EZ157" s="233"/>
      <c r="FA157" s="233"/>
      <c r="FB157" s="426">
        <f t="shared" si="223"/>
        <v>101178.61213438738</v>
      </c>
      <c r="FC157" s="233"/>
      <c r="FD157" s="233"/>
      <c r="FE157" s="426">
        <v>128394.83557003261</v>
      </c>
      <c r="FF157" s="233"/>
      <c r="FG157" s="233"/>
      <c r="FH157" s="426">
        <f t="shared" si="232"/>
        <v>110477.52653763439</v>
      </c>
      <c r="FI157" s="233"/>
      <c r="FJ157" s="233"/>
      <c r="FK157" s="426">
        <f t="shared" si="233"/>
        <v>104618.10143072293</v>
      </c>
      <c r="FL157" s="233"/>
      <c r="FM157" s="233"/>
      <c r="FN157" s="426">
        <f t="shared" si="234"/>
        <v>103422.40801223242</v>
      </c>
      <c r="FO157" s="233"/>
      <c r="FP157" s="233"/>
      <c r="FQ157" s="426">
        <f t="shared" si="224"/>
        <v>99490.212338204583</v>
      </c>
      <c r="FR157" s="233"/>
      <c r="FS157" s="233"/>
      <c r="FT157" s="426">
        <f t="shared" si="225"/>
        <v>106066.2356638655</v>
      </c>
      <c r="FU157" s="233"/>
      <c r="FV157" s="233"/>
      <c r="FW157" s="426">
        <f t="shared" si="226"/>
        <v>100044.54838129498</v>
      </c>
      <c r="FX157" s="233"/>
      <c r="FY157" s="233"/>
      <c r="FZ157" s="426">
        <f t="shared" si="227"/>
        <v>103256.5502290076</v>
      </c>
      <c r="GA157" s="233"/>
      <c r="GB157" s="233"/>
      <c r="GC157" s="426">
        <f t="shared" si="228"/>
        <v>85964.057231467465</v>
      </c>
      <c r="GD157" s="233"/>
      <c r="GE157" s="426">
        <v>105467.0081563126</v>
      </c>
      <c r="GF157" s="233"/>
      <c r="GG157" s="426">
        <f t="shared" si="229"/>
        <v>107031.11662921353</v>
      </c>
      <c r="GH157" s="233"/>
      <c r="GI157" s="426">
        <f t="shared" ref="GI157" si="265">GI124/GI139</f>
        <v>97274.844936886395</v>
      </c>
      <c r="GJ157" s="233"/>
      <c r="GK157" s="426">
        <f t="shared" ref="GK157:GM157" si="266">GK124/GK139</f>
        <v>85678.148734756105</v>
      </c>
      <c r="GL157" s="233"/>
      <c r="GM157" s="426">
        <f t="shared" si="266"/>
        <v>98183.166063432815</v>
      </c>
      <c r="GN157" s="233"/>
      <c r="GO157" s="426">
        <f t="shared" ref="GO157" si="267">GO124/GO139</f>
        <v>97266.327482517401</v>
      </c>
      <c r="GP157" s="233"/>
      <c r="GQ157" s="820">
        <f t="shared" si="238"/>
        <v>109111.93006382979</v>
      </c>
      <c r="GR157" s="233"/>
      <c r="GS157" s="233"/>
      <c r="GT157" s="820">
        <f t="shared" si="239"/>
        <v>100116.82508078989</v>
      </c>
      <c r="GU157" s="233"/>
      <c r="GV157" s="233"/>
      <c r="GW157" s="820">
        <f t="shared" si="240"/>
        <v>120493.85626692459</v>
      </c>
      <c r="GX157" s="233"/>
      <c r="GY157" s="233"/>
      <c r="GZ157" s="426">
        <f t="shared" si="241"/>
        <v>111887.39795604396</v>
      </c>
      <c r="HA157" s="233"/>
      <c r="HB157" s="233"/>
      <c r="HC157" s="426">
        <f t="shared" si="242"/>
        <v>106086.82953379952</v>
      </c>
      <c r="HD157" s="233"/>
      <c r="HE157" s="233"/>
      <c r="HF157" s="426">
        <f t="shared" si="243"/>
        <v>105597.79773388774</v>
      </c>
      <c r="HG157" s="233"/>
      <c r="HH157" s="233"/>
      <c r="HI157" s="426">
        <f t="shared" si="244"/>
        <v>107603.75631687243</v>
      </c>
      <c r="HJ157" s="233"/>
      <c r="HK157" s="233"/>
      <c r="HL157" s="426">
        <f>HL124/HL139</f>
        <v>110102.47114478117</v>
      </c>
      <c r="HM157" s="233"/>
      <c r="HN157" s="233"/>
      <c r="HO157" s="426">
        <f>HO124/HO139</f>
        <v>115972.85767123289</v>
      </c>
      <c r="HP157" s="233"/>
      <c r="HQ157" s="233"/>
      <c r="HR157" s="426">
        <f>HR124/HR139</f>
        <v>115972.85767123289</v>
      </c>
      <c r="HS157" s="233"/>
      <c r="HT157" s="233"/>
      <c r="HU157" s="426">
        <f>HU124/HU139</f>
        <v>115972.85767123289</v>
      </c>
      <c r="HV157" s="233"/>
      <c r="HW157" s="233"/>
      <c r="HX157" s="233"/>
      <c r="HY157" s="233"/>
      <c r="HZ157" s="233"/>
      <c r="IA157" s="426">
        <f>IA124/IA139</f>
        <v>143374.5870044053</v>
      </c>
    </row>
    <row r="158" spans="2:235" ht="14.25" customHeight="1" thickBot="1">
      <c r="B158" s="242" t="s">
        <v>871</v>
      </c>
      <c r="C158" s="242"/>
      <c r="D158" s="317">
        <v>198333.33333333334</v>
      </c>
      <c r="E158" s="234"/>
      <c r="F158" s="317">
        <v>190258.97700000001</v>
      </c>
      <c r="G158" s="283"/>
      <c r="H158" s="317">
        <v>193046.92571428572</v>
      </c>
      <c r="I158" s="233"/>
      <c r="J158" s="317">
        <v>296964.28571428574</v>
      </c>
      <c r="K158" s="233"/>
      <c r="L158" s="317">
        <v>235384.61538461538</v>
      </c>
      <c r="M158" s="233"/>
      <c r="N158" s="317">
        <f>+N125/N140</f>
        <v>128246.69555555555</v>
      </c>
      <c r="O158" s="233"/>
      <c r="P158" s="317" t="e">
        <f>+P125/P140</f>
        <v>#REF!</v>
      </c>
      <c r="Q158" s="233"/>
      <c r="R158" s="317" t="e">
        <f>+R125/R140</f>
        <v>#REF!</v>
      </c>
      <c r="S158" s="233"/>
      <c r="T158" s="317" t="e">
        <f>+T125/T140</f>
        <v>#REF!</v>
      </c>
      <c r="U158" s="233"/>
      <c r="V158" s="317" t="e">
        <f>+V125/V140</f>
        <v>#REF!</v>
      </c>
      <c r="W158" s="233"/>
      <c r="X158" s="317" t="e">
        <f>+X125/X140</f>
        <v>#REF!</v>
      </c>
      <c r="Y158" s="233"/>
      <c r="Z158" s="317" t="e">
        <f>+Z125/Z140</f>
        <v>#REF!</v>
      </c>
      <c r="AA158" s="233"/>
      <c r="AB158" s="317" t="e">
        <f>+AB125/AB140</f>
        <v>#REF!</v>
      </c>
      <c r="AC158" s="233"/>
      <c r="AD158" s="317" t="e">
        <f>+AD125/AD140</f>
        <v>#REF!</v>
      </c>
      <c r="AE158" s="233"/>
      <c r="AF158" s="305" t="e">
        <f>+AF125/AF140</f>
        <v>#REF!</v>
      </c>
      <c r="AG158" s="233"/>
      <c r="AH158" s="305" t="e">
        <f>+AH125/AH140</f>
        <v>#REF!</v>
      </c>
      <c r="AI158" s="233"/>
      <c r="AJ158" s="305">
        <f>+AJ125/AJ140</f>
        <v>187653.93075</v>
      </c>
      <c r="AK158" s="233"/>
      <c r="AL158" s="305" t="e">
        <f>+AL125/AL140</f>
        <v>#REF!</v>
      </c>
      <c r="AM158" s="233"/>
      <c r="AN158" s="305" t="e">
        <f>+AN125/AN140</f>
        <v>#REF!</v>
      </c>
      <c r="AO158" s="233"/>
      <c r="AP158" s="305" t="e">
        <f>+AP125/AP140</f>
        <v>#REF!</v>
      </c>
      <c r="AQ158" s="233"/>
      <c r="AR158" s="305" t="e">
        <f>+AR125/AR140</f>
        <v>#REF!</v>
      </c>
      <c r="AS158" s="233"/>
      <c r="AT158" s="305">
        <v>153871.14677419353</v>
      </c>
      <c r="AU158" s="233"/>
      <c r="AV158" s="305" t="e">
        <f>+AV125/AV140</f>
        <v>#REF!</v>
      </c>
      <c r="AW158" s="233"/>
      <c r="AX158" s="305" t="e">
        <f>+AX125/AX140</f>
        <v>#REF!</v>
      </c>
      <c r="AY158" s="233"/>
      <c r="AZ158" s="305" t="e">
        <f>+AZ125/AZ140</f>
        <v>#REF!</v>
      </c>
      <c r="BA158" s="233"/>
      <c r="BB158" s="305" t="e">
        <f>+BB125/BB140</f>
        <v>#REF!</v>
      </c>
      <c r="BC158" s="233"/>
      <c r="BD158" s="305" t="e">
        <f>+BD125/BD140</f>
        <v>#REF!</v>
      </c>
      <c r="BE158" s="233"/>
      <c r="BF158" s="306" t="e">
        <f>+BF125/BF140</f>
        <v>#REF!</v>
      </c>
      <c r="BG158" s="234"/>
      <c r="BH158" s="306">
        <f>+BH125/BH140</f>
        <v>124802.41747747744</v>
      </c>
      <c r="BI158" s="234"/>
      <c r="BJ158" s="306">
        <f>+BJ125/BJ140</f>
        <v>186194.81341666667</v>
      </c>
      <c r="BK158" s="234"/>
      <c r="BL158" s="306">
        <f>+BL125/BL140</f>
        <v>160317.23936507932</v>
      </c>
      <c r="BM158" s="234"/>
      <c r="BN158" s="306">
        <f>+BN125/BN140</f>
        <v>135398.92140186913</v>
      </c>
      <c r="BO158" s="234"/>
      <c r="BP158" s="306">
        <f>+BP125/BP140</f>
        <v>119286.45396694215</v>
      </c>
      <c r="BQ158" s="234"/>
      <c r="BR158" s="306">
        <f>+BR125/BR140</f>
        <v>163382.12853846155</v>
      </c>
      <c r="BS158" s="234"/>
      <c r="BT158" s="306">
        <f>+BT125/BT140</f>
        <v>163983.5457342657</v>
      </c>
      <c r="BU158" s="234"/>
      <c r="BV158" s="306">
        <f>+BV125/BV140</f>
        <v>121997.15090909089</v>
      </c>
      <c r="BW158" s="234"/>
      <c r="BX158" s="306">
        <f>+BX125/BX140</f>
        <v>181300.15012820519</v>
      </c>
      <c r="BY158" s="234"/>
      <c r="BZ158" s="306">
        <f>+BZ125/BZ140</f>
        <v>111669.52563492063</v>
      </c>
      <c r="CA158" s="234"/>
      <c r="CB158" s="306">
        <f>+CB125/CB140</f>
        <v>193001.84905660377</v>
      </c>
      <c r="CC158" s="234"/>
      <c r="CD158" s="306">
        <f>+CD125/CD140</f>
        <v>208387.33108108109</v>
      </c>
      <c r="CE158" s="234"/>
      <c r="CF158" s="306">
        <f>+CF125/CF140</f>
        <v>179294.95957446808</v>
      </c>
      <c r="CG158" s="234"/>
      <c r="CH158" s="306">
        <f>+CH125/CH140</f>
        <v>186532.18968750001</v>
      </c>
      <c r="CI158" s="234"/>
      <c r="CJ158" s="234"/>
      <c r="CK158" s="306">
        <f>+CK125/CK140</f>
        <v>197443.18635761589</v>
      </c>
      <c r="CL158" s="234"/>
      <c r="CM158" s="234"/>
      <c r="CN158" s="306">
        <f>+CN125/CN140</f>
        <v>176468.29391025635</v>
      </c>
      <c r="CO158" s="234"/>
      <c r="CP158" s="234"/>
      <c r="CQ158" s="306">
        <f>+CQ125/CQ140</f>
        <v>199852.88228070168</v>
      </c>
      <c r="CR158" s="234"/>
      <c r="CS158" s="234"/>
      <c r="CT158" s="306">
        <f>+CT125/CT140</f>
        <v>202701.73072625697</v>
      </c>
      <c r="CU158" s="234"/>
      <c r="CV158" s="198"/>
      <c r="CW158" s="306">
        <f t="shared" si="261"/>
        <v>211531.61016949153</v>
      </c>
      <c r="CX158" s="234"/>
      <c r="CY158" s="436"/>
      <c r="CZ158" s="306">
        <f t="shared" si="261"/>
        <v>185757.95027624309</v>
      </c>
      <c r="DA158" s="234"/>
      <c r="DB158" s="436"/>
      <c r="DC158" s="306">
        <f>+DC125/DC140</f>
        <v>230112.58293838863</v>
      </c>
      <c r="DD158" s="234"/>
      <c r="DE158" s="436"/>
      <c r="DF158" s="426">
        <f>+DF125/DF140</f>
        <v>220194.28494623656</v>
      </c>
      <c r="DG158" s="234"/>
      <c r="DH158" s="436"/>
      <c r="DI158" s="426">
        <f>+DI125/DI140</f>
        <v>246936.79896907217</v>
      </c>
      <c r="DJ158" s="234"/>
      <c r="DK158" s="436"/>
      <c r="DL158" s="426">
        <f>+DL125/DL140</f>
        <v>268584.29775280901</v>
      </c>
      <c r="DM158" s="234"/>
      <c r="DN158" s="436"/>
      <c r="DO158" s="426">
        <f>+DO125/DO140</f>
        <v>306881.62032085564</v>
      </c>
      <c r="DP158" s="425"/>
      <c r="DQ158" s="580"/>
      <c r="DR158" s="426">
        <v>213708.0620070422</v>
      </c>
      <c r="DS158" s="425"/>
      <c r="DT158" s="580"/>
      <c r="DU158" s="426">
        <v>246655.63844380408</v>
      </c>
      <c r="DV158" s="425"/>
      <c r="DW158" s="580"/>
      <c r="DX158" s="426">
        <v>187643.26698529418</v>
      </c>
      <c r="DY158" s="580"/>
      <c r="DZ158" s="580"/>
      <c r="EA158" s="426">
        <v>223577.93947976874</v>
      </c>
      <c r="EB158" s="580"/>
      <c r="EC158" s="580"/>
      <c r="ED158" s="426">
        <f>ED125/ED140</f>
        <v>220889.37138957815</v>
      </c>
      <c r="EE158" s="580"/>
      <c r="EF158" s="580"/>
      <c r="EG158" s="306">
        <f>+EG125/EG140</f>
        <v>261665.81906250006</v>
      </c>
      <c r="EH158" s="234"/>
      <c r="EI158" s="436"/>
      <c r="EJ158" s="306">
        <f>+EJ125/EJ140</f>
        <v>232367.46694029844</v>
      </c>
      <c r="EK158" s="234"/>
      <c r="EL158" s="436"/>
      <c r="EM158" s="306">
        <f>+EM125/EM140</f>
        <v>216477.32569999999</v>
      </c>
      <c r="EN158" s="234"/>
      <c r="EO158" s="436"/>
      <c r="EP158" s="426">
        <f>+EP125/EP140</f>
        <v>223062.58121330725</v>
      </c>
      <c r="EQ158" s="234"/>
      <c r="ER158" s="436"/>
      <c r="ES158" s="426">
        <f>+ES125/ES140</f>
        <v>264707.87347107439</v>
      </c>
      <c r="ET158" s="234"/>
      <c r="EU158" s="436"/>
      <c r="EV158" s="820">
        <f>+EV125/EV140</f>
        <v>244865.63862809903</v>
      </c>
      <c r="EW158" s="234"/>
      <c r="EX158" s="436"/>
      <c r="EY158" s="426">
        <f>+EY125/EY140</f>
        <v>242481.98187604695</v>
      </c>
      <c r="EZ158" s="425"/>
      <c r="FA158" s="580"/>
      <c r="FB158" s="426">
        <f>FB125/FB140</f>
        <v>243349.97964383569</v>
      </c>
      <c r="FC158" s="425"/>
      <c r="FD158" s="580"/>
      <c r="FE158" s="426">
        <v>246655.63844380408</v>
      </c>
      <c r="FF158" s="425"/>
      <c r="FG158" s="580"/>
      <c r="FH158" s="426">
        <f>FH125/FH140</f>
        <v>211267.01450261779</v>
      </c>
      <c r="FI158" s="580"/>
      <c r="FJ158" s="580"/>
      <c r="FK158" s="426">
        <f>FK125/FK140</f>
        <v>207314.11178368138</v>
      </c>
      <c r="FL158" s="580"/>
      <c r="FM158" s="580"/>
      <c r="FN158" s="426">
        <f>FN125/FN140</f>
        <v>221554.80401446656</v>
      </c>
      <c r="FO158" s="580"/>
      <c r="FP158" s="580"/>
      <c r="FQ158" s="426">
        <f t="shared" si="224"/>
        <v>196745.10623364485</v>
      </c>
      <c r="FR158" s="580"/>
      <c r="FS158" s="580"/>
      <c r="FT158" s="426">
        <f t="shared" si="225"/>
        <v>180983.92314186253</v>
      </c>
      <c r="FU158" s="580"/>
      <c r="FV158" s="580"/>
      <c r="FW158" s="426">
        <f t="shared" si="226"/>
        <v>180108.28057958483</v>
      </c>
      <c r="FX158" s="580"/>
      <c r="FY158" s="580"/>
      <c r="FZ158" s="426">
        <f t="shared" si="227"/>
        <v>181784.67042477871</v>
      </c>
      <c r="GA158" s="580"/>
      <c r="GB158" s="580"/>
      <c r="GC158" s="426">
        <f t="shared" si="228"/>
        <v>211366.98009121098</v>
      </c>
      <c r="GD158" s="580"/>
      <c r="GE158" s="426">
        <v>163883.38344884469</v>
      </c>
      <c r="GF158" s="580"/>
      <c r="GG158" s="426">
        <f t="shared" si="229"/>
        <v>193777.38724455613</v>
      </c>
      <c r="GH158" s="580"/>
      <c r="GI158" s="426">
        <f t="shared" ref="GI158" si="268">GI125/GI140</f>
        <v>176812.71574626866</v>
      </c>
      <c r="GJ158" s="580"/>
      <c r="GK158" s="426">
        <f t="shared" ref="GK158:GM158" si="269">GK125/GK140</f>
        <v>186146.79699842024</v>
      </c>
      <c r="GL158" s="580"/>
      <c r="GM158" s="426">
        <f t="shared" si="269"/>
        <v>171636.73526473527</v>
      </c>
      <c r="GN158" s="580"/>
      <c r="GO158" s="426">
        <f t="shared" ref="GO158" si="270">GO125/GO140</f>
        <v>149583.4258720931</v>
      </c>
      <c r="GP158" s="580"/>
      <c r="GQ158" s="820">
        <f t="shared" si="238"/>
        <v>188485.95476836158</v>
      </c>
      <c r="GR158" s="580"/>
      <c r="GS158" s="580"/>
      <c r="GT158" s="820">
        <f t="shared" si="239"/>
        <v>167127.31474598931</v>
      </c>
      <c r="GU158" s="580"/>
      <c r="GV158" s="580"/>
      <c r="GW158" s="820">
        <f t="shared" si="240"/>
        <v>162653.99543526789</v>
      </c>
      <c r="GX158" s="580"/>
      <c r="GY158" s="580"/>
      <c r="GZ158" s="426">
        <f t="shared" si="241"/>
        <v>172067.42322322325</v>
      </c>
      <c r="HA158" s="580"/>
      <c r="HB158" s="580"/>
      <c r="HC158" s="426">
        <f t="shared" si="242"/>
        <v>171818.48523910734</v>
      </c>
      <c r="HD158" s="580"/>
      <c r="HE158" s="580"/>
      <c r="HF158" s="426">
        <f t="shared" si="243"/>
        <v>202729.52648535563</v>
      </c>
      <c r="HG158" s="580"/>
      <c r="HH158" s="580"/>
      <c r="HI158" s="426">
        <f t="shared" si="244"/>
        <v>184184.9082156611</v>
      </c>
      <c r="HJ158" s="580"/>
      <c r="HK158" s="580"/>
      <c r="HL158" s="426">
        <f t="shared" si="245"/>
        <v>188197.95801843322</v>
      </c>
      <c r="HM158" s="580"/>
      <c r="HN158" s="580"/>
      <c r="HO158" s="426">
        <f t="shared" si="246"/>
        <v>192579.55875291373</v>
      </c>
      <c r="HP158" s="580"/>
      <c r="HQ158" s="580"/>
      <c r="HR158" s="426">
        <f t="shared" si="247"/>
        <v>192579.55875291373</v>
      </c>
      <c r="HS158" s="580"/>
      <c r="HT158" s="580"/>
      <c r="HU158" s="426">
        <f t="shared" si="248"/>
        <v>192579.55875291373</v>
      </c>
      <c r="HV158" s="580"/>
      <c r="HW158" s="580"/>
      <c r="HX158" s="580"/>
      <c r="HY158" s="580"/>
      <c r="HZ158" s="580"/>
      <c r="IA158" s="426">
        <f>IA125/IA140</f>
        <v>220889.37138957815</v>
      </c>
    </row>
    <row r="159" spans="2:235" ht="14.25" customHeight="1" thickBot="1">
      <c r="B159" s="212" t="s">
        <v>399</v>
      </c>
      <c r="C159" s="212"/>
      <c r="D159" s="300">
        <v>122142.85714285714</v>
      </c>
      <c r="E159" s="315"/>
      <c r="F159" s="300">
        <v>120311.72142857143</v>
      </c>
      <c r="G159" s="315"/>
      <c r="H159" s="300">
        <v>151130.06011904762</v>
      </c>
      <c r="I159" s="315"/>
      <c r="J159" s="300">
        <v>143860.29411764705</v>
      </c>
      <c r="K159" s="315"/>
      <c r="L159" s="300">
        <v>134892.47311827957</v>
      </c>
      <c r="M159" s="315"/>
      <c r="N159" s="300">
        <f>+N126/N144</f>
        <v>147755.69637931036</v>
      </c>
      <c r="O159" s="315"/>
      <c r="P159" s="300" t="e">
        <f>+P126/P144</f>
        <v>#REF!</v>
      </c>
      <c r="Q159" s="315"/>
      <c r="R159" s="300" t="e">
        <f>+R126/R144</f>
        <v>#REF!</v>
      </c>
      <c r="S159" s="315"/>
      <c r="T159" s="300" t="e">
        <f>+T126/T144</f>
        <v>#REF!</v>
      </c>
      <c r="U159" s="315"/>
      <c r="V159" s="300" t="e">
        <f>+V126/V144</f>
        <v>#REF!</v>
      </c>
      <c r="W159" s="315"/>
      <c r="X159" s="300" t="e">
        <f>+X126/X144</f>
        <v>#REF!</v>
      </c>
      <c r="Y159" s="315"/>
      <c r="Z159" s="300" t="e">
        <f>+Z126/Z144</f>
        <v>#REF!</v>
      </c>
      <c r="AA159" s="315"/>
      <c r="AB159" s="300" t="e">
        <f>+AB126/AB144</f>
        <v>#REF!</v>
      </c>
      <c r="AC159" s="315"/>
      <c r="AD159" s="300" t="e">
        <f>+AD126/AD144</f>
        <v>#REF!</v>
      </c>
      <c r="AE159" s="315"/>
      <c r="AF159" s="300" t="e">
        <f>+AF126/AF144</f>
        <v>#REF!</v>
      </c>
      <c r="AG159" s="315"/>
      <c r="AH159" s="300" t="e">
        <f>+AH126/AH144</f>
        <v>#REF!</v>
      </c>
      <c r="AI159" s="315"/>
      <c r="AJ159" s="300">
        <f>+AJ126/AJ144</f>
        <v>156593.88737864079</v>
      </c>
      <c r="AK159" s="315"/>
      <c r="AL159" s="300" t="e">
        <f>+AL126/AL144</f>
        <v>#REF!</v>
      </c>
      <c r="AM159" s="315"/>
      <c r="AN159" s="300" t="e">
        <f>+AN126/AN144</f>
        <v>#REF!</v>
      </c>
      <c r="AO159" s="315"/>
      <c r="AP159" s="300" t="e">
        <f>+AP126/AP144</f>
        <v>#REF!</v>
      </c>
      <c r="AQ159" s="315"/>
      <c r="AR159" s="300" t="e">
        <f>+AR126/AR144</f>
        <v>#REF!</v>
      </c>
      <c r="AS159" s="315"/>
      <c r="AT159" s="300">
        <f>+AT126/AT144</f>
        <v>160339.79033222594</v>
      </c>
      <c r="AU159" s="315"/>
      <c r="AV159" s="300" t="e">
        <f>+AV126/AV144</f>
        <v>#REF!</v>
      </c>
      <c r="AW159" s="315"/>
      <c r="AX159" s="300" t="e">
        <f>+AX126/AX144</f>
        <v>#REF!</v>
      </c>
      <c r="AY159" s="315"/>
      <c r="AZ159" s="300" t="e">
        <f>+AZ126/AZ144</f>
        <v>#REF!</v>
      </c>
      <c r="BA159" s="315"/>
      <c r="BB159" s="300" t="e">
        <f>+BB126/BB144</f>
        <v>#REF!</v>
      </c>
      <c r="BC159" s="315"/>
      <c r="BD159" s="300" t="e">
        <f>+BD126/BD144</f>
        <v>#REF!</v>
      </c>
      <c r="BE159" s="315"/>
      <c r="BF159" s="300" t="e">
        <f>+BF126/BF144</f>
        <v>#REF!</v>
      </c>
      <c r="BG159" s="315"/>
      <c r="BH159" s="300">
        <f>+BH126/BH144</f>
        <v>150939.23765256969</v>
      </c>
      <c r="BI159" s="315"/>
      <c r="BJ159" s="300">
        <f>+BJ126/BJ144</f>
        <v>162268.8848995984</v>
      </c>
      <c r="BK159" s="315"/>
      <c r="BL159" s="300">
        <f>+BL126/BL144</f>
        <v>166438.07028753747</v>
      </c>
      <c r="BM159" s="315"/>
      <c r="BN159" s="300">
        <f>+BN126/BN144</f>
        <v>140805.35788375334</v>
      </c>
      <c r="BO159" s="315"/>
      <c r="BP159" s="300">
        <f>+BP126/BP144</f>
        <v>149956.97883927359</v>
      </c>
      <c r="BQ159" s="315"/>
      <c r="BR159" s="300">
        <f>+BR126/BR144</f>
        <v>166109.59719303818</v>
      </c>
      <c r="BS159" s="315"/>
      <c r="BT159" s="300">
        <f>+BT126/BT144</f>
        <v>178449.49615384615</v>
      </c>
      <c r="BU159" s="315"/>
      <c r="BV159" s="300">
        <f>+BV126/BV144</f>
        <v>134338.46123943661</v>
      </c>
      <c r="BW159" s="315"/>
      <c r="BX159" s="300">
        <f>+BX126/BX144</f>
        <v>179633.53350125949</v>
      </c>
      <c r="BY159" s="315"/>
      <c r="BZ159" s="300">
        <f>+BZ126/BZ144</f>
        <v>143066.71737532809</v>
      </c>
      <c r="CA159" s="315"/>
      <c r="CB159" s="300">
        <f>+CB126/CB144</f>
        <v>164264.88414835164</v>
      </c>
      <c r="CC159" s="315"/>
      <c r="CD159" s="300">
        <f>+CD126/CD144</f>
        <v>181988.08947019867</v>
      </c>
      <c r="CE159" s="315"/>
      <c r="CF159" s="300">
        <f>+CF126/CF144</f>
        <v>165054.17214132761</v>
      </c>
      <c r="CG159" s="315"/>
      <c r="CH159" s="300">
        <f>+CH126/CH144</f>
        <v>164378.28587570621</v>
      </c>
      <c r="CI159" s="315"/>
      <c r="CJ159" s="315"/>
      <c r="CK159" s="300">
        <f>+CK126/CK144</f>
        <v>163751.4196895425</v>
      </c>
      <c r="CL159" s="315"/>
      <c r="CM159" s="315"/>
      <c r="CN159" s="300">
        <f>+CN126/CN144</f>
        <v>128193.24119047617</v>
      </c>
      <c r="CO159" s="315"/>
      <c r="CP159" s="315"/>
      <c r="CQ159" s="300">
        <f>+CQ126/CQ144</f>
        <v>151751.0417413793</v>
      </c>
      <c r="CR159" s="315"/>
      <c r="CS159" s="315"/>
      <c r="CT159" s="300">
        <f>+CT126/CT144</f>
        <v>158085.78505636068</v>
      </c>
      <c r="CU159" s="315"/>
      <c r="CV159" s="198"/>
      <c r="CW159" s="300">
        <f>+CW126/CW144</f>
        <v>146257.53879551819</v>
      </c>
      <c r="CX159" s="315"/>
      <c r="CY159" s="444"/>
      <c r="CZ159" s="300">
        <f>+CZ126/CZ144</f>
        <v>174284.71334645667</v>
      </c>
      <c r="DA159" s="315"/>
      <c r="DB159" s="444"/>
      <c r="DC159" s="300">
        <f>+DC126/DC144</f>
        <v>161153.37360515023</v>
      </c>
      <c r="DD159" s="315"/>
      <c r="DE159" s="444"/>
      <c r="DF159" s="301">
        <f>+DF126/DF144</f>
        <v>165734.68612044817</v>
      </c>
      <c r="DG159" s="315"/>
      <c r="DH159" s="444"/>
      <c r="DI159" s="301">
        <f>+DI126/DI144</f>
        <v>163919.30244350282</v>
      </c>
      <c r="DJ159" s="315"/>
      <c r="DK159" s="444"/>
      <c r="DL159" s="301">
        <f>+DL126/DL144</f>
        <v>203926.79064516129</v>
      </c>
      <c r="DM159" s="315"/>
      <c r="DN159" s="444"/>
      <c r="DO159" s="301">
        <f>+DO126/DO144</f>
        <v>186466.99220461093</v>
      </c>
      <c r="DP159" s="505"/>
      <c r="DQ159" s="581"/>
      <c r="DR159" s="301">
        <f>+DR126/DR144</f>
        <v>162833.5043324937</v>
      </c>
      <c r="DS159" s="505"/>
      <c r="DT159" s="581"/>
      <c r="DU159" s="301">
        <f>+DU126/DU144</f>
        <v>181687.58655925153</v>
      </c>
      <c r="DV159" s="505"/>
      <c r="DW159" s="581"/>
      <c r="DX159" s="301">
        <f>+DX126/DX144</f>
        <v>150858.37595683453</v>
      </c>
      <c r="DY159" s="581"/>
      <c r="DZ159" s="581"/>
      <c r="EA159" s="301">
        <f>+EA126/EA144</f>
        <v>166400.64628219485</v>
      </c>
      <c r="EB159" s="581"/>
      <c r="EC159" s="581"/>
      <c r="ED159" s="301">
        <f>ED126/ED144</f>
        <v>181979.9795050619</v>
      </c>
      <c r="EE159" s="581"/>
      <c r="EF159" s="581"/>
      <c r="EG159" s="300">
        <f>+EG126/EG144</f>
        <v>199915.02626310775</v>
      </c>
      <c r="EH159" s="315"/>
      <c r="EI159" s="444"/>
      <c r="EJ159" s="300">
        <f>+EJ126/EJ144</f>
        <v>178407.68268673352</v>
      </c>
      <c r="EK159" s="315"/>
      <c r="EL159" s="444"/>
      <c r="EM159" s="300">
        <f>+EM126/EM144</f>
        <v>177805.99833763996</v>
      </c>
      <c r="EN159" s="315"/>
      <c r="EO159" s="444"/>
      <c r="EP159" s="301">
        <f>+EP126/EP144</f>
        <v>158166.2352180809</v>
      </c>
      <c r="EQ159" s="315"/>
      <c r="ER159" s="444"/>
      <c r="ES159" s="301">
        <f>+ES126/ES144</f>
        <v>172657.11461356466</v>
      </c>
      <c r="ET159" s="315"/>
      <c r="EU159" s="444"/>
      <c r="EV159" s="817">
        <f>+EV126/EV144</f>
        <v>174599.81710193201</v>
      </c>
      <c r="EW159" s="315"/>
      <c r="EX159" s="444"/>
      <c r="EY159" s="301">
        <f>+EY126/EY144</f>
        <v>179499.6514503817</v>
      </c>
      <c r="EZ159" s="505"/>
      <c r="FA159" s="581"/>
      <c r="FB159" s="301">
        <f>+FB126/FB144</f>
        <v>179487.31654164023</v>
      </c>
      <c r="FC159" s="505"/>
      <c r="FD159" s="581"/>
      <c r="FE159" s="301">
        <f>+FE126/FE144</f>
        <v>180474.45759521221</v>
      </c>
      <c r="FF159" s="505"/>
      <c r="FG159" s="581"/>
      <c r="FH159" s="301">
        <f>+FH126/FH144</f>
        <v>174334.02532841821</v>
      </c>
      <c r="FI159" s="581"/>
      <c r="FJ159" s="581"/>
      <c r="FK159" s="301">
        <f>+FK126/FK144</f>
        <v>164680.11001004532</v>
      </c>
      <c r="FL159" s="581"/>
      <c r="FM159" s="581"/>
      <c r="FN159" s="301">
        <f>+FN126/FN144</f>
        <v>170547.57148772269</v>
      </c>
      <c r="FO159" s="581"/>
      <c r="FP159" s="581"/>
      <c r="FQ159" s="301">
        <f>+FQ126/FQ144</f>
        <v>163267.74700230148</v>
      </c>
      <c r="FR159" s="581"/>
      <c r="FS159" s="581"/>
      <c r="FT159" s="301">
        <f>+FT126/FT144</f>
        <v>154262.44371239163</v>
      </c>
      <c r="FU159" s="581"/>
      <c r="FV159" s="581"/>
      <c r="FW159" s="301">
        <f>+FW126/FW144</f>
        <v>152840.00726134589</v>
      </c>
      <c r="FX159" s="581"/>
      <c r="FY159" s="581"/>
      <c r="FZ159" s="301">
        <f>+FZ126/FZ144</f>
        <v>150171.33720162517</v>
      </c>
      <c r="GA159" s="581"/>
      <c r="GB159" s="581"/>
      <c r="GC159" s="301">
        <f>+GC126/GC144</f>
        <v>153446.59038513841</v>
      </c>
      <c r="GD159" s="581"/>
      <c r="GE159" s="301">
        <v>142431.94387852945</v>
      </c>
      <c r="GF159" s="581"/>
      <c r="GG159" s="301">
        <f>+GG126/GG144</f>
        <v>161243.9780722252</v>
      </c>
      <c r="GH159" s="581"/>
      <c r="GI159" s="301">
        <f>+GI126/GI144</f>
        <v>146375.62046572936</v>
      </c>
      <c r="GJ159" s="581"/>
      <c r="GK159" s="301">
        <f>+GK126/GK144</f>
        <v>148511.81210831722</v>
      </c>
      <c r="GL159" s="581"/>
      <c r="GM159" s="301">
        <f>+GM126/GM144</f>
        <v>141185.16723809522</v>
      </c>
      <c r="GN159" s="581"/>
      <c r="GO159" s="301">
        <f>+GO126/GO144</f>
        <v>127865.98806680163</v>
      </c>
      <c r="GP159" s="581"/>
      <c r="GQ159" s="817">
        <f>+GQ126/GQ144</f>
        <v>155547.03755183946</v>
      </c>
      <c r="GR159" s="581"/>
      <c r="GS159" s="581"/>
      <c r="GT159" s="817">
        <f>+GT126/GT144</f>
        <v>137237.74476694912</v>
      </c>
      <c r="GU159" s="581"/>
      <c r="GV159" s="581"/>
      <c r="GW159" s="817">
        <f>+GW126/GW144</f>
        <v>143637.49771710529</v>
      </c>
      <c r="GX159" s="581"/>
      <c r="GY159" s="581"/>
      <c r="GZ159" s="301">
        <f>+GZ126/GZ144</f>
        <v>152089.69155000002</v>
      </c>
      <c r="HA159" s="581"/>
      <c r="HB159" s="581"/>
      <c r="HC159" s="301">
        <f>+HC126/HC144</f>
        <v>145395.10355965723</v>
      </c>
      <c r="HD159" s="581"/>
      <c r="HE159" s="581"/>
      <c r="HF159" s="301">
        <f>+HF126/HF144</f>
        <v>163903.89487227413</v>
      </c>
      <c r="HG159" s="581"/>
      <c r="HH159" s="581"/>
      <c r="HI159" s="301">
        <f>+HI126/HI144</f>
        <v>151157.00223245926</v>
      </c>
      <c r="HJ159" s="581"/>
      <c r="HK159" s="581"/>
      <c r="HL159" s="301">
        <f>+HL126/HL144</f>
        <v>149401.83373918419</v>
      </c>
      <c r="HM159" s="581"/>
      <c r="HN159" s="581"/>
      <c r="HO159" s="301">
        <f>+HO126/HO144</f>
        <v>153876.09096654275</v>
      </c>
      <c r="HP159" s="581"/>
      <c r="HQ159" s="581"/>
      <c r="HR159" s="301">
        <f>+HR126/HR144</f>
        <v>153876.09096654275</v>
      </c>
      <c r="HS159" s="581"/>
      <c r="HT159" s="581"/>
      <c r="HU159" s="301">
        <f>+HU126/HU144</f>
        <v>153876.09096654275</v>
      </c>
      <c r="HV159" s="581"/>
      <c r="HW159" s="581"/>
      <c r="HX159" s="581"/>
      <c r="HY159" s="581"/>
      <c r="HZ159" s="581"/>
      <c r="IA159" s="301">
        <f>IA126/IA144</f>
        <v>181979.9795050619</v>
      </c>
    </row>
    <row r="160" spans="2:235" ht="14.25" customHeight="1">
      <c r="D160" s="267"/>
      <c r="E160" s="234"/>
      <c r="F160" s="240"/>
      <c r="G160" s="234"/>
      <c r="H160" s="157"/>
      <c r="I160" s="268"/>
      <c r="J160" s="157"/>
      <c r="K160" s="268"/>
      <c r="L160" s="157"/>
      <c r="M160" s="234"/>
      <c r="N160" s="157"/>
      <c r="O160" s="234"/>
      <c r="P160" s="157"/>
      <c r="Q160" s="234"/>
      <c r="R160" s="157"/>
      <c r="S160" s="234"/>
      <c r="T160" s="157"/>
      <c r="U160" s="234"/>
      <c r="V160" s="157"/>
      <c r="W160" s="234"/>
      <c r="X160" s="157"/>
      <c r="Y160" s="234"/>
      <c r="Z160" s="157"/>
      <c r="AA160" s="234"/>
      <c r="AB160" s="157"/>
      <c r="AC160" s="234"/>
      <c r="AD160" s="157"/>
      <c r="AE160" s="234"/>
      <c r="AF160" s="157"/>
      <c r="AG160" s="234"/>
      <c r="AH160" s="157"/>
      <c r="AI160" s="234"/>
      <c r="AJ160" s="157"/>
      <c r="AK160" s="234"/>
      <c r="AL160" s="157"/>
      <c r="AM160" s="234"/>
      <c r="AN160" s="157"/>
      <c r="AO160" s="234"/>
      <c r="AP160" s="157"/>
      <c r="AQ160" s="234"/>
      <c r="AR160" s="157"/>
      <c r="AS160" s="234"/>
      <c r="AT160" s="157"/>
      <c r="AU160" s="234"/>
      <c r="AV160" s="157"/>
      <c r="AW160" s="234"/>
      <c r="AX160" s="157"/>
      <c r="AY160" s="234"/>
      <c r="AZ160" s="157"/>
      <c r="BA160" s="234"/>
      <c r="BB160" s="157"/>
      <c r="BC160" s="234"/>
      <c r="BD160" s="157"/>
      <c r="BE160" s="234"/>
      <c r="BF160" s="157"/>
      <c r="BG160" s="234"/>
      <c r="BH160" s="157"/>
      <c r="BI160" s="234"/>
      <c r="BJ160" s="157"/>
      <c r="BK160" s="234"/>
      <c r="BL160" s="157"/>
      <c r="BM160" s="234"/>
      <c r="BN160" s="157"/>
      <c r="BO160" s="234"/>
      <c r="BP160" s="157"/>
      <c r="BQ160" s="234"/>
      <c r="BR160" s="157"/>
      <c r="BS160" s="234"/>
      <c r="BT160" s="157"/>
      <c r="BU160" s="234"/>
      <c r="BV160" s="157"/>
      <c r="BW160" s="234"/>
      <c r="BX160" s="157"/>
      <c r="BY160" s="234"/>
      <c r="BZ160" s="157"/>
      <c r="CA160" s="234"/>
      <c r="CB160" s="157"/>
      <c r="CC160" s="234"/>
      <c r="CD160" s="157"/>
      <c r="CE160" s="234"/>
      <c r="CF160" s="157"/>
      <c r="CG160" s="234"/>
      <c r="CH160" s="157"/>
      <c r="CI160" s="234"/>
      <c r="CJ160" s="234"/>
      <c r="CK160" s="234"/>
      <c r="CL160" s="234"/>
      <c r="CM160" s="234"/>
      <c r="CN160" s="234"/>
      <c r="CO160" s="234"/>
      <c r="CP160" s="234"/>
      <c r="CQ160" s="234"/>
      <c r="CR160" s="234"/>
      <c r="CS160" s="234"/>
      <c r="CT160" s="234"/>
      <c r="CU160" s="234"/>
      <c r="CV160" s="198"/>
      <c r="CW160" s="234"/>
      <c r="CX160" s="234"/>
      <c r="CY160" s="436"/>
      <c r="CZ160" s="234"/>
      <c r="DA160" s="234"/>
      <c r="DB160" s="436"/>
      <c r="DC160" s="234"/>
      <c r="DD160" s="234"/>
      <c r="DE160" s="436"/>
      <c r="DF160" s="425"/>
      <c r="DG160" s="234"/>
      <c r="DH160" s="436"/>
      <c r="DI160" s="425"/>
      <c r="DJ160" s="234"/>
      <c r="DK160" s="436"/>
      <c r="DL160" s="425"/>
      <c r="DM160" s="234"/>
      <c r="DN160" s="436"/>
      <c r="DO160" s="436"/>
      <c r="DP160" s="436"/>
      <c r="DQ160" s="436"/>
      <c r="DR160" s="580"/>
      <c r="DS160" s="436"/>
      <c r="DT160" s="436"/>
      <c r="DU160" s="580"/>
      <c r="DV160" s="436"/>
      <c r="DW160" s="436"/>
      <c r="DX160" s="580"/>
      <c r="DY160" s="580"/>
      <c r="DZ160" s="580"/>
      <c r="EA160" s="580"/>
      <c r="EB160" s="580"/>
      <c r="EC160" s="580"/>
      <c r="ED160" s="580"/>
      <c r="EE160" s="580"/>
      <c r="EF160" s="580"/>
      <c r="EG160" s="580"/>
      <c r="EH160" s="580"/>
      <c r="EI160" s="580"/>
      <c r="EJ160" s="580"/>
      <c r="EK160" s="580"/>
      <c r="EL160" s="580"/>
      <c r="EM160" s="580"/>
      <c r="EN160" s="580"/>
      <c r="EO160" s="580"/>
      <c r="EP160" s="580"/>
      <c r="EQ160" s="580"/>
      <c r="ER160" s="580"/>
      <c r="ES160" s="580"/>
      <c r="ET160" s="580"/>
      <c r="EU160" s="580"/>
      <c r="EV160" s="580"/>
      <c r="EW160" s="580"/>
      <c r="EX160" s="580"/>
      <c r="EY160" s="580"/>
      <c r="EZ160" s="580"/>
      <c r="FA160" s="580"/>
      <c r="FB160" s="580"/>
      <c r="FC160" s="580"/>
      <c r="FD160" s="580"/>
      <c r="FE160" s="580"/>
      <c r="FF160" s="580"/>
      <c r="FG160" s="580"/>
      <c r="FH160" s="580"/>
      <c r="FI160" s="580"/>
      <c r="FJ160" s="580"/>
      <c r="FK160" s="580"/>
      <c r="FL160" s="580"/>
      <c r="FM160" s="580"/>
      <c r="FN160" s="580"/>
      <c r="FO160" s="580"/>
      <c r="FP160" s="580"/>
      <c r="FQ160" s="580"/>
      <c r="FR160" s="580"/>
      <c r="FS160" s="580"/>
      <c r="FT160" s="580"/>
      <c r="FU160" s="580"/>
      <c r="FV160" s="580"/>
      <c r="FW160" s="580"/>
      <c r="FX160" s="580"/>
      <c r="FY160" s="580"/>
      <c r="FZ160" s="580"/>
      <c r="GA160" s="580"/>
      <c r="GB160" s="580"/>
      <c r="GC160" s="580"/>
      <c r="GD160" s="580"/>
      <c r="GE160" s="580"/>
      <c r="GF160" s="580"/>
      <c r="GG160" s="580"/>
      <c r="GH160" s="580"/>
      <c r="GI160" s="580"/>
      <c r="GJ160" s="580"/>
      <c r="GK160" s="580"/>
      <c r="GL160" s="580"/>
      <c r="GM160" s="580"/>
      <c r="GN160" s="580"/>
      <c r="GO160" s="580"/>
      <c r="GP160" s="580"/>
      <c r="GQ160" s="580"/>
      <c r="GR160" s="580"/>
      <c r="GS160" s="580"/>
      <c r="GT160" s="580"/>
      <c r="GU160" s="580"/>
      <c r="GV160" s="580"/>
      <c r="GW160" s="1036"/>
      <c r="GX160" s="580"/>
      <c r="GY160" s="580"/>
      <c r="GZ160" s="1036"/>
      <c r="HA160" s="580"/>
      <c r="HB160" s="580"/>
      <c r="HC160" s="1036"/>
      <c r="HD160" s="580"/>
      <c r="HE160" s="580"/>
      <c r="HF160" s="1036"/>
      <c r="HG160" s="580"/>
      <c r="HH160" s="580"/>
      <c r="HI160" s="1036"/>
      <c r="HJ160" s="580"/>
      <c r="HK160" s="580"/>
      <c r="HL160" s="1036"/>
      <c r="HM160" s="580"/>
      <c r="HN160" s="580"/>
      <c r="HO160" s="580"/>
      <c r="HP160" s="580"/>
      <c r="HQ160" s="580"/>
      <c r="HR160" s="580"/>
      <c r="HS160" s="580"/>
      <c r="HT160" s="580"/>
      <c r="HU160" s="580"/>
      <c r="HV160" s="580"/>
      <c r="HW160" s="580"/>
      <c r="HX160" s="580"/>
      <c r="HY160" s="580"/>
      <c r="HZ160" s="580"/>
      <c r="IA160" s="198"/>
    </row>
    <row r="161" spans="2:235" ht="14.25" hidden="1" customHeight="1">
      <c r="B161" s="212" t="s">
        <v>476</v>
      </c>
      <c r="D161" s="267"/>
      <c r="E161" s="234"/>
      <c r="F161" s="157"/>
      <c r="G161" s="234"/>
      <c r="H161" s="157"/>
      <c r="I161" s="268"/>
      <c r="J161" s="157"/>
      <c r="K161" s="268"/>
      <c r="L161" s="157"/>
      <c r="M161" s="234"/>
      <c r="N161" s="157"/>
      <c r="O161" s="234"/>
      <c r="P161" s="157"/>
      <c r="Q161" s="234"/>
      <c r="R161" s="157"/>
      <c r="S161" s="234"/>
      <c r="T161" s="157"/>
      <c r="U161" s="234"/>
      <c r="V161" s="157"/>
      <c r="W161" s="234"/>
      <c r="X161" s="157"/>
      <c r="Y161" s="234"/>
      <c r="Z161" s="157"/>
      <c r="AA161" s="234"/>
      <c r="AB161" s="157"/>
      <c r="AC161" s="234"/>
      <c r="AD161" s="157"/>
      <c r="AE161" s="234"/>
      <c r="AF161" s="157"/>
      <c r="AG161" s="234"/>
      <c r="AH161" s="157"/>
      <c r="AI161" s="234"/>
      <c r="AJ161" s="157"/>
      <c r="AK161" s="234"/>
      <c r="AL161" s="157"/>
      <c r="AM161" s="234"/>
      <c r="AN161" s="157"/>
      <c r="AO161" s="234"/>
      <c r="AP161" s="157"/>
      <c r="AQ161" s="234"/>
      <c r="AR161" s="157"/>
      <c r="AS161" s="234"/>
      <c r="AT161" s="157"/>
      <c r="AU161" s="234"/>
      <c r="AV161" s="157"/>
      <c r="AW161" s="234"/>
      <c r="AX161" s="157"/>
      <c r="AY161" s="234"/>
      <c r="AZ161" s="157"/>
      <c r="BA161" s="234"/>
      <c r="BB161" s="157"/>
      <c r="BC161" s="234"/>
      <c r="BD161" s="157"/>
      <c r="BE161" s="234"/>
      <c r="BF161" s="157"/>
      <c r="BG161" s="234"/>
      <c r="BH161" s="157"/>
      <c r="BI161" s="234"/>
      <c r="BJ161" s="157"/>
      <c r="BK161" s="234"/>
      <c r="BL161" s="157"/>
      <c r="BM161" s="234"/>
      <c r="BN161" s="157"/>
      <c r="BO161" s="234"/>
      <c r="BP161" s="157"/>
      <c r="BQ161" s="234"/>
      <c r="BR161" s="157"/>
      <c r="BS161" s="234"/>
      <c r="BT161" s="157"/>
      <c r="BU161" s="234"/>
      <c r="BV161" s="157"/>
      <c r="BW161" s="234"/>
      <c r="BX161" s="157"/>
      <c r="BY161" s="234"/>
      <c r="BZ161" s="157"/>
      <c r="CA161" s="234"/>
      <c r="CB161" s="157"/>
      <c r="CC161" s="234"/>
      <c r="CD161" s="157"/>
      <c r="CE161" s="234"/>
      <c r="CF161" s="157"/>
      <c r="CG161" s="234"/>
      <c r="CH161" s="157"/>
      <c r="CI161" s="234"/>
      <c r="CJ161" s="234"/>
      <c r="CK161" s="234"/>
      <c r="CL161" s="234"/>
      <c r="CM161" s="234"/>
      <c r="CN161" s="234"/>
      <c r="CO161" s="234"/>
      <c r="CP161" s="234"/>
      <c r="CQ161" s="234"/>
      <c r="CR161" s="234"/>
      <c r="CS161" s="234"/>
      <c r="CT161" s="234"/>
      <c r="CU161" s="234"/>
      <c r="CV161" s="198"/>
      <c r="CW161" s="234"/>
      <c r="CX161" s="234"/>
      <c r="CY161" s="436"/>
      <c r="CZ161" s="234"/>
      <c r="DA161" s="234"/>
      <c r="DB161" s="436"/>
      <c r="DC161" s="234"/>
      <c r="DD161" s="234"/>
      <c r="DE161" s="436"/>
      <c r="DF161" s="425"/>
      <c r="DG161" s="234"/>
      <c r="DH161" s="436"/>
      <c r="DI161" s="425"/>
      <c r="DJ161" s="234"/>
      <c r="DK161" s="436"/>
      <c r="DL161" s="425"/>
      <c r="DM161" s="234"/>
      <c r="DN161" s="436"/>
      <c r="DO161" s="436"/>
      <c r="DP161" s="436"/>
      <c r="DQ161" s="436"/>
      <c r="DR161" s="580"/>
      <c r="DS161" s="436"/>
      <c r="DT161" s="436"/>
      <c r="DU161" s="580"/>
      <c r="DV161" s="436"/>
      <c r="DW161" s="436"/>
      <c r="DX161" s="580"/>
      <c r="DY161" s="580"/>
      <c r="DZ161" s="580"/>
      <c r="EA161" s="580"/>
      <c r="EB161" s="580"/>
      <c r="EC161" s="580"/>
      <c r="ED161" s="580"/>
      <c r="EE161" s="580"/>
      <c r="EF161" s="580"/>
      <c r="EG161" s="580"/>
      <c r="EH161" s="580"/>
      <c r="EI161" s="580"/>
      <c r="EJ161" s="580"/>
      <c r="EK161" s="580"/>
      <c r="EL161" s="580"/>
      <c r="EM161" s="580"/>
      <c r="EN161" s="580"/>
      <c r="EO161" s="580"/>
      <c r="EP161" s="580"/>
      <c r="EQ161" s="580"/>
      <c r="ER161" s="580"/>
      <c r="ES161" s="580"/>
      <c r="ET161" s="580"/>
      <c r="EU161" s="580"/>
      <c r="EV161" s="580"/>
      <c r="EW161" s="580"/>
      <c r="EX161" s="580"/>
      <c r="EY161" s="580"/>
      <c r="EZ161" s="580"/>
      <c r="FA161" s="580"/>
      <c r="FB161" s="580"/>
      <c r="FC161" s="580"/>
      <c r="FD161" s="580"/>
      <c r="FE161" s="580"/>
      <c r="FF161" s="580"/>
      <c r="FG161" s="580"/>
      <c r="FH161" s="580"/>
      <c r="FI161" s="580"/>
      <c r="FJ161" s="580"/>
      <c r="FK161" s="580"/>
      <c r="FL161" s="580"/>
      <c r="FM161" s="580"/>
      <c r="FN161" s="580"/>
      <c r="FO161" s="580"/>
      <c r="FP161" s="580"/>
      <c r="FQ161" s="580"/>
      <c r="FR161" s="580"/>
      <c r="FS161" s="580"/>
      <c r="FT161" s="580"/>
      <c r="FU161" s="580"/>
      <c r="FV161" s="580"/>
      <c r="FW161" s="580"/>
      <c r="FX161" s="580"/>
      <c r="FY161" s="580"/>
      <c r="FZ161" s="580"/>
      <c r="GA161" s="580"/>
      <c r="GB161" s="580"/>
      <c r="GC161" s="580"/>
      <c r="GD161" s="580"/>
      <c r="GE161" s="580"/>
      <c r="GF161" s="580"/>
      <c r="GG161" s="580"/>
      <c r="GH161" s="580"/>
      <c r="GI161" s="580"/>
      <c r="GJ161" s="580"/>
      <c r="GK161" s="580"/>
      <c r="GL161" s="580"/>
      <c r="GM161" s="580"/>
      <c r="GN161" s="580"/>
      <c r="GO161" s="580"/>
      <c r="GP161" s="580"/>
      <c r="GQ161" s="580"/>
      <c r="GR161" s="580"/>
      <c r="GS161" s="580"/>
      <c r="GT161" s="580"/>
      <c r="GU161" s="580"/>
      <c r="GV161" s="580"/>
      <c r="GW161" s="1036"/>
      <c r="GX161" s="580"/>
      <c r="GY161" s="580"/>
      <c r="GZ161" s="1036"/>
      <c r="HA161" s="580"/>
      <c r="HB161" s="580"/>
      <c r="HC161" s="1036"/>
      <c r="HD161" s="580"/>
      <c r="HE161" s="580"/>
      <c r="HF161" s="1036"/>
      <c r="HG161" s="580"/>
      <c r="HH161" s="580"/>
      <c r="HI161" s="1036"/>
      <c r="HJ161" s="580"/>
      <c r="HK161" s="580"/>
      <c r="HL161" s="1036"/>
      <c r="HM161" s="580"/>
      <c r="HN161" s="580"/>
      <c r="HO161" s="580"/>
      <c r="HP161" s="580"/>
      <c r="HQ161" s="580"/>
      <c r="HR161" s="580"/>
      <c r="HS161" s="580"/>
      <c r="HT161" s="580"/>
      <c r="HU161" s="580"/>
      <c r="HV161" s="580"/>
      <c r="HW161" s="580"/>
      <c r="HX161" s="580"/>
      <c r="HY161" s="580"/>
      <c r="HZ161" s="580"/>
      <c r="IA161" s="198"/>
    </row>
    <row r="162" spans="2:235" ht="14.25" hidden="1" customHeight="1">
      <c r="B162" s="242" t="s">
        <v>460</v>
      </c>
      <c r="D162" s="278">
        <v>140000</v>
      </c>
      <c r="E162" s="234"/>
      <c r="F162" s="280">
        <v>130000</v>
      </c>
      <c r="G162" s="234"/>
      <c r="H162" s="280">
        <v>80000</v>
      </c>
      <c r="I162" s="268"/>
      <c r="J162" s="280"/>
      <c r="K162" s="268"/>
      <c r="L162" s="280"/>
      <c r="M162" s="234"/>
      <c r="N162" s="280"/>
      <c r="O162" s="234"/>
      <c r="P162" s="280"/>
      <c r="Q162" s="234"/>
      <c r="R162" s="280"/>
      <c r="S162" s="234"/>
      <c r="T162" s="280"/>
      <c r="U162" s="234"/>
      <c r="V162" s="280"/>
      <c r="W162" s="234"/>
      <c r="X162" s="280"/>
      <c r="Y162" s="234"/>
      <c r="Z162" s="280"/>
      <c r="AA162" s="234"/>
      <c r="AB162" s="280"/>
      <c r="AC162" s="234"/>
      <c r="AD162" s="280"/>
      <c r="AE162" s="234"/>
      <c r="AF162" s="280"/>
      <c r="AG162" s="234"/>
      <c r="AH162" s="280"/>
      <c r="AI162" s="234"/>
      <c r="AJ162" s="280"/>
      <c r="AK162" s="234"/>
      <c r="AL162" s="280"/>
      <c r="AM162" s="234"/>
      <c r="AN162" s="280"/>
      <c r="AO162" s="234"/>
      <c r="AP162" s="280"/>
      <c r="AQ162" s="234"/>
      <c r="AR162" s="280"/>
      <c r="AS162" s="234"/>
      <c r="AT162" s="280"/>
      <c r="AU162" s="234"/>
      <c r="AV162" s="280"/>
      <c r="AW162" s="234"/>
      <c r="AX162" s="280"/>
      <c r="AY162" s="234"/>
      <c r="AZ162" s="280"/>
      <c r="BA162" s="234"/>
      <c r="BB162" s="280"/>
      <c r="BC162" s="234"/>
      <c r="BD162" s="280"/>
      <c r="BE162" s="234"/>
      <c r="BF162" s="280"/>
      <c r="BG162" s="234"/>
      <c r="BH162" s="280"/>
      <c r="BI162" s="234"/>
      <c r="BJ162" s="280"/>
      <c r="BK162" s="234"/>
      <c r="BL162" s="280"/>
      <c r="BM162" s="234"/>
      <c r="BN162" s="280"/>
      <c r="BO162" s="234"/>
      <c r="BP162" s="280"/>
      <c r="BQ162" s="234"/>
      <c r="BR162" s="280"/>
      <c r="BS162" s="234"/>
      <c r="BT162" s="280"/>
      <c r="BU162" s="234"/>
      <c r="BV162" s="280"/>
      <c r="BW162" s="234"/>
      <c r="BX162" s="280"/>
      <c r="BY162" s="234"/>
      <c r="BZ162" s="280"/>
      <c r="CA162" s="234"/>
      <c r="CB162" s="280"/>
      <c r="CC162" s="234"/>
      <c r="CD162" s="280"/>
      <c r="CE162" s="234"/>
      <c r="CF162" s="280"/>
      <c r="CG162" s="234"/>
      <c r="CH162" s="280"/>
      <c r="CI162" s="234"/>
      <c r="CJ162" s="234"/>
      <c r="CK162" s="234"/>
      <c r="CL162" s="234"/>
      <c r="CM162" s="234"/>
      <c r="CN162" s="234"/>
      <c r="CO162" s="234"/>
      <c r="CP162" s="234"/>
      <c r="CQ162" s="234"/>
      <c r="CR162" s="234"/>
      <c r="CS162" s="234"/>
      <c r="CT162" s="234"/>
      <c r="CU162" s="234"/>
      <c r="CV162" s="198"/>
      <c r="CW162" s="234"/>
      <c r="CX162" s="234"/>
      <c r="CY162" s="436"/>
      <c r="CZ162" s="234"/>
      <c r="DA162" s="234"/>
      <c r="DB162" s="436"/>
      <c r="DC162" s="234"/>
      <c r="DD162" s="234"/>
      <c r="DE162" s="436"/>
      <c r="DF162" s="425"/>
      <c r="DG162" s="234"/>
      <c r="DH162" s="436"/>
      <c r="DI162" s="425"/>
      <c r="DJ162" s="234"/>
      <c r="DK162" s="436"/>
      <c r="DL162" s="425"/>
      <c r="DM162" s="234"/>
      <c r="DN162" s="436"/>
      <c r="DO162" s="436"/>
      <c r="DP162" s="436"/>
      <c r="DQ162" s="436"/>
      <c r="DR162" s="580"/>
      <c r="DS162" s="436"/>
      <c r="DT162" s="436"/>
      <c r="DU162" s="580"/>
      <c r="DV162" s="436"/>
      <c r="DW162" s="436"/>
      <c r="DX162" s="580"/>
      <c r="DY162" s="580"/>
      <c r="DZ162" s="580"/>
      <c r="EA162" s="580"/>
      <c r="EB162" s="580"/>
      <c r="EC162" s="580"/>
      <c r="ED162" s="580"/>
      <c r="EE162" s="580"/>
      <c r="EF162" s="580"/>
      <c r="EG162" s="580"/>
      <c r="EH162" s="580"/>
      <c r="EI162" s="580"/>
      <c r="EJ162" s="580"/>
      <c r="EK162" s="580"/>
      <c r="EL162" s="580"/>
      <c r="EM162" s="580"/>
      <c r="EN162" s="580"/>
      <c r="EO162" s="580"/>
      <c r="EP162" s="580"/>
      <c r="EQ162" s="580"/>
      <c r="ER162" s="580"/>
      <c r="ES162" s="580"/>
      <c r="ET162" s="580"/>
      <c r="EU162" s="580"/>
      <c r="EV162" s="580"/>
      <c r="EW162" s="580"/>
      <c r="EX162" s="580"/>
      <c r="EY162" s="580"/>
      <c r="EZ162" s="580"/>
      <c r="FA162" s="580"/>
      <c r="FB162" s="580"/>
      <c r="FC162" s="580"/>
      <c r="FD162" s="580"/>
      <c r="FE162" s="580"/>
      <c r="FF162" s="580"/>
      <c r="FG162" s="580"/>
      <c r="FH162" s="580"/>
      <c r="FI162" s="580"/>
      <c r="FJ162" s="580"/>
      <c r="FK162" s="580"/>
      <c r="FL162" s="580"/>
      <c r="FM162" s="580"/>
      <c r="FN162" s="580"/>
      <c r="FO162" s="580"/>
      <c r="FP162" s="580"/>
      <c r="FQ162" s="580"/>
      <c r="FR162" s="580"/>
      <c r="FS162" s="580"/>
      <c r="FT162" s="580"/>
      <c r="FU162" s="580"/>
      <c r="FV162" s="580"/>
      <c r="FW162" s="580"/>
      <c r="FX162" s="580"/>
      <c r="FY162" s="580"/>
      <c r="FZ162" s="580"/>
      <c r="GA162" s="580"/>
      <c r="GB162" s="580"/>
      <c r="GC162" s="580"/>
      <c r="GD162" s="580"/>
      <c r="GE162" s="580"/>
      <c r="GF162" s="580"/>
      <c r="GG162" s="580"/>
      <c r="GH162" s="580"/>
      <c r="GI162" s="580"/>
      <c r="GJ162" s="580"/>
      <c r="GK162" s="580"/>
      <c r="GL162" s="580"/>
      <c r="GM162" s="580"/>
      <c r="GN162" s="580"/>
      <c r="GO162" s="580"/>
      <c r="GP162" s="580"/>
      <c r="GQ162" s="580"/>
      <c r="GR162" s="580"/>
      <c r="GS162" s="580"/>
      <c r="GT162" s="580"/>
      <c r="GU162" s="580"/>
      <c r="GV162" s="580"/>
      <c r="GW162" s="1036"/>
      <c r="GX162" s="580"/>
      <c r="GY162" s="580"/>
      <c r="GZ162" s="1036"/>
      <c r="HA162" s="580"/>
      <c r="HB162" s="580"/>
      <c r="HC162" s="1036"/>
      <c r="HD162" s="580"/>
      <c r="HE162" s="580"/>
      <c r="HF162" s="1036"/>
      <c r="HG162" s="580"/>
      <c r="HH162" s="580"/>
      <c r="HI162" s="1036"/>
      <c r="HJ162" s="580"/>
      <c r="HK162" s="580"/>
      <c r="HL162" s="1036"/>
      <c r="HM162" s="580"/>
      <c r="HN162" s="580"/>
      <c r="HO162" s="580"/>
      <c r="HP162" s="580"/>
      <c r="HQ162" s="580"/>
      <c r="HR162" s="580"/>
      <c r="HS162" s="580"/>
      <c r="HT162" s="580"/>
      <c r="HU162" s="580"/>
      <c r="HV162" s="580"/>
      <c r="HW162" s="580"/>
      <c r="HX162" s="580"/>
      <c r="HY162" s="580"/>
      <c r="HZ162" s="580"/>
      <c r="IA162" s="198"/>
    </row>
    <row r="163" spans="2:235" ht="14.25" hidden="1" customHeight="1">
      <c r="B163" s="242" t="s">
        <v>461</v>
      </c>
      <c r="D163" s="278">
        <v>1680000</v>
      </c>
      <c r="E163" s="234"/>
      <c r="F163" s="280">
        <v>1380000</v>
      </c>
      <c r="G163" s="234"/>
      <c r="H163" s="280">
        <v>1800000</v>
      </c>
      <c r="I163" s="268"/>
      <c r="J163" s="280"/>
      <c r="K163" s="268"/>
      <c r="L163" s="280"/>
      <c r="M163" s="234"/>
      <c r="N163" s="280"/>
      <c r="O163" s="234"/>
      <c r="P163" s="280"/>
      <c r="Q163" s="234"/>
      <c r="R163" s="280"/>
      <c r="S163" s="234"/>
      <c r="T163" s="280"/>
      <c r="U163" s="234"/>
      <c r="V163" s="280"/>
      <c r="W163" s="234"/>
      <c r="X163" s="280"/>
      <c r="Y163" s="234"/>
      <c r="Z163" s="280"/>
      <c r="AA163" s="234"/>
      <c r="AB163" s="280"/>
      <c r="AC163" s="234"/>
      <c r="AD163" s="280"/>
      <c r="AE163" s="234"/>
      <c r="AF163" s="280"/>
      <c r="AG163" s="234"/>
      <c r="AH163" s="280"/>
      <c r="AI163" s="234"/>
      <c r="AJ163" s="280"/>
      <c r="AK163" s="234"/>
      <c r="AL163" s="280"/>
      <c r="AM163" s="234"/>
      <c r="AN163" s="280"/>
      <c r="AO163" s="234"/>
      <c r="AP163" s="280"/>
      <c r="AQ163" s="234"/>
      <c r="AR163" s="280"/>
      <c r="AS163" s="234"/>
      <c r="AT163" s="280"/>
      <c r="AU163" s="234"/>
      <c r="AV163" s="280"/>
      <c r="AW163" s="234"/>
      <c r="AX163" s="280"/>
      <c r="AY163" s="234"/>
      <c r="AZ163" s="280"/>
      <c r="BA163" s="234"/>
      <c r="BB163" s="280"/>
      <c r="BC163" s="234"/>
      <c r="BD163" s="280"/>
      <c r="BE163" s="234"/>
      <c r="BF163" s="280"/>
      <c r="BG163" s="234"/>
      <c r="BH163" s="280"/>
      <c r="BI163" s="234"/>
      <c r="BJ163" s="280"/>
      <c r="BK163" s="234"/>
      <c r="BL163" s="280"/>
      <c r="BM163" s="234"/>
      <c r="BN163" s="280"/>
      <c r="BO163" s="234"/>
      <c r="BP163" s="280"/>
      <c r="BQ163" s="234"/>
      <c r="BR163" s="280"/>
      <c r="BS163" s="234"/>
      <c r="BT163" s="280"/>
      <c r="BU163" s="234"/>
      <c r="BV163" s="280"/>
      <c r="BW163" s="234"/>
      <c r="BX163" s="280"/>
      <c r="BY163" s="234"/>
      <c r="BZ163" s="280"/>
      <c r="CA163" s="234"/>
      <c r="CB163" s="280"/>
      <c r="CC163" s="234"/>
      <c r="CD163" s="280"/>
      <c r="CE163" s="234"/>
      <c r="CF163" s="280"/>
      <c r="CG163" s="234"/>
      <c r="CH163" s="280"/>
      <c r="CI163" s="234"/>
      <c r="CJ163" s="234"/>
      <c r="CK163" s="234"/>
      <c r="CL163" s="234"/>
      <c r="CM163" s="234"/>
      <c r="CN163" s="234"/>
      <c r="CO163" s="234"/>
      <c r="CP163" s="234"/>
      <c r="CQ163" s="234"/>
      <c r="CR163" s="234"/>
      <c r="CS163" s="234"/>
      <c r="CT163" s="234"/>
      <c r="CU163" s="234"/>
      <c r="CV163" s="198"/>
      <c r="CW163" s="234"/>
      <c r="CX163" s="234"/>
      <c r="CY163" s="436"/>
      <c r="CZ163" s="234"/>
      <c r="DA163" s="234"/>
      <c r="DB163" s="436"/>
      <c r="DC163" s="234"/>
      <c r="DD163" s="234"/>
      <c r="DE163" s="436"/>
      <c r="DF163" s="425"/>
      <c r="DG163" s="234"/>
      <c r="DH163" s="436"/>
      <c r="DI163" s="425"/>
      <c r="DJ163" s="234"/>
      <c r="DK163" s="436"/>
      <c r="DL163" s="425"/>
      <c r="DM163" s="234"/>
      <c r="DN163" s="436"/>
      <c r="DO163" s="436"/>
      <c r="DP163" s="436"/>
      <c r="DQ163" s="436"/>
      <c r="DR163" s="580"/>
      <c r="DS163" s="436"/>
      <c r="DT163" s="436"/>
      <c r="DU163" s="580"/>
      <c r="DV163" s="436"/>
      <c r="DW163" s="436"/>
      <c r="DX163" s="580"/>
      <c r="DY163" s="580"/>
      <c r="DZ163" s="580"/>
      <c r="EA163" s="580"/>
      <c r="EB163" s="580"/>
      <c r="EC163" s="580"/>
      <c r="ED163" s="580"/>
      <c r="EE163" s="580"/>
      <c r="EF163" s="580"/>
      <c r="EG163" s="580"/>
      <c r="EH163" s="580"/>
      <c r="EI163" s="580"/>
      <c r="EJ163" s="580"/>
      <c r="EK163" s="580"/>
      <c r="EL163" s="580"/>
      <c r="EM163" s="580"/>
      <c r="EN163" s="580"/>
      <c r="EO163" s="580"/>
      <c r="EP163" s="580"/>
      <c r="EQ163" s="580"/>
      <c r="ER163" s="580"/>
      <c r="ES163" s="580"/>
      <c r="ET163" s="580"/>
      <c r="EU163" s="580"/>
      <c r="EV163" s="580"/>
      <c r="EW163" s="580"/>
      <c r="EX163" s="580"/>
      <c r="EY163" s="580"/>
      <c r="EZ163" s="580"/>
      <c r="FA163" s="580"/>
      <c r="FB163" s="580"/>
      <c r="FC163" s="580"/>
      <c r="FD163" s="580"/>
      <c r="FE163" s="580"/>
      <c r="FF163" s="580"/>
      <c r="FG163" s="580"/>
      <c r="FH163" s="580"/>
      <c r="FI163" s="580"/>
      <c r="FJ163" s="580"/>
      <c r="FK163" s="580"/>
      <c r="FL163" s="580"/>
      <c r="FM163" s="580"/>
      <c r="FN163" s="580"/>
      <c r="FO163" s="580"/>
      <c r="FP163" s="580"/>
      <c r="FQ163" s="580"/>
      <c r="FR163" s="580"/>
      <c r="FS163" s="580"/>
      <c r="FT163" s="580"/>
      <c r="FU163" s="580"/>
      <c r="FV163" s="580"/>
      <c r="FW163" s="580"/>
      <c r="FX163" s="580"/>
      <c r="FY163" s="580"/>
      <c r="FZ163" s="580"/>
      <c r="GA163" s="580"/>
      <c r="GB163" s="580"/>
      <c r="GC163" s="580"/>
      <c r="GD163" s="580"/>
      <c r="GE163" s="580"/>
      <c r="GF163" s="580"/>
      <c r="GG163" s="580"/>
      <c r="GH163" s="580"/>
      <c r="GI163" s="580"/>
      <c r="GJ163" s="580"/>
      <c r="GK163" s="580"/>
      <c r="GL163" s="580"/>
      <c r="GM163" s="580"/>
      <c r="GN163" s="580"/>
      <c r="GO163" s="580"/>
      <c r="GP163" s="580"/>
      <c r="GQ163" s="580"/>
      <c r="GR163" s="580"/>
      <c r="GS163" s="580"/>
      <c r="GT163" s="580"/>
      <c r="GU163" s="580"/>
      <c r="GV163" s="580"/>
      <c r="GW163" s="1036"/>
      <c r="GX163" s="580"/>
      <c r="GY163" s="580"/>
      <c r="GZ163" s="1036"/>
      <c r="HA163" s="580"/>
      <c r="HB163" s="580"/>
      <c r="HC163" s="1036"/>
      <c r="HD163" s="580"/>
      <c r="HE163" s="580"/>
      <c r="HF163" s="1036"/>
      <c r="HG163" s="580"/>
      <c r="HH163" s="580"/>
      <c r="HI163" s="1036"/>
      <c r="HJ163" s="580"/>
      <c r="HK163" s="580"/>
      <c r="HL163" s="1036"/>
      <c r="HM163" s="580"/>
      <c r="HN163" s="580"/>
      <c r="HO163" s="580"/>
      <c r="HP163" s="580"/>
      <c r="HQ163" s="580"/>
      <c r="HR163" s="580"/>
      <c r="HS163" s="580"/>
      <c r="HT163" s="580"/>
      <c r="HU163" s="580"/>
      <c r="HV163" s="580"/>
      <c r="HW163" s="580"/>
      <c r="HX163" s="580"/>
      <c r="HY163" s="580"/>
      <c r="HZ163" s="580"/>
      <c r="IA163" s="198"/>
    </row>
    <row r="164" spans="2:235" ht="14.25" hidden="1" customHeight="1">
      <c r="B164" s="242" t="s">
        <v>463</v>
      </c>
      <c r="D164" s="278">
        <v>5405000</v>
      </c>
      <c r="E164" s="234"/>
      <c r="F164" s="280">
        <v>4776666.67</v>
      </c>
      <c r="G164" s="234"/>
      <c r="H164" s="280">
        <v>6264333.3399999999</v>
      </c>
      <c r="I164" s="268"/>
      <c r="J164" s="280"/>
      <c r="K164" s="268"/>
      <c r="L164" s="280"/>
      <c r="M164" s="234"/>
      <c r="N164" s="280"/>
      <c r="O164" s="234"/>
      <c r="P164" s="280"/>
      <c r="Q164" s="234"/>
      <c r="R164" s="280"/>
      <c r="S164" s="234"/>
      <c r="T164" s="280"/>
      <c r="U164" s="234"/>
      <c r="V164" s="280"/>
      <c r="W164" s="234"/>
      <c r="X164" s="280"/>
      <c r="Y164" s="234"/>
      <c r="Z164" s="280"/>
      <c r="AA164" s="234"/>
      <c r="AB164" s="280"/>
      <c r="AC164" s="234"/>
      <c r="AD164" s="280"/>
      <c r="AE164" s="234"/>
      <c r="AF164" s="280"/>
      <c r="AG164" s="234"/>
      <c r="AH164" s="280"/>
      <c r="AI164" s="234"/>
      <c r="AJ164" s="280"/>
      <c r="AK164" s="234"/>
      <c r="AL164" s="280"/>
      <c r="AM164" s="234"/>
      <c r="AN164" s="280"/>
      <c r="AO164" s="234"/>
      <c r="AP164" s="280"/>
      <c r="AQ164" s="234"/>
      <c r="AR164" s="280"/>
      <c r="AS164" s="234"/>
      <c r="AT164" s="280"/>
      <c r="AU164" s="234"/>
      <c r="AV164" s="280"/>
      <c r="AW164" s="234"/>
      <c r="AX164" s="280"/>
      <c r="AY164" s="234"/>
      <c r="AZ164" s="280"/>
      <c r="BA164" s="234"/>
      <c r="BB164" s="280"/>
      <c r="BC164" s="234"/>
      <c r="BD164" s="280"/>
      <c r="BE164" s="234"/>
      <c r="BF164" s="280"/>
      <c r="BG164" s="234"/>
      <c r="BH164" s="280"/>
      <c r="BI164" s="234"/>
      <c r="BJ164" s="280"/>
      <c r="BK164" s="234"/>
      <c r="BL164" s="280"/>
      <c r="BM164" s="234"/>
      <c r="BN164" s="280"/>
      <c r="BO164" s="234"/>
      <c r="BP164" s="280"/>
      <c r="BQ164" s="234"/>
      <c r="BR164" s="280"/>
      <c r="BS164" s="234"/>
      <c r="BT164" s="280"/>
      <c r="BU164" s="234"/>
      <c r="BV164" s="280"/>
      <c r="BW164" s="234"/>
      <c r="BX164" s="280"/>
      <c r="BY164" s="234"/>
      <c r="BZ164" s="280"/>
      <c r="CA164" s="234"/>
      <c r="CB164" s="280"/>
      <c r="CC164" s="234"/>
      <c r="CD164" s="280"/>
      <c r="CE164" s="234"/>
      <c r="CF164" s="280"/>
      <c r="CG164" s="234"/>
      <c r="CH164" s="280"/>
      <c r="CI164" s="234"/>
      <c r="CJ164" s="234"/>
      <c r="CK164" s="234"/>
      <c r="CL164" s="234"/>
      <c r="CM164" s="234"/>
      <c r="CN164" s="234"/>
      <c r="CO164" s="234"/>
      <c r="CP164" s="234"/>
      <c r="CQ164" s="234"/>
      <c r="CR164" s="234"/>
      <c r="CS164" s="234"/>
      <c r="CT164" s="234"/>
      <c r="CU164" s="234"/>
      <c r="CV164" s="198"/>
      <c r="CW164" s="234"/>
      <c r="CX164" s="234"/>
      <c r="CY164" s="436"/>
      <c r="CZ164" s="234"/>
      <c r="DA164" s="234"/>
      <c r="DB164" s="436"/>
      <c r="DC164" s="234"/>
      <c r="DD164" s="234"/>
      <c r="DE164" s="436"/>
      <c r="DF164" s="425"/>
      <c r="DG164" s="234"/>
      <c r="DH164" s="436"/>
      <c r="DI164" s="425"/>
      <c r="DJ164" s="234"/>
      <c r="DK164" s="436"/>
      <c r="DL164" s="425"/>
      <c r="DM164" s="234"/>
      <c r="DN164" s="436"/>
      <c r="DO164" s="436"/>
      <c r="DP164" s="436"/>
      <c r="DQ164" s="436"/>
      <c r="DR164" s="580"/>
      <c r="DS164" s="436"/>
      <c r="DT164" s="436"/>
      <c r="DU164" s="580"/>
      <c r="DV164" s="436"/>
      <c r="DW164" s="436"/>
      <c r="DX164" s="580"/>
      <c r="DY164" s="580"/>
      <c r="DZ164" s="580"/>
      <c r="EA164" s="580"/>
      <c r="EB164" s="580"/>
      <c r="EC164" s="580"/>
      <c r="ED164" s="580"/>
      <c r="EE164" s="580"/>
      <c r="EF164" s="580"/>
      <c r="EG164" s="580"/>
      <c r="EH164" s="580"/>
      <c r="EI164" s="580"/>
      <c r="EJ164" s="580"/>
      <c r="EK164" s="580"/>
      <c r="EL164" s="580"/>
      <c r="EM164" s="580"/>
      <c r="EN164" s="580"/>
      <c r="EO164" s="580"/>
      <c r="EP164" s="580"/>
      <c r="EQ164" s="580"/>
      <c r="ER164" s="580"/>
      <c r="ES164" s="580"/>
      <c r="ET164" s="580"/>
      <c r="EU164" s="580"/>
      <c r="EV164" s="580"/>
      <c r="EW164" s="580"/>
      <c r="EX164" s="580"/>
      <c r="EY164" s="580"/>
      <c r="EZ164" s="580"/>
      <c r="FA164" s="580"/>
      <c r="FB164" s="580"/>
      <c r="FC164" s="580"/>
      <c r="FD164" s="580"/>
      <c r="FE164" s="580"/>
      <c r="FF164" s="580"/>
      <c r="FG164" s="580"/>
      <c r="FH164" s="580"/>
      <c r="FI164" s="580"/>
      <c r="FJ164" s="580"/>
      <c r="FK164" s="580"/>
      <c r="FL164" s="580"/>
      <c r="FM164" s="580"/>
      <c r="FN164" s="580"/>
      <c r="FO164" s="580"/>
      <c r="FP164" s="580"/>
      <c r="FQ164" s="580"/>
      <c r="FR164" s="580"/>
      <c r="FS164" s="580"/>
      <c r="FT164" s="580"/>
      <c r="FU164" s="580"/>
      <c r="FV164" s="580"/>
      <c r="FW164" s="580"/>
      <c r="FX164" s="580"/>
      <c r="FY164" s="580"/>
      <c r="FZ164" s="580"/>
      <c r="GA164" s="580"/>
      <c r="GB164" s="580"/>
      <c r="GC164" s="580"/>
      <c r="GD164" s="580"/>
      <c r="GE164" s="580"/>
      <c r="GF164" s="580"/>
      <c r="GG164" s="580"/>
      <c r="GH164" s="580"/>
      <c r="GI164" s="580"/>
      <c r="GJ164" s="580"/>
      <c r="GK164" s="580"/>
      <c r="GL164" s="580"/>
      <c r="GM164" s="580"/>
      <c r="GN164" s="580"/>
      <c r="GO164" s="580"/>
      <c r="GP164" s="580"/>
      <c r="GQ164" s="580"/>
      <c r="GR164" s="580"/>
      <c r="GS164" s="580"/>
      <c r="GT164" s="580"/>
      <c r="GU164" s="580"/>
      <c r="GV164" s="580"/>
      <c r="GW164" s="1036"/>
      <c r="GX164" s="580"/>
      <c r="GY164" s="580"/>
      <c r="GZ164" s="1036"/>
      <c r="HA164" s="580"/>
      <c r="HB164" s="580"/>
      <c r="HC164" s="1036"/>
      <c r="HD164" s="580"/>
      <c r="HE164" s="580"/>
      <c r="HF164" s="1036"/>
      <c r="HG164" s="580"/>
      <c r="HH164" s="580"/>
      <c r="HI164" s="1036"/>
      <c r="HJ164" s="580"/>
      <c r="HK164" s="580"/>
      <c r="HL164" s="1036"/>
      <c r="HM164" s="580"/>
      <c r="HN164" s="580"/>
      <c r="HO164" s="580"/>
      <c r="HP164" s="580"/>
      <c r="HQ164" s="580"/>
      <c r="HR164" s="580"/>
      <c r="HS164" s="580"/>
      <c r="HT164" s="580"/>
      <c r="HU164" s="580"/>
      <c r="HV164" s="580"/>
      <c r="HW164" s="580"/>
      <c r="HX164" s="580"/>
      <c r="HY164" s="580"/>
      <c r="HZ164" s="580"/>
      <c r="IA164" s="198"/>
    </row>
    <row r="165" spans="2:235" ht="14.25" hidden="1" customHeight="1">
      <c r="B165" s="242" t="s">
        <v>465</v>
      </c>
      <c r="D165" s="278">
        <v>2180000</v>
      </c>
      <c r="E165" s="234"/>
      <c r="F165" s="280">
        <v>1969000</v>
      </c>
      <c r="G165" s="234"/>
      <c r="H165" s="280">
        <v>3450000</v>
      </c>
      <c r="I165" s="268"/>
      <c r="J165" s="280"/>
      <c r="K165" s="268"/>
      <c r="L165" s="280"/>
      <c r="M165" s="234"/>
      <c r="N165" s="280"/>
      <c r="O165" s="234"/>
      <c r="P165" s="280"/>
      <c r="Q165" s="234"/>
      <c r="R165" s="280"/>
      <c r="S165" s="234"/>
      <c r="T165" s="280"/>
      <c r="U165" s="234"/>
      <c r="V165" s="280"/>
      <c r="W165" s="234"/>
      <c r="X165" s="280"/>
      <c r="Y165" s="234"/>
      <c r="Z165" s="280"/>
      <c r="AA165" s="234"/>
      <c r="AB165" s="280"/>
      <c r="AC165" s="234"/>
      <c r="AD165" s="280"/>
      <c r="AE165" s="234"/>
      <c r="AF165" s="280"/>
      <c r="AG165" s="234"/>
      <c r="AH165" s="280"/>
      <c r="AI165" s="234"/>
      <c r="AJ165" s="280"/>
      <c r="AK165" s="234"/>
      <c r="AL165" s="280"/>
      <c r="AM165" s="234"/>
      <c r="AN165" s="280"/>
      <c r="AO165" s="234"/>
      <c r="AP165" s="280"/>
      <c r="AQ165" s="234"/>
      <c r="AR165" s="280"/>
      <c r="AS165" s="234"/>
      <c r="AT165" s="280"/>
      <c r="AU165" s="234"/>
      <c r="AV165" s="280"/>
      <c r="AW165" s="234"/>
      <c r="AX165" s="280"/>
      <c r="AY165" s="234"/>
      <c r="AZ165" s="280"/>
      <c r="BA165" s="234"/>
      <c r="BB165" s="280"/>
      <c r="BC165" s="234"/>
      <c r="BD165" s="280"/>
      <c r="BE165" s="234"/>
      <c r="BF165" s="280"/>
      <c r="BG165" s="234"/>
      <c r="BH165" s="280"/>
      <c r="BI165" s="234"/>
      <c r="BJ165" s="280"/>
      <c r="BK165" s="234"/>
      <c r="BL165" s="280"/>
      <c r="BM165" s="234"/>
      <c r="BN165" s="280"/>
      <c r="BO165" s="234"/>
      <c r="BP165" s="280"/>
      <c r="BQ165" s="234"/>
      <c r="BR165" s="280"/>
      <c r="BS165" s="234"/>
      <c r="BT165" s="280"/>
      <c r="BU165" s="234"/>
      <c r="BV165" s="280"/>
      <c r="BW165" s="234"/>
      <c r="BX165" s="280"/>
      <c r="BY165" s="234"/>
      <c r="BZ165" s="280"/>
      <c r="CA165" s="234"/>
      <c r="CB165" s="280"/>
      <c r="CC165" s="234"/>
      <c r="CD165" s="280"/>
      <c r="CE165" s="234"/>
      <c r="CF165" s="280"/>
      <c r="CG165" s="234"/>
      <c r="CH165" s="280"/>
      <c r="CI165" s="234"/>
      <c r="CJ165" s="234"/>
      <c r="CK165" s="234"/>
      <c r="CL165" s="234"/>
      <c r="CM165" s="234"/>
      <c r="CN165" s="234"/>
      <c r="CO165" s="234"/>
      <c r="CP165" s="234"/>
      <c r="CQ165" s="234"/>
      <c r="CR165" s="234"/>
      <c r="CS165" s="234"/>
      <c r="CT165" s="234"/>
      <c r="CU165" s="234"/>
      <c r="CV165" s="198"/>
      <c r="CW165" s="234"/>
      <c r="CX165" s="234"/>
      <c r="CY165" s="436"/>
      <c r="CZ165" s="234"/>
      <c r="DA165" s="234"/>
      <c r="DB165" s="436"/>
      <c r="DC165" s="234"/>
      <c r="DD165" s="234"/>
      <c r="DE165" s="436"/>
      <c r="DF165" s="425"/>
      <c r="DG165" s="234"/>
      <c r="DH165" s="436"/>
      <c r="DI165" s="425"/>
      <c r="DJ165" s="234"/>
      <c r="DK165" s="436"/>
      <c r="DL165" s="425"/>
      <c r="DM165" s="234"/>
      <c r="DN165" s="436"/>
      <c r="DO165" s="436"/>
      <c r="DP165" s="436"/>
      <c r="DQ165" s="436"/>
      <c r="DR165" s="580"/>
      <c r="DS165" s="436"/>
      <c r="DT165" s="436"/>
      <c r="DU165" s="580"/>
      <c r="DV165" s="436"/>
      <c r="DW165" s="436"/>
      <c r="DX165" s="580"/>
      <c r="DY165" s="580"/>
      <c r="DZ165" s="580"/>
      <c r="EA165" s="580"/>
      <c r="EB165" s="580"/>
      <c r="EC165" s="580"/>
      <c r="ED165" s="580"/>
      <c r="EE165" s="580"/>
      <c r="EF165" s="580"/>
      <c r="EG165" s="580"/>
      <c r="EH165" s="580"/>
      <c r="EI165" s="580"/>
      <c r="EJ165" s="580"/>
      <c r="EK165" s="580"/>
      <c r="EL165" s="580"/>
      <c r="EM165" s="580"/>
      <c r="EN165" s="580"/>
      <c r="EO165" s="580"/>
      <c r="EP165" s="580"/>
      <c r="EQ165" s="580"/>
      <c r="ER165" s="580"/>
      <c r="ES165" s="580"/>
      <c r="ET165" s="580"/>
      <c r="EU165" s="580"/>
      <c r="EV165" s="580"/>
      <c r="EW165" s="580"/>
      <c r="EX165" s="580"/>
      <c r="EY165" s="580"/>
      <c r="EZ165" s="580"/>
      <c r="FA165" s="580"/>
      <c r="FB165" s="580"/>
      <c r="FC165" s="580"/>
      <c r="FD165" s="580"/>
      <c r="FE165" s="580"/>
      <c r="FF165" s="580"/>
      <c r="FG165" s="580"/>
      <c r="FH165" s="580"/>
      <c r="FI165" s="580"/>
      <c r="FJ165" s="580"/>
      <c r="FK165" s="580"/>
      <c r="FL165" s="580"/>
      <c r="FM165" s="580"/>
      <c r="FN165" s="580"/>
      <c r="FO165" s="580"/>
      <c r="FP165" s="580"/>
      <c r="FQ165" s="580"/>
      <c r="FT165" s="580"/>
      <c r="FW165" s="580"/>
      <c r="FZ165" s="580"/>
      <c r="GC165" s="580"/>
      <c r="GE165" s="580"/>
      <c r="GG165" s="580"/>
      <c r="GI165" s="580"/>
      <c r="GK165" s="580"/>
      <c r="GM165" s="580"/>
      <c r="GO165" s="580"/>
      <c r="GQ165" s="580"/>
      <c r="GT165" s="580"/>
      <c r="GW165" s="1036"/>
      <c r="GZ165" s="1036"/>
      <c r="HC165" s="1036"/>
      <c r="HF165" s="1036"/>
      <c r="HI165" s="1036"/>
      <c r="HL165" s="1036"/>
      <c r="HO165" s="580"/>
      <c r="HR165" s="580"/>
      <c r="HU165" s="580"/>
    </row>
    <row r="166" spans="2:235" ht="14.25" hidden="1" customHeight="1">
      <c r="B166" s="242" t="s">
        <v>467</v>
      </c>
      <c r="D166" s="278">
        <v>0</v>
      </c>
      <c r="E166" s="234"/>
      <c r="F166" s="280">
        <v>0</v>
      </c>
      <c r="G166" s="234"/>
      <c r="H166" s="280">
        <v>510000</v>
      </c>
      <c r="I166" s="268"/>
      <c r="J166" s="280"/>
      <c r="K166" s="268"/>
      <c r="L166" s="280"/>
      <c r="M166" s="234"/>
      <c r="N166" s="280"/>
      <c r="O166" s="234"/>
      <c r="P166" s="280"/>
      <c r="Q166" s="234"/>
      <c r="R166" s="280"/>
      <c r="S166" s="234"/>
      <c r="T166" s="280"/>
      <c r="U166" s="234"/>
      <c r="V166" s="280"/>
      <c r="W166" s="234"/>
      <c r="X166" s="280"/>
      <c r="Y166" s="234"/>
      <c r="Z166" s="280"/>
      <c r="AA166" s="234"/>
      <c r="AB166" s="280"/>
      <c r="AC166" s="234"/>
      <c r="AD166" s="280"/>
      <c r="AE166" s="234"/>
      <c r="AF166" s="280"/>
      <c r="AG166" s="234"/>
      <c r="AH166" s="280"/>
      <c r="AI166" s="234"/>
      <c r="AJ166" s="280"/>
      <c r="AK166" s="234"/>
      <c r="AL166" s="280"/>
      <c r="AM166" s="234"/>
      <c r="AN166" s="280"/>
      <c r="AO166" s="234"/>
      <c r="AP166" s="280"/>
      <c r="AQ166" s="234"/>
      <c r="AR166" s="280"/>
      <c r="AS166" s="234"/>
      <c r="AT166" s="280"/>
      <c r="AU166" s="234"/>
      <c r="AV166" s="280"/>
      <c r="AW166" s="234"/>
      <c r="AX166" s="280"/>
      <c r="AY166" s="234"/>
      <c r="AZ166" s="280"/>
      <c r="BA166" s="234"/>
      <c r="BB166" s="280"/>
      <c r="BC166" s="234"/>
      <c r="BD166" s="280"/>
      <c r="BE166" s="234"/>
      <c r="BF166" s="280"/>
      <c r="BG166" s="234"/>
      <c r="BH166" s="280"/>
      <c r="BI166" s="234"/>
      <c r="BJ166" s="280"/>
      <c r="BK166" s="234"/>
      <c r="BL166" s="280"/>
      <c r="BM166" s="234"/>
      <c r="BN166" s="280"/>
      <c r="BO166" s="234"/>
      <c r="BP166" s="280"/>
      <c r="BQ166" s="234"/>
      <c r="BR166" s="280"/>
      <c r="BS166" s="234"/>
      <c r="BT166" s="280"/>
      <c r="BU166" s="234"/>
      <c r="BV166" s="280"/>
      <c r="BW166" s="234"/>
      <c r="BX166" s="280"/>
      <c r="BY166" s="234"/>
      <c r="BZ166" s="280"/>
      <c r="CA166" s="234"/>
      <c r="CB166" s="280"/>
      <c r="CC166" s="234"/>
      <c r="CD166" s="280"/>
      <c r="CE166" s="234"/>
      <c r="CF166" s="280"/>
      <c r="CG166" s="234"/>
      <c r="CH166" s="280"/>
      <c r="CI166" s="234"/>
      <c r="CJ166" s="234"/>
      <c r="CK166" s="234"/>
      <c r="CL166" s="234"/>
      <c r="CM166" s="234"/>
      <c r="CN166" s="234"/>
      <c r="CO166" s="234"/>
      <c r="CP166" s="234"/>
      <c r="CQ166" s="234"/>
      <c r="CR166" s="234"/>
      <c r="CS166" s="234"/>
      <c r="CT166" s="234"/>
      <c r="CU166" s="234"/>
      <c r="CV166" s="198"/>
      <c r="CW166" s="234"/>
      <c r="CX166" s="234"/>
      <c r="CY166" s="436"/>
      <c r="CZ166" s="234"/>
      <c r="DA166" s="234"/>
      <c r="DB166" s="436"/>
      <c r="DC166" s="234"/>
      <c r="DD166" s="234"/>
      <c r="DE166" s="436"/>
      <c r="DF166" s="425"/>
      <c r="DG166" s="234"/>
      <c r="DH166" s="436"/>
      <c r="DI166" s="425"/>
      <c r="DJ166" s="234"/>
      <c r="DK166" s="436"/>
      <c r="DL166" s="425"/>
      <c r="DM166" s="234"/>
      <c r="DN166" s="436"/>
      <c r="DO166" s="436"/>
      <c r="DP166" s="436"/>
      <c r="DQ166" s="436"/>
      <c r="DR166" s="580"/>
      <c r="DS166" s="436"/>
      <c r="DT166" s="436"/>
      <c r="DU166" s="580"/>
      <c r="DV166" s="436"/>
      <c r="DW166" s="436"/>
      <c r="DX166" s="580"/>
      <c r="DY166" s="580"/>
      <c r="DZ166" s="580"/>
      <c r="EA166" s="580"/>
      <c r="EB166" s="580"/>
      <c r="EC166" s="580"/>
      <c r="ED166" s="580"/>
      <c r="EE166" s="580"/>
      <c r="EF166" s="580"/>
      <c r="EG166" s="580"/>
      <c r="EH166" s="580"/>
      <c r="EI166" s="580"/>
      <c r="EJ166" s="580"/>
      <c r="EK166" s="580"/>
      <c r="EL166" s="580"/>
      <c r="EM166" s="580"/>
      <c r="EN166" s="580"/>
      <c r="EO166" s="580"/>
      <c r="EP166" s="580"/>
      <c r="EQ166" s="580"/>
      <c r="ER166" s="580"/>
      <c r="ES166" s="580"/>
      <c r="ET166" s="580"/>
      <c r="EU166" s="580"/>
      <c r="EV166" s="580"/>
      <c r="EW166" s="580"/>
      <c r="EX166" s="580"/>
      <c r="EY166" s="580"/>
      <c r="EZ166" s="580"/>
      <c r="FA166" s="580"/>
      <c r="FB166" s="580"/>
      <c r="FC166" s="580"/>
      <c r="FD166" s="580"/>
      <c r="FE166" s="580"/>
      <c r="FF166" s="580"/>
      <c r="FG166" s="580"/>
      <c r="FH166" s="580"/>
      <c r="FI166" s="580"/>
      <c r="FJ166" s="580"/>
      <c r="FK166" s="580"/>
      <c r="FL166" s="580"/>
      <c r="FM166" s="580"/>
      <c r="FN166" s="580"/>
      <c r="FO166" s="580"/>
      <c r="FP166" s="580"/>
      <c r="FQ166" s="580"/>
      <c r="FT166" s="580"/>
      <c r="FW166" s="580"/>
      <c r="FZ166" s="580"/>
      <c r="GC166" s="580"/>
      <c r="GE166" s="580"/>
      <c r="GG166" s="580"/>
      <c r="GI166" s="580"/>
      <c r="GK166" s="580"/>
      <c r="GM166" s="580"/>
      <c r="GO166" s="580"/>
      <c r="GQ166" s="580"/>
      <c r="GT166" s="580"/>
      <c r="GW166" s="1036"/>
      <c r="GZ166" s="1036"/>
      <c r="HC166" s="1036"/>
      <c r="HF166" s="1036"/>
      <c r="HI166" s="1036"/>
      <c r="HL166" s="1036"/>
      <c r="HO166" s="580"/>
      <c r="HR166" s="580"/>
      <c r="HU166" s="580"/>
    </row>
    <row r="167" spans="2:235" ht="14.25" hidden="1" customHeight="1">
      <c r="B167" s="242" t="s">
        <v>469</v>
      </c>
      <c r="D167" s="278">
        <v>0</v>
      </c>
      <c r="E167" s="234"/>
      <c r="F167" s="280">
        <v>166153.82999999999</v>
      </c>
      <c r="G167" s="234"/>
      <c r="H167" s="280">
        <v>590591.71</v>
      </c>
      <c r="I167" s="268"/>
      <c r="J167" s="280"/>
      <c r="K167" s="268"/>
      <c r="L167" s="280"/>
      <c r="M167" s="234"/>
      <c r="N167" s="280"/>
      <c r="O167" s="234"/>
      <c r="P167" s="280"/>
      <c r="Q167" s="234"/>
      <c r="R167" s="280"/>
      <c r="S167" s="234"/>
      <c r="T167" s="280"/>
      <c r="U167" s="234"/>
      <c r="V167" s="280"/>
      <c r="W167" s="234"/>
      <c r="X167" s="280"/>
      <c r="Y167" s="234"/>
      <c r="Z167" s="280"/>
      <c r="AA167" s="234"/>
      <c r="AB167" s="280"/>
      <c r="AC167" s="234"/>
      <c r="AD167" s="280"/>
      <c r="AE167" s="234"/>
      <c r="AF167" s="280"/>
      <c r="AG167" s="234"/>
      <c r="AH167" s="280"/>
      <c r="AI167" s="234"/>
      <c r="AJ167" s="280"/>
      <c r="AK167" s="234"/>
      <c r="AL167" s="280"/>
      <c r="AM167" s="234"/>
      <c r="AN167" s="280"/>
      <c r="AO167" s="234"/>
      <c r="AP167" s="280"/>
      <c r="AQ167" s="234"/>
      <c r="AR167" s="280"/>
      <c r="AS167" s="234"/>
      <c r="AT167" s="280"/>
      <c r="AU167" s="234"/>
      <c r="AV167" s="280"/>
      <c r="AW167" s="234"/>
      <c r="AX167" s="280"/>
      <c r="AY167" s="234"/>
      <c r="AZ167" s="280"/>
      <c r="BA167" s="234"/>
      <c r="BB167" s="280"/>
      <c r="BC167" s="234"/>
      <c r="BD167" s="280"/>
      <c r="BE167" s="234"/>
      <c r="BF167" s="280"/>
      <c r="BG167" s="234"/>
      <c r="BH167" s="280"/>
      <c r="BI167" s="234"/>
      <c r="BJ167" s="280"/>
      <c r="BK167" s="234"/>
      <c r="BL167" s="280"/>
      <c r="BM167" s="234"/>
      <c r="BN167" s="280"/>
      <c r="BO167" s="234"/>
      <c r="BP167" s="280"/>
      <c r="BQ167" s="234"/>
      <c r="BR167" s="280"/>
      <c r="BS167" s="234"/>
      <c r="BT167" s="280"/>
      <c r="BU167" s="234"/>
      <c r="BV167" s="280"/>
      <c r="BW167" s="234"/>
      <c r="BX167" s="280"/>
      <c r="BY167" s="234"/>
      <c r="BZ167" s="280"/>
      <c r="CA167" s="234"/>
      <c r="CB167" s="280"/>
      <c r="CC167" s="234"/>
      <c r="CD167" s="280"/>
      <c r="CE167" s="234"/>
      <c r="CF167" s="280"/>
      <c r="CG167" s="234"/>
      <c r="CH167" s="280"/>
      <c r="CI167" s="234"/>
      <c r="CJ167" s="234"/>
      <c r="CK167" s="234"/>
      <c r="CL167" s="234"/>
      <c r="CM167" s="234"/>
      <c r="CN167" s="234"/>
      <c r="CO167" s="234"/>
      <c r="CP167" s="234"/>
      <c r="CQ167" s="234"/>
      <c r="CR167" s="234"/>
      <c r="CS167" s="234"/>
      <c r="CT167" s="234"/>
      <c r="CU167" s="234"/>
      <c r="CV167" s="198"/>
      <c r="CW167" s="234"/>
      <c r="CX167" s="234"/>
      <c r="CY167" s="436"/>
      <c r="CZ167" s="234"/>
      <c r="DA167" s="234"/>
      <c r="DB167" s="436"/>
      <c r="DC167" s="234"/>
      <c r="DD167" s="234"/>
      <c r="DE167" s="436"/>
      <c r="DF167" s="425"/>
      <c r="DG167" s="234"/>
      <c r="DH167" s="436"/>
      <c r="DI167" s="425"/>
      <c r="DJ167" s="234"/>
      <c r="DK167" s="436"/>
      <c r="DL167" s="425"/>
      <c r="DM167" s="234"/>
      <c r="DN167" s="436"/>
      <c r="DO167" s="436"/>
      <c r="DP167" s="436"/>
      <c r="DQ167" s="436"/>
      <c r="DR167" s="580"/>
      <c r="DS167" s="436"/>
      <c r="DT167" s="436"/>
      <c r="DU167" s="580"/>
      <c r="DV167" s="436"/>
      <c r="DW167" s="436"/>
      <c r="DX167" s="580"/>
      <c r="DY167" s="580"/>
      <c r="DZ167" s="580"/>
      <c r="EA167" s="580"/>
      <c r="EB167" s="580"/>
      <c r="EC167" s="580"/>
      <c r="ED167" s="580"/>
      <c r="EE167" s="580"/>
      <c r="EF167" s="580"/>
      <c r="EG167" s="580"/>
      <c r="EH167" s="580"/>
      <c r="EI167" s="580"/>
      <c r="EJ167" s="580"/>
      <c r="EK167" s="580"/>
      <c r="EL167" s="580"/>
      <c r="EM167" s="580"/>
      <c r="EN167" s="580"/>
      <c r="EO167" s="580"/>
      <c r="EP167" s="580"/>
      <c r="EQ167" s="580"/>
      <c r="ER167" s="580"/>
      <c r="ES167" s="580"/>
      <c r="ET167" s="580"/>
      <c r="EU167" s="580"/>
      <c r="EV167" s="580"/>
      <c r="EW167" s="580"/>
      <c r="EX167" s="580"/>
      <c r="EY167" s="580"/>
      <c r="EZ167" s="580"/>
      <c r="FA167" s="580"/>
      <c r="FB167" s="580"/>
      <c r="FC167" s="580"/>
      <c r="FD167" s="580"/>
      <c r="FE167" s="580"/>
      <c r="FF167" s="580"/>
      <c r="FG167" s="580"/>
      <c r="FH167" s="580"/>
      <c r="FI167" s="580"/>
      <c r="FJ167" s="580"/>
      <c r="FK167" s="580"/>
      <c r="FL167" s="580"/>
      <c r="FM167" s="580"/>
      <c r="FN167" s="580"/>
      <c r="FO167" s="580"/>
      <c r="FP167" s="580"/>
      <c r="FQ167" s="580"/>
      <c r="FT167" s="580"/>
      <c r="FW167" s="580"/>
      <c r="FZ167" s="580"/>
      <c r="GC167" s="580"/>
      <c r="GE167" s="580"/>
      <c r="GG167" s="580"/>
      <c r="GI167" s="580"/>
      <c r="GK167" s="580"/>
      <c r="GM167" s="580"/>
      <c r="GO167" s="580"/>
      <c r="GQ167" s="580"/>
      <c r="GT167" s="580"/>
      <c r="GW167" s="1036"/>
      <c r="GZ167" s="1036"/>
      <c r="HC167" s="1036"/>
      <c r="HF167" s="1036"/>
      <c r="HI167" s="1036"/>
      <c r="HL167" s="1036"/>
      <c r="HO167" s="580"/>
      <c r="HR167" s="580"/>
      <c r="HU167" s="580"/>
    </row>
    <row r="168" spans="2:235" ht="14.25" hidden="1" customHeight="1">
      <c r="B168" s="212" t="s">
        <v>399</v>
      </c>
      <c r="C168" s="212"/>
      <c r="D168" s="318">
        <v>9405000</v>
      </c>
      <c r="E168" s="315"/>
      <c r="F168" s="319">
        <v>8421820.5</v>
      </c>
      <c r="G168" s="315"/>
      <c r="H168" s="319">
        <v>12694925.050000001</v>
      </c>
      <c r="I168" s="320"/>
      <c r="J168" s="319"/>
      <c r="K168" s="320"/>
      <c r="L168" s="319"/>
      <c r="M168" s="315"/>
      <c r="N168" s="319"/>
      <c r="O168" s="315"/>
      <c r="P168" s="319"/>
      <c r="Q168" s="315"/>
      <c r="R168" s="319"/>
      <c r="S168" s="315"/>
      <c r="T168" s="319"/>
      <c r="U168" s="315"/>
      <c r="V168" s="319"/>
      <c r="W168" s="315"/>
      <c r="X168" s="319"/>
      <c r="Y168" s="315"/>
      <c r="Z168" s="319"/>
      <c r="AA168" s="315"/>
      <c r="AB168" s="319"/>
      <c r="AC168" s="315"/>
      <c r="AD168" s="319"/>
      <c r="AE168" s="315"/>
      <c r="AF168" s="319"/>
      <c r="AG168" s="315"/>
      <c r="AH168" s="319"/>
      <c r="AI168" s="315"/>
      <c r="AJ168" s="319"/>
      <c r="AK168" s="315"/>
      <c r="AL168" s="319"/>
      <c r="AM168" s="315"/>
      <c r="AN168" s="319"/>
      <c r="AO168" s="315"/>
      <c r="AP168" s="319"/>
      <c r="AQ168" s="315"/>
      <c r="AR168" s="319"/>
      <c r="AS168" s="315"/>
      <c r="AT168" s="319"/>
      <c r="AU168" s="315"/>
      <c r="AV168" s="319"/>
      <c r="AW168" s="315"/>
      <c r="AX168" s="319"/>
      <c r="AY168" s="315"/>
      <c r="AZ168" s="319"/>
      <c r="BA168" s="315"/>
      <c r="BB168" s="319"/>
      <c r="BC168" s="315"/>
      <c r="BD168" s="319"/>
      <c r="BE168" s="315"/>
      <c r="BF168" s="319"/>
      <c r="BG168" s="315"/>
      <c r="BH168" s="319"/>
      <c r="BI168" s="315"/>
      <c r="BJ168" s="319"/>
      <c r="BK168" s="315"/>
      <c r="BL168" s="319"/>
      <c r="BM168" s="315"/>
      <c r="BN168" s="319"/>
      <c r="BO168" s="315"/>
      <c r="BP168" s="319"/>
      <c r="BQ168" s="315"/>
      <c r="BR168" s="319"/>
      <c r="BS168" s="315"/>
      <c r="BT168" s="319"/>
      <c r="BU168" s="315"/>
      <c r="BV168" s="319"/>
      <c r="BW168" s="315"/>
      <c r="BX168" s="319"/>
      <c r="BY168" s="315"/>
      <c r="BZ168" s="319"/>
      <c r="CA168" s="315"/>
      <c r="CB168" s="319"/>
      <c r="CC168" s="315"/>
      <c r="CD168" s="319"/>
      <c r="CE168" s="315"/>
      <c r="CF168" s="319"/>
      <c r="CG168" s="315"/>
      <c r="CH168" s="319"/>
      <c r="CI168" s="315"/>
      <c r="CJ168" s="315"/>
      <c r="CK168" s="315"/>
      <c r="CL168" s="315"/>
      <c r="CM168" s="315"/>
      <c r="CN168" s="315"/>
      <c r="CO168" s="315"/>
      <c r="CP168" s="315"/>
      <c r="CQ168" s="315"/>
      <c r="CR168" s="315"/>
      <c r="CS168" s="315"/>
      <c r="CT168" s="315"/>
      <c r="CU168" s="315"/>
      <c r="CV168" s="198"/>
      <c r="CW168" s="315"/>
      <c r="CX168" s="315"/>
      <c r="CY168" s="444"/>
      <c r="CZ168" s="315"/>
      <c r="DA168" s="315"/>
      <c r="DB168" s="444"/>
      <c r="DC168" s="315"/>
      <c r="DD168" s="315"/>
      <c r="DE168" s="444"/>
      <c r="DF168" s="505"/>
      <c r="DG168" s="315"/>
      <c r="DH168" s="444"/>
      <c r="DI168" s="505"/>
      <c r="DJ168" s="315"/>
      <c r="DK168" s="444"/>
      <c r="DL168" s="505"/>
      <c r="DM168" s="315"/>
      <c r="DN168" s="444"/>
      <c r="DO168" s="444"/>
      <c r="DP168" s="444"/>
      <c r="DQ168" s="444"/>
      <c r="DR168" s="581"/>
      <c r="DS168" s="444"/>
      <c r="DT168" s="444"/>
      <c r="DU168" s="581"/>
      <c r="DV168" s="444"/>
      <c r="DW168" s="444"/>
      <c r="DX168" s="581"/>
      <c r="DY168" s="581"/>
      <c r="DZ168" s="581"/>
      <c r="EA168" s="581"/>
      <c r="EB168" s="581"/>
      <c r="EC168" s="581"/>
      <c r="ED168" s="581"/>
      <c r="EE168" s="581"/>
      <c r="EF168" s="581"/>
      <c r="EG168" s="581"/>
      <c r="EH168" s="581"/>
      <c r="EI168" s="581"/>
      <c r="EJ168" s="581"/>
      <c r="EK168" s="581"/>
      <c r="EL168" s="581"/>
      <c r="EM168" s="581"/>
      <c r="EN168" s="581"/>
      <c r="EO168" s="581"/>
      <c r="EP168" s="581"/>
      <c r="EQ168" s="581"/>
      <c r="ER168" s="581"/>
      <c r="ES168" s="581"/>
      <c r="ET168" s="581"/>
      <c r="EU168" s="581"/>
      <c r="EV168" s="581"/>
      <c r="EW168" s="581"/>
      <c r="EX168" s="581"/>
      <c r="EY168" s="581"/>
      <c r="EZ168" s="581"/>
      <c r="FA168" s="581"/>
      <c r="FB168" s="581"/>
      <c r="FC168" s="581"/>
      <c r="FD168" s="581"/>
      <c r="FE168" s="581"/>
      <c r="FF168" s="581"/>
      <c r="FG168" s="581"/>
      <c r="FH168" s="581"/>
      <c r="FI168" s="581"/>
      <c r="FJ168" s="581"/>
      <c r="FK168" s="581"/>
      <c r="FL168" s="581"/>
      <c r="FM168" s="581"/>
      <c r="FN168" s="581"/>
      <c r="FO168" s="581"/>
      <c r="FP168" s="581"/>
      <c r="FQ168" s="581"/>
      <c r="FT168" s="581"/>
      <c r="FW168" s="581"/>
      <c r="FZ168" s="581"/>
      <c r="GC168" s="581"/>
      <c r="GE168" s="581"/>
      <c r="GG168" s="581"/>
      <c r="GI168" s="581"/>
      <c r="GK168" s="581"/>
      <c r="GM168" s="581"/>
      <c r="GO168" s="581"/>
      <c r="GQ168" s="581"/>
      <c r="GT168" s="581"/>
      <c r="GW168" s="1055"/>
      <c r="GZ168" s="1055"/>
      <c r="HC168" s="1055"/>
      <c r="HF168" s="1055"/>
      <c r="HI168" s="1055"/>
      <c r="HL168" s="1055"/>
      <c r="HO168" s="581"/>
      <c r="HR168" s="581"/>
      <c r="HU168" s="581"/>
    </row>
    <row r="169" spans="2:235" ht="14.25" customHeight="1">
      <c r="B169" s="212"/>
      <c r="C169" s="212"/>
      <c r="D169" s="321"/>
      <c r="E169" s="315"/>
      <c r="F169" s="322"/>
      <c r="G169" s="315"/>
      <c r="H169" s="212"/>
      <c r="I169" s="320"/>
      <c r="J169" s="212"/>
      <c r="K169" s="320"/>
      <c r="L169" s="212"/>
      <c r="M169" s="315"/>
      <c r="N169" s="212"/>
      <c r="O169" s="315"/>
      <c r="P169" s="212"/>
      <c r="Q169" s="315"/>
      <c r="R169" s="212"/>
      <c r="S169" s="315"/>
      <c r="T169" s="212"/>
      <c r="U169" s="315"/>
      <c r="V169" s="212"/>
      <c r="W169" s="315"/>
      <c r="X169" s="212"/>
      <c r="Y169" s="315"/>
      <c r="Z169" s="212"/>
      <c r="AA169" s="315"/>
      <c r="AB169" s="212"/>
      <c r="AC169" s="315"/>
      <c r="AD169" s="212"/>
      <c r="AE169" s="315"/>
      <c r="AF169" s="212"/>
      <c r="AG169" s="315"/>
      <c r="AH169" s="212"/>
      <c r="AI169" s="315"/>
      <c r="AJ169" s="212"/>
      <c r="AK169" s="315"/>
      <c r="AL169" s="212"/>
      <c r="AM169" s="315"/>
      <c r="AN169" s="212"/>
      <c r="AO169" s="315"/>
      <c r="AP169" s="212"/>
      <c r="AQ169" s="315"/>
      <c r="AR169" s="212"/>
      <c r="AS169" s="315"/>
      <c r="AT169" s="212"/>
      <c r="AU169" s="315"/>
      <c r="AV169" s="212"/>
      <c r="AW169" s="315"/>
      <c r="AX169" s="212"/>
      <c r="AY169" s="315"/>
      <c r="AZ169" s="212"/>
      <c r="BA169" s="315"/>
      <c r="BB169" s="212"/>
      <c r="BC169" s="315"/>
      <c r="BD169" s="212"/>
      <c r="BE169" s="315"/>
      <c r="BF169" s="212"/>
      <c r="BG169" s="315"/>
      <c r="BH169" s="212"/>
      <c r="BI169" s="315"/>
      <c r="BJ169" s="212"/>
      <c r="BK169" s="315"/>
      <c r="BL169" s="212"/>
      <c r="BM169" s="315"/>
      <c r="BN169" s="212"/>
      <c r="BO169" s="315"/>
      <c r="BP169" s="212"/>
      <c r="BQ169" s="315"/>
      <c r="BR169" s="212"/>
      <c r="BS169" s="315"/>
      <c r="BT169" s="212"/>
      <c r="BU169" s="315"/>
      <c r="BV169" s="212"/>
      <c r="BW169" s="315"/>
      <c r="BX169" s="212"/>
      <c r="BY169" s="315"/>
      <c r="BZ169" s="212"/>
      <c r="CA169" s="315"/>
      <c r="CB169" s="212"/>
      <c r="CC169" s="315"/>
      <c r="CD169" s="212"/>
      <c r="CE169" s="315"/>
      <c r="CF169" s="212"/>
      <c r="CG169" s="315"/>
      <c r="CH169" s="212"/>
      <c r="CI169" s="315"/>
      <c r="CJ169" s="315"/>
      <c r="CK169" s="315"/>
      <c r="CL169" s="315"/>
      <c r="CM169" s="315"/>
      <c r="CN169" s="315"/>
      <c r="CO169" s="315"/>
      <c r="CP169" s="315"/>
      <c r="CQ169" s="315"/>
      <c r="CR169" s="315"/>
      <c r="CS169" s="315"/>
      <c r="CT169" s="315"/>
      <c r="CU169" s="315"/>
      <c r="CV169" s="198"/>
      <c r="CW169" s="315"/>
      <c r="CX169" s="315"/>
      <c r="CY169" s="444"/>
      <c r="CZ169" s="315"/>
      <c r="DA169" s="315"/>
      <c r="DB169" s="444"/>
      <c r="DC169" s="315"/>
      <c r="DD169" s="315"/>
      <c r="DE169" s="444"/>
      <c r="DF169" s="505"/>
      <c r="DG169" s="315"/>
      <c r="DH169" s="444"/>
      <c r="DI169" s="505"/>
      <c r="DJ169" s="315"/>
      <c r="DK169" s="444"/>
      <c r="DL169" s="505"/>
      <c r="DM169" s="315"/>
      <c r="DN169" s="444"/>
      <c r="DO169" s="444"/>
      <c r="DP169" s="444"/>
      <c r="DQ169" s="444"/>
      <c r="DR169" s="581"/>
      <c r="DS169" s="444"/>
      <c r="DT169" s="444"/>
      <c r="DU169" s="581"/>
      <c r="DV169" s="444"/>
      <c r="DW169" s="444"/>
      <c r="DX169" s="581"/>
      <c r="DY169" s="581"/>
      <c r="DZ169" s="581"/>
      <c r="EA169" s="581"/>
      <c r="EB169" s="581"/>
      <c r="EC169" s="581"/>
      <c r="ED169" s="581"/>
      <c r="EE169" s="581"/>
      <c r="EF169" s="581"/>
      <c r="EG169" s="581"/>
      <c r="EH169" s="581"/>
      <c r="EI169" s="581"/>
      <c r="EJ169" s="581"/>
      <c r="EK169" s="581"/>
      <c r="EL169" s="581"/>
      <c r="EM169" s="581"/>
      <c r="EN169" s="581"/>
      <c r="EO169" s="581"/>
      <c r="EP169" s="581"/>
      <c r="EQ169" s="581"/>
      <c r="ER169" s="581"/>
      <c r="ES169" s="581"/>
      <c r="ET169" s="581"/>
      <c r="EU169" s="581"/>
      <c r="EV169" s="581"/>
      <c r="EW169" s="581"/>
      <c r="EX169" s="581"/>
      <c r="EY169" s="581"/>
      <c r="EZ169" s="581"/>
      <c r="FA169" s="581"/>
      <c r="FB169" s="581"/>
      <c r="FC169" s="581"/>
      <c r="FD169" s="581"/>
      <c r="FE169" s="581"/>
      <c r="FF169" s="581"/>
      <c r="FG169" s="581"/>
      <c r="FH169" s="581"/>
      <c r="FI169" s="581"/>
      <c r="FJ169" s="581"/>
      <c r="FK169" s="581"/>
      <c r="FL169" s="581"/>
      <c r="FM169" s="581"/>
      <c r="FN169" s="581"/>
      <c r="FO169" s="581"/>
      <c r="FP169" s="581"/>
      <c r="FQ169" s="581"/>
      <c r="FT169" s="581"/>
      <c r="FW169" s="581"/>
      <c r="FZ169" s="581"/>
      <c r="GC169" s="581"/>
      <c r="GE169" s="581"/>
      <c r="GG169" s="581"/>
      <c r="GI169" s="581"/>
      <c r="GK169" s="581"/>
      <c r="GM169" s="581"/>
      <c r="GO169" s="581"/>
      <c r="GQ169" s="581"/>
      <c r="GT169" s="581"/>
      <c r="GW169" s="1055"/>
      <c r="GZ169" s="1055"/>
      <c r="HC169" s="1055"/>
      <c r="HF169" s="1055"/>
      <c r="HI169" s="1055"/>
      <c r="HL169" s="1055"/>
      <c r="HO169" s="581"/>
      <c r="HR169" s="581"/>
      <c r="HU169" s="581"/>
    </row>
    <row r="170" spans="2:235" ht="14.25" customHeight="1">
      <c r="B170" s="842" t="s">
        <v>604</v>
      </c>
      <c r="D170" s="267"/>
      <c r="E170" s="234"/>
      <c r="F170" s="240"/>
      <c r="G170" s="234"/>
      <c r="H170" s="157"/>
      <c r="I170" s="268"/>
      <c r="J170" s="157"/>
      <c r="K170" s="268"/>
      <c r="L170" s="157"/>
      <c r="M170" s="234"/>
      <c r="N170" s="157"/>
      <c r="O170" s="234"/>
      <c r="P170" s="157"/>
      <c r="Q170" s="234"/>
      <c r="R170" s="157"/>
      <c r="S170" s="234"/>
      <c r="T170" s="157"/>
      <c r="U170" s="234"/>
      <c r="V170" s="157"/>
      <c r="W170" s="234"/>
      <c r="X170" s="157"/>
      <c r="Y170" s="234"/>
      <c r="Z170" s="157"/>
      <c r="AA170" s="234"/>
      <c r="AB170" s="157"/>
      <c r="AC170" s="234"/>
      <c r="AD170" s="157"/>
      <c r="AE170" s="234"/>
      <c r="AF170" s="157"/>
      <c r="AG170" s="234"/>
      <c r="AH170" s="157"/>
      <c r="AI170" s="234"/>
      <c r="AJ170" s="157"/>
      <c r="AK170" s="234"/>
      <c r="AL170" s="157"/>
      <c r="AM170" s="234"/>
      <c r="AN170" s="157"/>
      <c r="AO170" s="234"/>
      <c r="AP170" s="157"/>
      <c r="AQ170" s="234"/>
      <c r="AR170" s="157"/>
      <c r="AS170" s="234"/>
      <c r="AT170" s="157"/>
      <c r="AU170" s="234"/>
      <c r="AV170" s="157"/>
      <c r="AW170" s="234"/>
      <c r="AX170" s="157"/>
      <c r="AY170" s="234"/>
      <c r="AZ170" s="157"/>
      <c r="BA170" s="234"/>
      <c r="BB170" s="157"/>
      <c r="BC170" s="234"/>
      <c r="BD170" s="157"/>
      <c r="BE170" s="234"/>
      <c r="BF170" s="157"/>
      <c r="BG170" s="234"/>
      <c r="BH170" s="157"/>
      <c r="BI170" s="234"/>
      <c r="BJ170" s="157"/>
      <c r="BK170" s="234"/>
      <c r="BL170" s="157"/>
      <c r="BM170" s="234"/>
      <c r="BN170" s="157"/>
      <c r="BO170" s="234"/>
      <c r="BP170" s="157"/>
      <c r="BQ170" s="234"/>
      <c r="BR170" s="157"/>
      <c r="BS170" s="234"/>
      <c r="BT170" s="157"/>
      <c r="BU170" s="234"/>
      <c r="BV170" s="157"/>
      <c r="BW170" s="234"/>
      <c r="BX170" s="157"/>
      <c r="BY170" s="234"/>
      <c r="BZ170" s="157"/>
      <c r="CA170" s="234"/>
      <c r="CB170" s="157"/>
      <c r="CC170" s="234"/>
      <c r="CD170" s="157"/>
      <c r="CE170" s="234"/>
      <c r="CF170" s="157"/>
      <c r="CG170" s="234"/>
      <c r="CH170" s="157"/>
      <c r="CI170" s="234"/>
      <c r="CJ170" s="234"/>
      <c r="CK170" s="234"/>
      <c r="CL170" s="234"/>
      <c r="CM170" s="234"/>
      <c r="CN170" s="234"/>
      <c r="CO170" s="234"/>
      <c r="CP170" s="234"/>
      <c r="CQ170" s="234"/>
      <c r="CR170" s="234"/>
      <c r="CS170" s="234"/>
      <c r="CT170" s="234"/>
      <c r="CU170" s="234"/>
      <c r="CV170" s="198"/>
      <c r="CW170" s="234"/>
      <c r="CX170" s="234"/>
      <c r="CY170" s="436"/>
      <c r="CZ170" s="234"/>
      <c r="DA170" s="234"/>
      <c r="DB170" s="436"/>
      <c r="DC170" s="234"/>
      <c r="DD170" s="234"/>
      <c r="DE170" s="436"/>
      <c r="DF170" s="425"/>
      <c r="DG170" s="234"/>
      <c r="DH170" s="436"/>
      <c r="DI170" s="425"/>
      <c r="DJ170" s="234"/>
      <c r="DK170" s="436"/>
      <c r="DL170" s="425"/>
      <c r="DM170" s="234"/>
      <c r="DN170" s="436"/>
      <c r="DO170" s="436"/>
      <c r="DP170" s="436"/>
      <c r="DQ170" s="436"/>
      <c r="DR170" s="580"/>
      <c r="DS170" s="436"/>
      <c r="DT170" s="436"/>
      <c r="DU170" s="580"/>
      <c r="DV170" s="436"/>
      <c r="DW170" s="436"/>
      <c r="EA170" s="580"/>
      <c r="EB170" s="580"/>
      <c r="EC170" s="580"/>
      <c r="ED170" s="580"/>
      <c r="EE170" s="580"/>
      <c r="EF170" s="580"/>
      <c r="EG170" s="580"/>
      <c r="EH170" s="580"/>
      <c r="EI170" s="580"/>
      <c r="EJ170" s="580"/>
      <c r="EK170" s="580"/>
      <c r="EL170" s="580"/>
      <c r="EM170" s="580"/>
      <c r="EN170" s="580"/>
      <c r="EO170" s="580"/>
      <c r="EP170" s="580"/>
      <c r="EQ170" s="580"/>
      <c r="ER170" s="580"/>
      <c r="ES170" s="580"/>
      <c r="ET170" s="580"/>
      <c r="EU170" s="580"/>
      <c r="EV170" s="580"/>
      <c r="EW170" s="580"/>
      <c r="EX170" s="580"/>
      <c r="EY170" s="580"/>
      <c r="EZ170" s="580"/>
      <c r="FA170" s="580"/>
      <c r="FB170" s="580"/>
      <c r="FC170" s="580"/>
      <c r="FD170" s="580"/>
      <c r="FE170" s="580"/>
      <c r="FF170" s="580"/>
      <c r="FG170" s="580"/>
      <c r="FH170" s="580"/>
      <c r="FI170" s="580"/>
      <c r="FJ170" s="580"/>
      <c r="FK170" s="580"/>
      <c r="FL170" s="580"/>
      <c r="FM170" s="580"/>
      <c r="FN170" s="580"/>
      <c r="FO170" s="580"/>
      <c r="FP170" s="580"/>
      <c r="FQ170" s="580"/>
      <c r="FT170" s="580"/>
      <c r="FW170" s="580"/>
      <c r="FZ170" s="580"/>
      <c r="GC170" s="580"/>
      <c r="GE170" s="580"/>
      <c r="GG170" s="580"/>
      <c r="GI170" s="580"/>
      <c r="GK170" s="580"/>
      <c r="GM170" s="580"/>
      <c r="GO170" s="580"/>
      <c r="GQ170" s="580"/>
      <c r="GT170" s="580"/>
      <c r="GW170" s="1036"/>
      <c r="GZ170" s="1036"/>
      <c r="HC170" s="1036"/>
      <c r="HF170" s="1036"/>
      <c r="HI170" s="1036"/>
      <c r="HL170" s="1036"/>
      <c r="HO170" s="580"/>
      <c r="HR170" s="580"/>
      <c r="HU170" s="580"/>
    </row>
    <row r="171" spans="2:235" ht="14.25" hidden="1" customHeight="1" outlineLevel="1">
      <c r="B171" s="780" t="s">
        <v>583</v>
      </c>
      <c r="C171" s="327"/>
      <c r="D171" s="781"/>
      <c r="E171" s="630"/>
      <c r="F171" s="630"/>
      <c r="G171" s="630"/>
      <c r="H171" s="630"/>
      <c r="I171" s="782"/>
      <c r="J171" s="630"/>
      <c r="K171" s="782"/>
      <c r="L171" s="630"/>
      <c r="M171" s="630"/>
      <c r="N171" s="630"/>
      <c r="O171" s="630"/>
      <c r="P171" s="630"/>
      <c r="Q171" s="630"/>
      <c r="R171" s="630"/>
      <c r="S171" s="630"/>
      <c r="T171" s="630"/>
      <c r="U171" s="630"/>
      <c r="V171" s="630"/>
      <c r="W171" s="630"/>
      <c r="X171" s="630"/>
      <c r="Y171" s="630"/>
      <c r="Z171" s="630"/>
      <c r="AA171" s="630"/>
      <c r="AB171" s="630"/>
      <c r="AC171" s="630"/>
      <c r="AD171" s="630"/>
      <c r="AE171" s="630"/>
      <c r="AF171" s="630"/>
      <c r="AG171" s="630"/>
      <c r="AH171" s="630"/>
      <c r="AI171" s="630"/>
      <c r="AJ171" s="630"/>
      <c r="AK171" s="630"/>
      <c r="AL171" s="630"/>
      <c r="AM171" s="630"/>
      <c r="AN171" s="630"/>
      <c r="AO171" s="630"/>
      <c r="AP171" s="630"/>
      <c r="AQ171" s="630"/>
      <c r="AR171" s="630"/>
      <c r="AS171" s="630"/>
      <c r="AT171" s="630"/>
      <c r="AU171" s="630"/>
      <c r="AV171" s="630"/>
      <c r="AW171" s="630"/>
      <c r="AX171" s="630"/>
      <c r="AY171" s="630"/>
      <c r="AZ171" s="630"/>
      <c r="BA171" s="630"/>
      <c r="BB171" s="630"/>
      <c r="BC171" s="630"/>
      <c r="BD171" s="630"/>
      <c r="BE171" s="630"/>
      <c r="BF171" s="630"/>
      <c r="BG171" s="630"/>
      <c r="BH171" s="630"/>
      <c r="BI171" s="630"/>
      <c r="BJ171" s="630"/>
      <c r="BK171" s="630"/>
      <c r="BL171" s="630"/>
      <c r="BM171" s="630"/>
      <c r="BN171" s="630"/>
      <c r="BO171" s="630"/>
      <c r="BP171" s="630"/>
      <c r="BQ171" s="630"/>
      <c r="BR171" s="630"/>
      <c r="BS171" s="630"/>
      <c r="BT171" s="630"/>
      <c r="BU171" s="630"/>
      <c r="BV171" s="630"/>
      <c r="BW171" s="630"/>
      <c r="BX171" s="630"/>
      <c r="BY171" s="630"/>
      <c r="BZ171" s="630"/>
      <c r="CA171" s="630"/>
      <c r="CB171" s="630"/>
      <c r="CC171" s="630"/>
      <c r="CD171" s="630"/>
      <c r="CE171" s="630"/>
      <c r="CF171" s="630"/>
      <c r="CG171" s="630"/>
      <c r="CH171" s="630"/>
      <c r="CI171" s="630"/>
      <c r="CJ171" s="630"/>
      <c r="CK171" s="630"/>
      <c r="CL171" s="630"/>
      <c r="CM171" s="630"/>
      <c r="CN171" s="630"/>
      <c r="CO171" s="630"/>
      <c r="CP171" s="630"/>
      <c r="CQ171" s="630"/>
      <c r="CR171" s="630"/>
      <c r="CS171" s="630"/>
      <c r="CT171" s="630"/>
      <c r="CU171" s="630"/>
      <c r="CV171" s="783"/>
      <c r="CW171" s="630"/>
      <c r="CX171" s="630"/>
      <c r="CY171" s="629"/>
      <c r="CZ171" s="630"/>
      <c r="DA171" s="630"/>
      <c r="DB171" s="629"/>
      <c r="DC171" s="630"/>
      <c r="DD171" s="630"/>
      <c r="DE171" s="629"/>
      <c r="DF171" s="784"/>
      <c r="DG171" s="630"/>
      <c r="DH171" s="629"/>
      <c r="DI171" s="784"/>
      <c r="DJ171" s="630"/>
      <c r="DK171" s="629"/>
      <c r="DL171" s="784"/>
      <c r="DM171" s="630"/>
      <c r="DN171" s="629"/>
      <c r="DO171" s="629"/>
      <c r="DP171" s="629"/>
      <c r="DQ171" s="629"/>
      <c r="DR171" s="785"/>
      <c r="DS171" s="629"/>
      <c r="DT171" s="629"/>
      <c r="DU171" s="785"/>
      <c r="DV171" s="629"/>
      <c r="DW171" s="629"/>
      <c r="DX171" s="786">
        <v>0</v>
      </c>
      <c r="DY171" s="785"/>
      <c r="DZ171" s="785"/>
      <c r="EA171" s="786">
        <f>EA37-'Notes - Dec25'!BU6</f>
        <v>-0.64999938011169434</v>
      </c>
      <c r="EB171" s="785"/>
      <c r="EC171" s="785"/>
      <c r="ED171" s="786">
        <f>ED37-'Notes - Dec25'!BS6</f>
        <v>-4079625.7100014687</v>
      </c>
      <c r="EE171" s="785"/>
      <c r="EF171" s="785"/>
      <c r="EG171" s="786">
        <f>EG77-'Notes - Dec25'!BQ6</f>
        <v>0.27000105381011963</v>
      </c>
      <c r="EH171" s="785"/>
      <c r="EI171" s="785"/>
      <c r="EJ171" s="785"/>
      <c r="EK171" s="785"/>
      <c r="EL171" s="785"/>
      <c r="EM171" s="786">
        <f>EM77-'Notes - Dec25'!BM6</f>
        <v>0</v>
      </c>
      <c r="EN171" s="785"/>
      <c r="EO171" s="785"/>
      <c r="EP171" s="786">
        <f>EP77-'Notes - Dec25'!BK6</f>
        <v>-1.9073486328125E-6</v>
      </c>
      <c r="EQ171" s="580"/>
      <c r="ER171" s="580"/>
      <c r="ES171" s="786">
        <f>ES77-'Notes - Dec25'!BI6</f>
        <v>-2.0265579223632813E-6</v>
      </c>
      <c r="ET171" s="580"/>
      <c r="EU171" s="580"/>
      <c r="EV171" s="786">
        <f>EV77-'Notes - Dec25'!BG6</f>
        <v>0</v>
      </c>
      <c r="EW171" s="580"/>
      <c r="EX171" s="580"/>
      <c r="EY171" s="580"/>
      <c r="EZ171" s="580"/>
      <c r="FA171" s="580"/>
      <c r="FB171" s="786">
        <f>FB77-'Notes - Dec25'!BC6</f>
        <v>-1.9073486328125E-6</v>
      </c>
      <c r="FC171" s="580"/>
      <c r="FD171" s="580"/>
      <c r="FE171" s="786">
        <f>FE77-'Notes - Dec25'!BA6</f>
        <v>-3.0994415283203125E-6</v>
      </c>
      <c r="FF171" s="580"/>
      <c r="FG171" s="580"/>
      <c r="FH171" s="786">
        <f>FH77-'Notes - Dec25'!AY6</f>
        <v>-5.0067901611328125E-6</v>
      </c>
      <c r="FI171" s="580"/>
      <c r="FJ171" s="580"/>
      <c r="FK171" s="786">
        <f>FK77-'Notes - Dec25'!AW6</f>
        <v>0</v>
      </c>
      <c r="FL171" s="580"/>
      <c r="FM171" s="580"/>
      <c r="FN171" s="786">
        <f>FN77-'Notes - Dec25'!AU6</f>
        <v>-48071394.340000868</v>
      </c>
      <c r="FO171" s="580"/>
      <c r="FP171" s="580"/>
      <c r="FQ171" s="786">
        <f>FQ77-'Notes - Dec25'!AX6</f>
        <v>1665698638.9999995</v>
      </c>
      <c r="FT171" s="786">
        <f>FT77-'Notes - Dec25'!BA6</f>
        <v>388867586.38000035</v>
      </c>
      <c r="FW171" s="786">
        <f>FW77-'Notes - Dec25'!BD6</f>
        <v>1758661474.9999974</v>
      </c>
      <c r="FZ171" s="786">
        <f>FZ77-'Notes - Dec25'!BG6</f>
        <v>678573534.48999739</v>
      </c>
      <c r="GC171" s="786">
        <f>GC77-'Notes - Dec25'!BJ6</f>
        <v>1758661474.9999974</v>
      </c>
      <c r="GE171" s="786">
        <v>1758661474.9999974</v>
      </c>
      <c r="GG171" s="786">
        <f>GG77-'Notes - Dec25'!BJ6</f>
        <v>1758661474.9999974</v>
      </c>
      <c r="GI171" s="786">
        <f>GI77-'Notes - Dec25'!BJ6</f>
        <v>1758661474.9999974</v>
      </c>
      <c r="GK171" s="786">
        <f>GK77-'Notes - Dec25'!BJ6</f>
        <v>1758661474.9999974</v>
      </c>
      <c r="GM171" s="786">
        <f>GM77-'Notes - Dec25'!BL6</f>
        <v>1758661474.9999974</v>
      </c>
      <c r="GO171" s="786">
        <f>GO77-'Notes - Dec25'!BN6</f>
        <v>1758661474.9999974</v>
      </c>
      <c r="GQ171" s="786">
        <f>GQ77-'Notes - Dec25'!BQ6</f>
        <v>959212492.9599973</v>
      </c>
      <c r="GT171" s="786">
        <f>GT77-'Notes - Dec25'!BT6</f>
        <v>1758661474.9999974</v>
      </c>
      <c r="GW171" s="1056">
        <f>GW77-'Notes - Dec25'!BW6</f>
        <v>1087560590.9299974</v>
      </c>
      <c r="GZ171" s="1056">
        <f>GZ77-'Notes - Dec25'!BZ6</f>
        <v>1758661474.9999974</v>
      </c>
      <c r="HC171" s="1056">
        <f>HC77-'Notes - Dec25'!CC6</f>
        <v>1147004682.3699975</v>
      </c>
      <c r="HF171" s="1056">
        <f>HF77-'Notes - Dec25'!CF6</f>
        <v>1758661474.9999974</v>
      </c>
      <c r="HI171" s="1056">
        <f>HI77-'Notes - Dec25'!CI6</f>
        <v>1224379021.6299975</v>
      </c>
      <c r="HL171" s="1056">
        <f>HL77-'Notes - Dec25'!CL6</f>
        <v>1758661474.9999974</v>
      </c>
      <c r="HO171" s="786">
        <f>HO77-'Notes - Dec25'!CO6</f>
        <v>1298525869.9499974</v>
      </c>
      <c r="HR171" s="786">
        <f>HR77-'Notes - Dec25'!CR6</f>
        <v>1758661474.9999974</v>
      </c>
      <c r="HU171" s="786">
        <f>HU77-'Notes - Dec25'!CU6</f>
        <v>1360362400.1699975</v>
      </c>
    </row>
    <row r="172" spans="2:235" ht="14.25" hidden="1" customHeight="1" outlineLevel="1">
      <c r="B172" s="780" t="s">
        <v>605</v>
      </c>
      <c r="C172" s="327"/>
      <c r="D172" s="781"/>
      <c r="E172" s="630"/>
      <c r="F172" s="630"/>
      <c r="G172" s="630"/>
      <c r="H172" s="630"/>
      <c r="I172" s="782"/>
      <c r="J172" s="630"/>
      <c r="K172" s="782"/>
      <c r="L172" s="630"/>
      <c r="M172" s="630"/>
      <c r="N172" s="630"/>
      <c r="O172" s="630"/>
      <c r="P172" s="630"/>
      <c r="Q172" s="630"/>
      <c r="R172" s="630"/>
      <c r="S172" s="630"/>
      <c r="T172" s="630"/>
      <c r="U172" s="630"/>
      <c r="V172" s="630"/>
      <c r="W172" s="630"/>
      <c r="X172" s="630"/>
      <c r="Y172" s="630"/>
      <c r="Z172" s="630"/>
      <c r="AA172" s="630"/>
      <c r="AB172" s="630"/>
      <c r="AC172" s="630"/>
      <c r="AD172" s="630"/>
      <c r="AE172" s="630"/>
      <c r="AF172" s="630"/>
      <c r="AG172" s="630"/>
      <c r="AH172" s="630"/>
      <c r="AI172" s="630"/>
      <c r="AJ172" s="630"/>
      <c r="AK172" s="630"/>
      <c r="AL172" s="630"/>
      <c r="AM172" s="630"/>
      <c r="AN172" s="630"/>
      <c r="AO172" s="630"/>
      <c r="AP172" s="630"/>
      <c r="AQ172" s="630"/>
      <c r="AR172" s="630"/>
      <c r="AS172" s="630"/>
      <c r="AT172" s="630"/>
      <c r="AU172" s="630"/>
      <c r="AV172" s="630"/>
      <c r="AW172" s="630"/>
      <c r="AX172" s="630"/>
      <c r="AY172" s="630"/>
      <c r="AZ172" s="630"/>
      <c r="BA172" s="630"/>
      <c r="BB172" s="630"/>
      <c r="BC172" s="630"/>
      <c r="BD172" s="630"/>
      <c r="BE172" s="630"/>
      <c r="BF172" s="630"/>
      <c r="BG172" s="630"/>
      <c r="BH172" s="630"/>
      <c r="BI172" s="630"/>
      <c r="BJ172" s="630"/>
      <c r="BK172" s="630"/>
      <c r="BL172" s="630"/>
      <c r="BM172" s="630"/>
      <c r="BN172" s="630"/>
      <c r="BO172" s="630"/>
      <c r="BP172" s="630"/>
      <c r="BQ172" s="630"/>
      <c r="BR172" s="630"/>
      <c r="BS172" s="630"/>
      <c r="BT172" s="630"/>
      <c r="BU172" s="630"/>
      <c r="BV172" s="630"/>
      <c r="BW172" s="630"/>
      <c r="BX172" s="630"/>
      <c r="BY172" s="630"/>
      <c r="BZ172" s="630"/>
      <c r="CA172" s="630"/>
      <c r="CB172" s="630"/>
      <c r="CC172" s="630"/>
      <c r="CD172" s="630"/>
      <c r="CE172" s="630"/>
      <c r="CF172" s="630"/>
      <c r="CG172" s="630"/>
      <c r="CH172" s="630"/>
      <c r="CI172" s="630"/>
      <c r="CJ172" s="630"/>
      <c r="CK172" s="630"/>
      <c r="CL172" s="630"/>
      <c r="CM172" s="630"/>
      <c r="CN172" s="630"/>
      <c r="CO172" s="630"/>
      <c r="CP172" s="630"/>
      <c r="CQ172" s="630"/>
      <c r="CR172" s="630"/>
      <c r="CS172" s="630"/>
      <c r="CT172" s="630"/>
      <c r="CU172" s="630"/>
      <c r="CV172" s="783"/>
      <c r="CW172" s="630"/>
      <c r="CX172" s="630"/>
      <c r="CY172" s="629"/>
      <c r="CZ172" s="630"/>
      <c r="DA172" s="630"/>
      <c r="DB172" s="629"/>
      <c r="DC172" s="630"/>
      <c r="DD172" s="630"/>
      <c r="DE172" s="629"/>
      <c r="DF172" s="784"/>
      <c r="DG172" s="630"/>
      <c r="DH172" s="629"/>
      <c r="DI172" s="784"/>
      <c r="DJ172" s="630"/>
      <c r="DK172" s="629"/>
      <c r="DL172" s="784"/>
      <c r="DM172" s="630"/>
      <c r="DN172" s="629"/>
      <c r="DO172" s="629"/>
      <c r="DP172" s="629"/>
      <c r="DQ172" s="629"/>
      <c r="DR172" s="785"/>
      <c r="DS172" s="629"/>
      <c r="DT172" s="629"/>
      <c r="DU172" s="785"/>
      <c r="DV172" s="629"/>
      <c r="DW172" s="629"/>
      <c r="DX172" s="787">
        <v>0.28999999165534973</v>
      </c>
      <c r="DY172" s="785"/>
      <c r="DZ172" s="785"/>
      <c r="EA172" s="787">
        <f>EA126-'Advance Analysis - Dec25'!C96</f>
        <v>0</v>
      </c>
      <c r="EB172" s="785"/>
      <c r="EC172" s="785"/>
      <c r="ED172" s="787">
        <f>ED126-'Advance Analysis - Dec25'!C97</f>
        <v>-0.21999996900558472</v>
      </c>
      <c r="EE172" s="785"/>
      <c r="EF172" s="785"/>
      <c r="EG172" s="788">
        <f>EG126-'Advance Analysis - Dec25'!C98</f>
        <v>0</v>
      </c>
      <c r="EH172" s="785"/>
      <c r="EI172" s="785"/>
      <c r="EJ172" s="785"/>
      <c r="EK172" s="785"/>
      <c r="EL172" s="785"/>
      <c r="EM172" s="788">
        <f>EM126-'Advance Analysis - Dec25'!C100</f>
        <v>6.9999992847442627E-2</v>
      </c>
      <c r="EN172" s="785"/>
      <c r="EO172" s="785"/>
      <c r="EP172" s="788">
        <f>EP126-'Advance Analysis - Dec25'!C101</f>
        <v>-0.38999998569488525</v>
      </c>
      <c r="EQ172" s="580"/>
      <c r="ER172" s="580"/>
      <c r="ES172" s="788">
        <f>ES126-'Advance Analysis - Dec25'!C102</f>
        <v>0</v>
      </c>
      <c r="ET172" s="580"/>
      <c r="EU172" s="580"/>
      <c r="EV172" s="788">
        <f>EV126-'Advance Analysis - Dec25'!C103</f>
        <v>0</v>
      </c>
      <c r="EW172" s="580"/>
      <c r="EX172" s="580"/>
      <c r="EY172" s="580"/>
      <c r="EZ172" s="580"/>
      <c r="FA172" s="580"/>
      <c r="FB172" s="788">
        <f>FB126-'Advance Analysis - Dec25'!C105</f>
        <v>-7.9999923706054688E-2</v>
      </c>
      <c r="FC172" s="580"/>
      <c r="FD172" s="580"/>
      <c r="FE172" s="788">
        <f>FE126-'Advance Analysis - Dec25'!C106</f>
        <v>-0.93999993801116943</v>
      </c>
      <c r="FF172" s="580"/>
      <c r="FG172" s="580"/>
      <c r="FH172" s="786">
        <f>FH126-'Advance Analysis - Dec25'!C107</f>
        <v>0.78999996185302734</v>
      </c>
      <c r="FI172" s="580"/>
      <c r="FJ172" s="580"/>
      <c r="FK172" s="786">
        <f>FK126-'Advance Analysis - Dec25'!C108</f>
        <v>3.0000209808349609E-2</v>
      </c>
      <c r="FL172" s="580"/>
      <c r="FM172" s="580"/>
      <c r="FN172" s="786">
        <f>FN126-'Advance Analysis - Dec25'!C109</f>
        <v>-1.9999980926513672E-2</v>
      </c>
      <c r="FO172" s="580"/>
      <c r="FP172" s="580"/>
      <c r="FQ172" s="786">
        <f>FQ126-'Advance Analysis - Dec25'!F109</f>
        <v>283759343.69713199</v>
      </c>
      <c r="FT172" s="786">
        <f>FT126-'Advance Analysis - Dec25'!I109</f>
        <v>302507982.12</v>
      </c>
      <c r="FW172" s="786">
        <f>FW126-'Advance Analysis - Dec25'!L109</f>
        <v>292994293.92000008</v>
      </c>
      <c r="FZ172" s="786">
        <f>FZ126-'Advance Analysis - Dec25'!O109</f>
        <v>295687362.94999993</v>
      </c>
      <c r="GC172" s="786">
        <f>GC126-'Advance Analysis - Dec25'!R109</f>
        <v>338656624.98000044</v>
      </c>
      <c r="GE172" s="786">
        <v>267344758.65999976</v>
      </c>
      <c r="GG172" s="786">
        <f>GG126-'Advance Analysis - Dec25'!R109</f>
        <v>303622410.71000004</v>
      </c>
      <c r="GI172" s="786">
        <f>GI126-'Advance Analysis - Dec25'!R109</f>
        <v>333150912.18000001</v>
      </c>
      <c r="GK172" s="786">
        <f>GK126-'Advance Analysis - Dec25'!R109</f>
        <v>307122427.44</v>
      </c>
      <c r="GM172" s="786">
        <f>GM126-'Advance Analysis - Dec25'!T109</f>
        <v>237191080.95999998</v>
      </c>
      <c r="GO172" s="786">
        <f>GO126-'Advance Analysis - Dec25'!V109</f>
        <v>252663192.42000002</v>
      </c>
      <c r="GQ172" s="786">
        <f>GQ126-'Advance Analysis - Dec25'!Y109</f>
        <v>232542821.13999999</v>
      </c>
      <c r="GT172" s="786">
        <f>GT126-'Advance Analysis - Dec25'!AB109</f>
        <v>194328646.58999997</v>
      </c>
      <c r="GW172" s="1056">
        <f>GW126-'Advance Analysis - Dec25'!AE109</f>
        <v>218328996.53000003</v>
      </c>
      <c r="GZ172" s="1056">
        <f>GZ126-'Advance Analysis - Dec25'!AH109</f>
        <v>243343506.48000002</v>
      </c>
      <c r="HC172" s="1056">
        <f>HC126-'Advance Analysis - Dec25'!AK109</f>
        <v>220564372.10000002</v>
      </c>
      <c r="HF172" s="1056">
        <f>HF126-'Advance Analysis - Dec25'!AN109</f>
        <v>263065751.26999998</v>
      </c>
      <c r="HI172" s="1056">
        <f>HI126-'Advance Analysis - Dec25'!AQ109</f>
        <v>213282530.15000001</v>
      </c>
      <c r="HL172" s="1056">
        <f>HL126-'Advance Analysis - Dec25'!AT109</f>
        <v>241732166.99000004</v>
      </c>
      <c r="HO172" s="786">
        <f>HO126-'Advance Analysis - Dec25'!AW109</f>
        <v>248356010.81999999</v>
      </c>
      <c r="HR172" s="786">
        <f>HR126-'Advance Analysis - Dec25'!AZ109</f>
        <v>248356010.81999999</v>
      </c>
      <c r="HU172" s="786">
        <f>HU126-'Advance Analysis - Dec25'!BC109</f>
        <v>248356010.81999999</v>
      </c>
    </row>
    <row r="173" spans="2:235" ht="14.25" hidden="1" customHeight="1" outlineLevel="1">
      <c r="B173" s="780" t="s">
        <v>606</v>
      </c>
      <c r="C173" s="327"/>
      <c r="D173" s="789"/>
      <c r="E173" s="790"/>
      <c r="F173" s="790"/>
      <c r="G173" s="790"/>
      <c r="H173" s="790"/>
      <c r="I173" s="791"/>
      <c r="J173" s="790"/>
      <c r="K173" s="791"/>
      <c r="L173" s="790"/>
      <c r="M173" s="630"/>
      <c r="N173" s="790"/>
      <c r="O173" s="630"/>
      <c r="P173" s="790"/>
      <c r="Q173" s="630"/>
      <c r="R173" s="790"/>
      <c r="S173" s="630"/>
      <c r="T173" s="790"/>
      <c r="U173" s="630"/>
      <c r="V173" s="790"/>
      <c r="W173" s="630"/>
      <c r="X173" s="790"/>
      <c r="Y173" s="630"/>
      <c r="Z173" s="790"/>
      <c r="AA173" s="630"/>
      <c r="AB173" s="790"/>
      <c r="AC173" s="630"/>
      <c r="AD173" s="790"/>
      <c r="AE173" s="630"/>
      <c r="AF173" s="790"/>
      <c r="AG173" s="630"/>
      <c r="AH173" s="790"/>
      <c r="AI173" s="630"/>
      <c r="AJ173" s="790"/>
      <c r="AK173" s="630"/>
      <c r="AL173" s="790"/>
      <c r="AM173" s="630"/>
      <c r="AN173" s="790"/>
      <c r="AO173" s="630"/>
      <c r="AP173" s="790"/>
      <c r="AQ173" s="630"/>
      <c r="AR173" s="790"/>
      <c r="AS173" s="630"/>
      <c r="AT173" s="790"/>
      <c r="AU173" s="630"/>
      <c r="AV173" s="790"/>
      <c r="AW173" s="630"/>
      <c r="AX173" s="790"/>
      <c r="AY173" s="630"/>
      <c r="AZ173" s="790"/>
      <c r="BA173" s="630"/>
      <c r="BB173" s="790"/>
      <c r="BC173" s="630"/>
      <c r="BD173" s="790"/>
      <c r="BE173" s="630"/>
      <c r="BF173" s="790"/>
      <c r="BG173" s="630"/>
      <c r="BH173" s="790"/>
      <c r="BI173" s="630"/>
      <c r="BJ173" s="790"/>
      <c r="BK173" s="630"/>
      <c r="BL173" s="790"/>
      <c r="BM173" s="630"/>
      <c r="BN173" s="790"/>
      <c r="BO173" s="630"/>
      <c r="BP173" s="790"/>
      <c r="BQ173" s="630"/>
      <c r="BR173" s="790"/>
      <c r="BS173" s="630"/>
      <c r="BT173" s="790"/>
      <c r="BU173" s="630"/>
      <c r="BV173" s="790"/>
      <c r="BW173" s="630"/>
      <c r="BX173" s="790"/>
      <c r="BY173" s="630"/>
      <c r="BZ173" s="790"/>
      <c r="CA173" s="630"/>
      <c r="CB173" s="790"/>
      <c r="CC173" s="630"/>
      <c r="CD173" s="790"/>
      <c r="CE173" s="630"/>
      <c r="CF173" s="790"/>
      <c r="CG173" s="630"/>
      <c r="CH173" s="790"/>
      <c r="CI173" s="630"/>
      <c r="CJ173" s="630"/>
      <c r="CK173" s="630"/>
      <c r="CL173" s="630"/>
      <c r="CM173" s="630"/>
      <c r="CN173" s="630"/>
      <c r="CO173" s="630"/>
      <c r="CP173" s="630"/>
      <c r="CQ173" s="630"/>
      <c r="CR173" s="630"/>
      <c r="CS173" s="630"/>
      <c r="CT173" s="630"/>
      <c r="CU173" s="630"/>
      <c r="CV173" s="783"/>
      <c r="CW173" s="630"/>
      <c r="CX173" s="630"/>
      <c r="CY173" s="629"/>
      <c r="CZ173" s="630"/>
      <c r="DA173" s="630"/>
      <c r="DB173" s="629"/>
      <c r="DC173" s="630"/>
      <c r="DD173" s="630"/>
      <c r="DE173" s="629"/>
      <c r="DF173" s="784"/>
      <c r="DG173" s="630"/>
      <c r="DH173" s="629"/>
      <c r="DI173" s="784"/>
      <c r="DJ173" s="630"/>
      <c r="DK173" s="629"/>
      <c r="DL173" s="784"/>
      <c r="DM173" s="630"/>
      <c r="DN173" s="629"/>
      <c r="DO173" s="629"/>
      <c r="DP173" s="629"/>
      <c r="DQ173" s="629"/>
      <c r="DR173" s="785"/>
      <c r="DS173" s="629"/>
      <c r="DT173" s="629"/>
      <c r="DU173" s="785"/>
      <c r="DV173" s="629"/>
      <c r="DW173" s="629"/>
      <c r="DX173" s="787">
        <f>DX144-'Advance Analysis - Dec25'!H95</f>
        <v>0</v>
      </c>
      <c r="DY173" s="785"/>
      <c r="DZ173" s="785"/>
      <c r="EA173" s="787">
        <f>EA144-'Advance Analysis - Dec25'!H96</f>
        <v>0</v>
      </c>
      <c r="EB173" s="785"/>
      <c r="EC173" s="785"/>
      <c r="ED173" s="787">
        <f>ED144-'Advance Analysis - Dec25'!H97</f>
        <v>0</v>
      </c>
      <c r="EE173" s="785"/>
      <c r="EF173" s="785"/>
      <c r="EG173" s="788">
        <f>EG144-'Advance Analysis - Dec25'!H98</f>
        <v>0</v>
      </c>
      <c r="EH173" s="785"/>
      <c r="EI173" s="785"/>
      <c r="EJ173" s="785"/>
      <c r="EK173" s="785"/>
      <c r="EL173" s="785"/>
      <c r="EM173" s="788">
        <f>EM144-'Advance Analysis - Dec25'!H100</f>
        <v>0</v>
      </c>
      <c r="EN173" s="785"/>
      <c r="EO173" s="785"/>
      <c r="EP173" s="788">
        <f>EP144-'Advance Analysis - Dec25'!H101</f>
        <v>0</v>
      </c>
      <c r="EQ173" s="580"/>
      <c r="ER173" s="580"/>
      <c r="ES173" s="788">
        <f>ES144-'Advance Analysis - Dec25'!H102</f>
        <v>0</v>
      </c>
      <c r="ET173" s="580"/>
      <c r="EU173" s="580"/>
      <c r="EV173" s="788">
        <f>EV144-'Advance Analysis - Dec25'!H103</f>
        <v>0</v>
      </c>
      <c r="EW173" s="580"/>
      <c r="EX173" s="580"/>
      <c r="EY173" s="580"/>
      <c r="EZ173" s="580"/>
      <c r="FA173" s="580"/>
      <c r="FB173" s="788">
        <f>FB144-'Advance Analysis - Dec25'!H105</f>
        <v>0</v>
      </c>
      <c r="FC173" s="580"/>
      <c r="FD173" s="580"/>
      <c r="FE173" s="788">
        <f>FE144-'Advance Analysis - Dec25'!H106</f>
        <v>0</v>
      </c>
      <c r="FF173" s="580"/>
      <c r="FG173" s="580"/>
      <c r="FH173" s="786">
        <f>FH144-'Advance Analysis - Dec25'!H107</f>
        <v>0</v>
      </c>
      <c r="FI173" s="580"/>
      <c r="FJ173" s="580"/>
      <c r="FK173" s="786">
        <f>FK144-'Advance Analysis - Dec25'!H108</f>
        <v>0</v>
      </c>
      <c r="FL173" s="580"/>
      <c r="FM173" s="580"/>
      <c r="FN173" s="786">
        <f>FN144-'Advance Analysis - Dec25'!H109</f>
        <v>0</v>
      </c>
      <c r="FO173" s="580"/>
      <c r="FP173" s="580"/>
      <c r="FQ173" s="786">
        <f>FQ144-'Advance Analysis - Dec25'!K109</f>
        <v>-7150</v>
      </c>
      <c r="FT173" s="786">
        <f>FT144-'Advance Analysis - Dec25'!N109</f>
        <v>1961</v>
      </c>
      <c r="FW173" s="786">
        <f>FW144-'Advance Analysis - Dec25'!Q109</f>
        <v>1917</v>
      </c>
      <c r="FZ173" s="786">
        <f>FZ144-'Advance Analysis - Dec25'!T109</f>
        <v>1969</v>
      </c>
      <c r="GC173" s="786">
        <f>GC144-'Advance Analysis - Dec25'!W109</f>
        <v>2207</v>
      </c>
      <c r="GE173" s="786">
        <v>1877</v>
      </c>
      <c r="GG173" s="786">
        <f>GG144-'Advance Analysis - Dec25'!W109</f>
        <v>1883</v>
      </c>
      <c r="GI173" s="786">
        <f>GI144-'Advance Analysis - Dec25'!W109</f>
        <v>2276</v>
      </c>
      <c r="GK173" s="786">
        <f>GK144-'Advance Analysis - Dec25'!W109</f>
        <v>2068</v>
      </c>
      <c r="GM173" s="786">
        <f>GM144-'Advance Analysis - Dec25'!Y109</f>
        <v>1680</v>
      </c>
      <c r="GO173" s="786">
        <f>GO144-'Advance Analysis - Dec25'!AA109</f>
        <v>1976</v>
      </c>
      <c r="GQ173" s="786">
        <f>GQ144-'Advance Analysis - Dec25'!AD109</f>
        <v>1495</v>
      </c>
      <c r="GT173" s="786">
        <f>GT144-'Advance Analysis - Dec25'!AG109</f>
        <v>1416</v>
      </c>
      <c r="GW173" s="1056">
        <f>GW144-'Advance Analysis - Dec25'!AJ109</f>
        <v>1520</v>
      </c>
      <c r="GZ173" s="1056">
        <f>GZ144-'Advance Analysis - Dec25'!AM109</f>
        <v>1600</v>
      </c>
      <c r="HC173" s="1056">
        <f>HC144-'Advance Analysis - Dec25'!AP109</f>
        <v>1517</v>
      </c>
      <c r="HF173" s="1056">
        <f>HF144-'Advance Analysis - Dec25'!AS109</f>
        <v>1605</v>
      </c>
      <c r="HI173" s="1056">
        <f>HI144-'Advance Analysis - Dec25'!AV109</f>
        <v>1411</v>
      </c>
      <c r="HL173" s="1056">
        <f>HL144-'Advance Analysis - Dec25'!AY109</f>
        <v>1618</v>
      </c>
      <c r="HO173" s="786">
        <f>HO144-'Advance Analysis - Dec25'!BB109</f>
        <v>1614</v>
      </c>
      <c r="HR173" s="786">
        <f>HR144-'Advance Analysis - Dec25'!BE109</f>
        <v>1614</v>
      </c>
      <c r="HU173" s="786">
        <f>HU144-'Advance Analysis - Dec25'!BH109</f>
        <v>1614</v>
      </c>
    </row>
    <row r="174" spans="2:235" ht="14.25" customHeight="1" collapsed="1"/>
  </sheetData>
  <pageMargins left="0.7" right="0.7" top="0.75" bottom="0.75" header="0" footer="0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D54A-EE63-452B-BC07-F1F3AC2C2DEB}">
  <sheetPr>
    <tabColor rgb="FF002060"/>
  </sheetPr>
  <dimension ref="B1:EM1002"/>
  <sheetViews>
    <sheetView showGridLines="0" zoomScale="85" zoomScaleNormal="85" workbookViewId="0">
      <selection activeCell="C20" sqref="C20:G20"/>
    </sheetView>
  </sheetViews>
  <sheetFormatPr defaultColWidth="14.44140625" defaultRowHeight="15" customHeight="1"/>
  <cols>
    <col min="1" max="1" width="3.44140625" style="462" customWidth="1"/>
    <col min="2" max="2" width="34.44140625" style="462" customWidth="1"/>
    <col min="3" max="3" width="14.6640625" style="462" bestFit="1" customWidth="1"/>
    <col min="4" max="10" width="15.5546875" style="462" customWidth="1"/>
    <col min="11" max="11" width="16.5546875" style="462" customWidth="1"/>
    <col min="12" max="12" width="15.5546875" style="462" customWidth="1"/>
    <col min="13" max="13" width="16.44140625" style="462" customWidth="1"/>
    <col min="14" max="14" width="13.44140625" style="462" customWidth="1"/>
    <col min="15" max="15" width="13.88671875" style="462" customWidth="1"/>
    <col min="16" max="16" width="13.44140625" style="462" customWidth="1"/>
    <col min="17" max="23" width="21.44140625" style="462" customWidth="1"/>
    <col min="24" max="33" width="8.88671875" style="462" customWidth="1"/>
    <col min="34" max="16384" width="14.44140625" style="462"/>
  </cols>
  <sheetData>
    <row r="1" spans="2:16" ht="14.25" customHeight="1">
      <c r="I1" s="463"/>
      <c r="J1" s="463"/>
      <c r="K1" s="463"/>
      <c r="L1" s="463"/>
      <c r="M1" s="463"/>
    </row>
    <row r="2" spans="2:16" ht="14.25" customHeight="1">
      <c r="B2" s="464" t="s">
        <v>403</v>
      </c>
      <c r="C2" s="465">
        <v>46022</v>
      </c>
      <c r="D2" s="894"/>
      <c r="E2" s="466"/>
      <c r="F2" s="466"/>
      <c r="G2" s="466"/>
      <c r="H2" s="467" t="s">
        <v>404</v>
      </c>
      <c r="I2" s="467" t="s">
        <v>405</v>
      </c>
      <c r="J2" s="467" t="s">
        <v>406</v>
      </c>
      <c r="K2" s="466"/>
      <c r="L2" s="466"/>
    </row>
    <row r="3" spans="2:16" ht="14.25" customHeight="1">
      <c r="B3" s="464"/>
      <c r="C3" s="895">
        <f>EDATE(C2,1)</f>
        <v>46053</v>
      </c>
      <c r="D3" s="895">
        <f>EDATE(C2,3)</f>
        <v>46112</v>
      </c>
      <c r="E3" s="895">
        <f>EDATE(C2,6)</f>
        <v>46203</v>
      </c>
      <c r="F3" s="895">
        <f>EDATE(C2,9)</f>
        <v>46295</v>
      </c>
      <c r="G3" s="895">
        <f>EDATE(C2,12)</f>
        <v>46387</v>
      </c>
      <c r="H3" s="895">
        <f>EDATE(C2,24)</f>
        <v>46752</v>
      </c>
      <c r="I3" s="895">
        <f>EDATE(C2,36)</f>
        <v>47118</v>
      </c>
      <c r="J3" s="895">
        <f>I3</f>
        <v>47118</v>
      </c>
      <c r="K3" s="466"/>
      <c r="L3" s="466"/>
    </row>
    <row r="4" spans="2:16" ht="14.25" customHeight="1">
      <c r="B4" s="468" t="s">
        <v>208</v>
      </c>
      <c r="C4" s="469" t="s">
        <v>407</v>
      </c>
      <c r="D4" s="469" t="s">
        <v>408</v>
      </c>
      <c r="E4" s="469" t="s">
        <v>409</v>
      </c>
      <c r="F4" s="469" t="s">
        <v>410</v>
      </c>
      <c r="G4" s="469" t="s">
        <v>411</v>
      </c>
      <c r="H4" s="469" t="s">
        <v>412</v>
      </c>
      <c r="I4" s="469" t="s">
        <v>413</v>
      </c>
      <c r="J4" s="469" t="s">
        <v>414</v>
      </c>
      <c r="K4" s="469" t="s">
        <v>415</v>
      </c>
      <c r="L4" s="469" t="s">
        <v>399</v>
      </c>
      <c r="M4" s="469" t="s">
        <v>416</v>
      </c>
    </row>
    <row r="5" spans="2:16" ht="14.25" customHeight="1">
      <c r="B5" s="870" t="s">
        <v>209</v>
      </c>
      <c r="C5" s="826">
        <f>'Balance Sheet - Dec25'!$C$8</f>
        <v>46703517.230000019</v>
      </c>
      <c r="D5" s="826"/>
      <c r="E5" s="826"/>
      <c r="F5" s="826"/>
      <c r="G5" s="826"/>
      <c r="H5" s="826"/>
      <c r="I5" s="826"/>
      <c r="J5" s="826"/>
      <c r="K5" s="826"/>
      <c r="L5" s="470">
        <f>ROUND(SUM(C5:K5),0)</f>
        <v>46703517</v>
      </c>
      <c r="M5" s="471">
        <f>ROUND('Balance Sheet - Dec25'!$C$8-L5,0)</f>
        <v>0</v>
      </c>
    </row>
    <row r="6" spans="2:16" ht="14.25" customHeight="1">
      <c r="B6" s="870" t="s">
        <v>210</v>
      </c>
      <c r="C6" s="826">
        <f>'Balance Sheet - Dec25'!$C$9</f>
        <v>170706916.85999998</v>
      </c>
      <c r="D6" s="826"/>
      <c r="E6" s="826"/>
      <c r="F6" s="826"/>
      <c r="G6" s="826"/>
      <c r="H6" s="826"/>
      <c r="I6" s="826"/>
      <c r="J6" s="826"/>
      <c r="K6" s="826"/>
      <c r="L6" s="470">
        <f t="shared" ref="L6:L14" si="0">SUM(C6:K6)</f>
        <v>170706916.85999998</v>
      </c>
      <c r="M6" s="471">
        <f>'Balance Sheet - Dec25'!$C$9-L6</f>
        <v>0</v>
      </c>
    </row>
    <row r="7" spans="2:16" ht="13.8" customHeight="1">
      <c r="B7" s="959" t="s">
        <v>212</v>
      </c>
      <c r="C7" s="960"/>
      <c r="D7" s="960"/>
      <c r="E7" s="960"/>
      <c r="F7" s="960"/>
      <c r="G7" s="960"/>
      <c r="H7" s="960"/>
      <c r="I7" s="960"/>
      <c r="J7" s="960"/>
      <c r="K7" s="960"/>
      <c r="L7" s="1012">
        <f t="shared" si="0"/>
        <v>0</v>
      </c>
      <c r="M7" s="472"/>
    </row>
    <row r="8" spans="2:16" ht="14.1" customHeight="1">
      <c r="B8" s="959" t="s">
        <v>214</v>
      </c>
      <c r="C8" s="960">
        <v>276881126.42590779</v>
      </c>
      <c r="D8" s="960">
        <v>318117797.92789966</v>
      </c>
      <c r="E8" s="960">
        <v>477176696.89185357</v>
      </c>
      <c r="F8" s="960">
        <v>487544453.88412952</v>
      </c>
      <c r="G8" s="960">
        <v>195348879.6161316</v>
      </c>
      <c r="H8" s="960">
        <v>32171601.374077927</v>
      </c>
      <c r="I8" s="960"/>
      <c r="J8" s="960"/>
      <c r="K8" s="960"/>
      <c r="L8" s="1012">
        <f t="shared" si="0"/>
        <v>1787240556.1200001</v>
      </c>
      <c r="M8" s="471">
        <f>ROUND('Notes - Dec25'!$C$6-L8,0)</f>
        <v>0</v>
      </c>
      <c r="P8" s="472"/>
    </row>
    <row r="9" spans="2:16" ht="13.8" customHeight="1">
      <c r="B9" s="870" t="s">
        <v>215</v>
      </c>
      <c r="C9" s="826"/>
      <c r="D9" s="826"/>
      <c r="E9" s="826"/>
      <c r="F9" s="826"/>
      <c r="G9" s="826"/>
      <c r="H9" s="826"/>
      <c r="I9" s="826"/>
      <c r="J9" s="826"/>
      <c r="K9" s="826">
        <f>'Notes - Dec25'!$C$7</f>
        <v>-280383625.18000001</v>
      </c>
      <c r="L9" s="470">
        <f t="shared" si="0"/>
        <v>-280383625.18000001</v>
      </c>
      <c r="M9" s="471">
        <f>'Notes - Dec25'!$C$7-L9</f>
        <v>0</v>
      </c>
    </row>
    <row r="10" spans="2:16" ht="14.25" customHeight="1">
      <c r="B10" s="959" t="s">
        <v>216</v>
      </c>
      <c r="C10" s="960">
        <f>'Balance Sheet - Dec25'!C13+'Notes - Dec25'!C11+'Notes - Dec25'!I12-D10-E10-F10-G10-H10-'Notes - Dec25'!C21</f>
        <v>17597481.369404763</v>
      </c>
      <c r="D10" s="960">
        <v>3284973.1115476182</v>
      </c>
      <c r="E10" s="960">
        <v>2862477.7379761906</v>
      </c>
      <c r="F10" s="960">
        <v>1189961.6722619049</v>
      </c>
      <c r="G10" s="960">
        <v>388641.35434523813</v>
      </c>
      <c r="H10" s="960">
        <v>139007.67446428601</v>
      </c>
      <c r="I10" s="960"/>
      <c r="J10" s="960"/>
      <c r="K10" s="960"/>
      <c r="L10" s="1012">
        <f t="shared" si="0"/>
        <v>25462542.920000002</v>
      </c>
      <c r="M10" s="471">
        <f>'Balance Sheet - Dec25'!$C$13+'Notes - Dec25'!$C$13-L10-'Notes - Dec25'!C21</f>
        <v>0</v>
      </c>
      <c r="N10" s="472"/>
    </row>
    <row r="11" spans="2:16" ht="14.25" customHeight="1">
      <c r="B11" s="870" t="s">
        <v>218</v>
      </c>
      <c r="C11" s="826"/>
      <c r="D11" s="826"/>
      <c r="E11" s="826"/>
      <c r="F11" s="826"/>
      <c r="G11" s="826"/>
      <c r="H11" s="826"/>
      <c r="I11" s="826"/>
      <c r="J11" s="826"/>
      <c r="K11" s="826">
        <f>'Balance Sheet - Dec25'!$C$14</f>
        <v>9895009.1600000001</v>
      </c>
      <c r="L11" s="896">
        <f t="shared" si="0"/>
        <v>9895009.1600000001</v>
      </c>
      <c r="M11" s="471">
        <f>'Balance Sheet - Dec25'!$C$14-L11</f>
        <v>0</v>
      </c>
    </row>
    <row r="12" spans="2:16" ht="14.25" customHeight="1">
      <c r="B12" s="870" t="s">
        <v>145</v>
      </c>
      <c r="C12" s="826"/>
      <c r="D12" s="826"/>
      <c r="E12" s="826"/>
      <c r="F12" s="826"/>
      <c r="G12" s="826"/>
      <c r="H12" s="826"/>
      <c r="I12" s="826"/>
      <c r="J12" s="826"/>
      <c r="K12" s="826">
        <f>'Balance Sheet - Dec25'!$C$15</f>
        <v>243719885.13</v>
      </c>
      <c r="L12" s="470">
        <f t="shared" si="0"/>
        <v>243719885.13</v>
      </c>
      <c r="M12" s="471">
        <f>'Balance Sheet - Dec25'!$C$15-L12</f>
        <v>0</v>
      </c>
      <c r="N12" s="472"/>
    </row>
    <row r="13" spans="2:16" ht="14.25" customHeight="1">
      <c r="B13" s="870" t="s">
        <v>221</v>
      </c>
      <c r="C13" s="826"/>
      <c r="D13" s="826"/>
      <c r="E13" s="826"/>
      <c r="F13" s="826"/>
      <c r="G13" s="826"/>
      <c r="H13" s="826"/>
      <c r="I13" s="826"/>
      <c r="J13" s="826"/>
      <c r="K13" s="826">
        <f>'Balance Sheet - Dec25'!$C$16</f>
        <v>14446522</v>
      </c>
      <c r="L13" s="470">
        <f t="shared" si="0"/>
        <v>14446522</v>
      </c>
      <c r="M13" s="471">
        <f>'Balance Sheet - Dec25'!$C$16-L13</f>
        <v>0</v>
      </c>
    </row>
    <row r="14" spans="2:16" ht="14.25" customHeight="1">
      <c r="B14" s="870" t="s">
        <v>222</v>
      </c>
      <c r="C14" s="826"/>
      <c r="D14" s="826"/>
      <c r="E14" s="826"/>
      <c r="F14" s="826"/>
      <c r="G14" s="826"/>
      <c r="H14" s="826"/>
      <c r="I14" s="826"/>
      <c r="J14" s="826"/>
      <c r="K14" s="826">
        <f>'Balance Sheet - Dec25'!$C$17</f>
        <v>54334943.950000003</v>
      </c>
      <c r="L14" s="470">
        <f t="shared" si="0"/>
        <v>54334943.950000003</v>
      </c>
      <c r="M14" s="471">
        <f>'Balance Sheet - Dec25'!$G$17-'Liquidity Gap Analysis - Dec25'!L14</f>
        <v>0</v>
      </c>
    </row>
    <row r="15" spans="2:16" ht="14.25" customHeight="1" thickBot="1">
      <c r="B15" s="473" t="s">
        <v>417</v>
      </c>
      <c r="C15" s="897">
        <f>SUM(C5:C14)</f>
        <v>511889041.88531256</v>
      </c>
      <c r="D15" s="897">
        <f t="shared" ref="D15:K15" si="1">SUM(D5:D14)</f>
        <v>321402771.03944725</v>
      </c>
      <c r="E15" s="897">
        <f t="shared" si="1"/>
        <v>480039174.62982976</v>
      </c>
      <c r="F15" s="897">
        <f t="shared" si="1"/>
        <v>488734415.55639142</v>
      </c>
      <c r="G15" s="897">
        <f t="shared" si="1"/>
        <v>195737520.97047684</v>
      </c>
      <c r="H15" s="897">
        <f t="shared" si="1"/>
        <v>32310609.048542213</v>
      </c>
      <c r="I15" s="897">
        <f t="shared" si="1"/>
        <v>0</v>
      </c>
      <c r="J15" s="897">
        <f t="shared" si="1"/>
        <v>0</v>
      </c>
      <c r="K15" s="897">
        <f t="shared" si="1"/>
        <v>42012735.060000017</v>
      </c>
      <c r="L15" s="897">
        <f>SUM(L5:L14)+1</f>
        <v>2072126268.9600003</v>
      </c>
      <c r="M15" s="472"/>
    </row>
    <row r="16" spans="2:16" ht="14.25" customHeight="1" thickTop="1">
      <c r="B16" s="468" t="s">
        <v>418</v>
      </c>
      <c r="C16" s="469" t="s">
        <v>407</v>
      </c>
      <c r="D16" s="469" t="s">
        <v>408</v>
      </c>
      <c r="E16" s="469" t="s">
        <v>409</v>
      </c>
      <c r="F16" s="469" t="s">
        <v>410</v>
      </c>
      <c r="G16" s="469" t="s">
        <v>411</v>
      </c>
      <c r="H16" s="469" t="s">
        <v>412</v>
      </c>
      <c r="I16" s="469" t="s">
        <v>413</v>
      </c>
      <c r="J16" s="469" t="s">
        <v>414</v>
      </c>
      <c r="K16" s="469" t="s">
        <v>415</v>
      </c>
      <c r="L16" s="469" t="s">
        <v>399</v>
      </c>
      <c r="M16" s="472"/>
    </row>
    <row r="17" spans="2:143" ht="14.25" customHeight="1">
      <c r="B17" s="959" t="s">
        <v>225</v>
      </c>
      <c r="C17" s="960">
        <v>429702.67615531402</v>
      </c>
      <c r="D17" s="960">
        <v>927282.47287807998</v>
      </c>
      <c r="E17" s="960">
        <v>1477269.5152148977</v>
      </c>
      <c r="F17" s="960">
        <v>1515429.1959092654</v>
      </c>
      <c r="G17" s="960">
        <v>1546515.4593389574</v>
      </c>
      <c r="H17" s="960">
        <v>6211373.4821561379</v>
      </c>
      <c r="I17" s="960">
        <v>2265281</v>
      </c>
      <c r="J17" s="960"/>
      <c r="K17" s="960"/>
      <c r="L17" s="960">
        <f>SUM(C17:K17)</f>
        <v>14372853.801652651</v>
      </c>
      <c r="M17" s="471">
        <f>ROUND('Balance Sheet - Dec25'!$C$20-'Liquidity Gap Analysis - Dec25'!L17,0)</f>
        <v>0</v>
      </c>
    </row>
    <row r="18" spans="2:143" ht="14.25" customHeight="1">
      <c r="B18" s="870" t="s">
        <v>226</v>
      </c>
      <c r="C18" s="826">
        <f>'Balance Sheet - Dec25'!C21</f>
        <v>56917884.770000003</v>
      </c>
      <c r="D18" s="826"/>
      <c r="E18" s="826"/>
      <c r="F18" s="826"/>
      <c r="G18" s="826"/>
      <c r="H18" s="826"/>
      <c r="I18" s="826"/>
      <c r="J18" s="826"/>
      <c r="K18" s="826"/>
      <c r="L18" s="826">
        <f>SUM(C18:K18)</f>
        <v>56917884.770000003</v>
      </c>
      <c r="M18" s="471">
        <f>L18-'Balance Sheet - Dec25'!C21</f>
        <v>0</v>
      </c>
      <c r="EM18" s="462">
        <v>127847</v>
      </c>
    </row>
    <row r="19" spans="2:143" ht="14.25" customHeight="1">
      <c r="B19" s="870" t="s">
        <v>228</v>
      </c>
      <c r="C19" s="826"/>
      <c r="D19" s="826"/>
      <c r="E19" s="826"/>
      <c r="F19" s="826"/>
      <c r="G19" s="826"/>
      <c r="H19" s="960"/>
      <c r="I19" s="960"/>
      <c r="J19" s="826"/>
      <c r="K19" s="826"/>
      <c r="L19" s="474">
        <f>SUM(C19:K19)</f>
        <v>0</v>
      </c>
      <c r="M19" s="471"/>
    </row>
    <row r="20" spans="2:143" s="869" customFormat="1" ht="14.25" customHeight="1">
      <c r="B20" s="959" t="s">
        <v>230</v>
      </c>
      <c r="C20" s="960">
        <f>'Debt funding - Dec25'!BH26+'Debt funding - Dec25'!EG26</f>
        <v>4103361</v>
      </c>
      <c r="D20" s="960">
        <f>SUM('Debt funding - Dec25'!BI26:BK26)+SUM('Debt funding - Dec25'!EH26:EJ26)</f>
        <v>241782185.36114705</v>
      </c>
      <c r="E20" s="960">
        <f>SUM('Debt funding - Dec25'!BL26:BN26,'Debt funding - Dec25'!EK26:EM26)</f>
        <v>222380127.33589748</v>
      </c>
      <c r="F20" s="960">
        <f>SUM('Debt funding - Dec25'!BO26:BQ26,'Debt funding - Dec25'!EN26:EP26)</f>
        <v>238767514.07026154</v>
      </c>
      <c r="G20" s="960">
        <f>SUM('Debt funding - Dec25'!BR26:BT26,'Debt funding - Dec25'!EQ26:ES26)</f>
        <v>64390875.576226652</v>
      </c>
      <c r="H20" s="960">
        <f>SUM('Debt funding - Dec25'!ET26:FE26)+SUM('Debt funding - Dec25'!BU26:CF26)</f>
        <v>261264666.11690536</v>
      </c>
      <c r="I20" s="960">
        <v>420827778</v>
      </c>
      <c r="J20" s="960"/>
      <c r="K20" s="960">
        <v>0</v>
      </c>
      <c r="L20" s="960">
        <f>SUM(C20:K20)</f>
        <v>1453516507.4604383</v>
      </c>
      <c r="M20" s="471">
        <f>ROUND('Balance Sheet - Dec25'!$C$23-'Liquidity Gap Analysis - Dec25'!L20,0)</f>
        <v>0</v>
      </c>
      <c r="Q20" s="462"/>
      <c r="R20" s="462"/>
      <c r="S20" s="462"/>
      <c r="T20" s="462"/>
      <c r="U20" s="462"/>
      <c r="V20" s="462"/>
      <c r="W20" s="462"/>
      <c r="X20" s="462"/>
    </row>
    <row r="21" spans="2:143" ht="14.25" customHeight="1">
      <c r="B21" s="898"/>
      <c r="C21" s="899"/>
      <c r="D21" s="826"/>
      <c r="E21" s="826"/>
      <c r="F21" s="826"/>
      <c r="G21" s="826"/>
      <c r="H21" s="826"/>
      <c r="I21" s="826"/>
      <c r="J21" s="826"/>
      <c r="K21" s="826"/>
      <c r="L21" s="474"/>
      <c r="M21" s="471"/>
      <c r="EM21" s="462">
        <v>124182</v>
      </c>
    </row>
    <row r="22" spans="2:143" ht="14.25" customHeight="1">
      <c r="B22" s="900" t="s">
        <v>419</v>
      </c>
      <c r="C22" s="826"/>
      <c r="D22" s="826"/>
      <c r="E22" s="826"/>
      <c r="F22" s="826"/>
      <c r="G22" s="826"/>
      <c r="H22" s="826"/>
      <c r="I22" s="826"/>
      <c r="J22" s="826"/>
      <c r="K22" s="826">
        <f>'Balance Sheet - Dec25'!C30</f>
        <v>644264685.18000007</v>
      </c>
      <c r="L22" s="474">
        <f>SUM(C22:K22)</f>
        <v>644264685.18000007</v>
      </c>
      <c r="M22" s="471">
        <f>'Balance Sheet - Dec25'!$C$30-'Liquidity Gap Analysis - Dec25'!L22</f>
        <v>0</v>
      </c>
    </row>
    <row r="23" spans="2:143" ht="14.25" customHeight="1">
      <c r="B23" s="870" t="s">
        <v>420</v>
      </c>
      <c r="C23" s="826">
        <f>'Balance Sheet - Dec25'!C28</f>
        <v>-6359333.0800000001</v>
      </c>
      <c r="D23" s="826"/>
      <c r="E23" s="826"/>
      <c r="F23" s="826"/>
      <c r="G23" s="826"/>
      <c r="H23" s="826"/>
      <c r="I23" s="826"/>
      <c r="J23" s="826"/>
      <c r="K23" s="826"/>
      <c r="L23" s="474">
        <f>SUM(C23:K23)</f>
        <v>-6359333.0800000001</v>
      </c>
      <c r="M23" s="471">
        <f>-'Balance Sheet - Dec25'!$C$28+L23</f>
        <v>0</v>
      </c>
    </row>
    <row r="24" spans="2:143" ht="14.25" customHeight="1">
      <c r="B24" s="870" t="s">
        <v>421</v>
      </c>
      <c r="C24" s="826"/>
      <c r="D24" s="826"/>
      <c r="E24" s="826"/>
      <c r="F24" s="826"/>
      <c r="G24" s="826"/>
      <c r="H24" s="826"/>
      <c r="I24" s="826"/>
      <c r="J24" s="826"/>
      <c r="K24" s="826">
        <f>'Balance Sheet - Dec25'!C27+'Balance Sheet - Dec25'!C26</f>
        <v>-90586330.269999981</v>
      </c>
      <c r="L24" s="474">
        <f>SUM(C24:K24)</f>
        <v>-90586330.269999981</v>
      </c>
      <c r="M24" s="471">
        <f>'Balance Sheet - Dec25'!$C$26+'Balance Sheet - Dec25'!$C$27-L24</f>
        <v>0</v>
      </c>
      <c r="EM24" s="462">
        <v>127789</v>
      </c>
    </row>
    <row r="25" spans="2:143" ht="14.25" customHeight="1">
      <c r="B25" s="870"/>
      <c r="C25" s="826"/>
      <c r="D25" s="826"/>
      <c r="E25" s="826"/>
      <c r="F25" s="826"/>
      <c r="G25" s="826"/>
      <c r="H25" s="826"/>
      <c r="I25" s="826"/>
      <c r="J25" s="826"/>
      <c r="K25" s="826"/>
      <c r="L25" s="826">
        <v>0</v>
      </c>
      <c r="M25" s="471"/>
    </row>
    <row r="26" spans="2:143" ht="14.25" customHeight="1" thickBot="1">
      <c r="B26" s="475" t="s">
        <v>422</v>
      </c>
      <c r="C26" s="476">
        <f t="shared" ref="C26:L26" si="2">SUM(C17:C25)</f>
        <v>55091615.366155319</v>
      </c>
      <c r="D26" s="476">
        <f t="shared" si="2"/>
        <v>242709467.83402511</v>
      </c>
      <c r="E26" s="476">
        <f t="shared" si="2"/>
        <v>223857396.85111237</v>
      </c>
      <c r="F26" s="476">
        <f t="shared" si="2"/>
        <v>240282943.2661708</v>
      </c>
      <c r="G26" s="476">
        <f t="shared" si="2"/>
        <v>65937391.035565607</v>
      </c>
      <c r="H26" s="476">
        <f t="shared" si="2"/>
        <v>267476039.59906149</v>
      </c>
      <c r="I26" s="476">
        <f t="shared" si="2"/>
        <v>423093059</v>
      </c>
      <c r="J26" s="476">
        <f t="shared" si="2"/>
        <v>0</v>
      </c>
      <c r="K26" s="476">
        <f t="shared" si="2"/>
        <v>553678354.91000009</v>
      </c>
      <c r="L26" s="476">
        <f t="shared" si="2"/>
        <v>2072126267.8620911</v>
      </c>
      <c r="M26" s="471"/>
    </row>
    <row r="27" spans="2:143" ht="14.25" customHeight="1" thickTop="1">
      <c r="B27" s="466"/>
      <c r="C27" s="477"/>
      <c r="D27" s="477"/>
      <c r="E27" s="477"/>
      <c r="F27" s="477"/>
      <c r="G27" s="477"/>
      <c r="H27" s="477"/>
      <c r="I27" s="477"/>
      <c r="J27" s="477"/>
      <c r="K27" s="477"/>
      <c r="L27" s="477"/>
      <c r="M27" s="471">
        <f>ROUND(L15-L26,0)</f>
        <v>1</v>
      </c>
      <c r="EM27" s="462">
        <v>124309</v>
      </c>
    </row>
    <row r="28" spans="2:143" ht="14.25" customHeight="1">
      <c r="B28" s="478" t="s">
        <v>423</v>
      </c>
      <c r="C28" s="479">
        <f t="shared" ref="C28:K28" si="3">C15-C26</f>
        <v>456797426.51915723</v>
      </c>
      <c r="D28" s="479">
        <f t="shared" si="3"/>
        <v>78693303.205422133</v>
      </c>
      <c r="E28" s="479">
        <f t="shared" si="3"/>
        <v>256181777.7787174</v>
      </c>
      <c r="F28" s="479">
        <f t="shared" si="3"/>
        <v>248451472.29022062</v>
      </c>
      <c r="G28" s="479">
        <f t="shared" si="3"/>
        <v>129800129.93491122</v>
      </c>
      <c r="H28" s="479">
        <f t="shared" si="3"/>
        <v>-235165430.55051929</v>
      </c>
      <c r="I28" s="479">
        <f t="shared" si="3"/>
        <v>-423093059</v>
      </c>
      <c r="J28" s="479">
        <f t="shared" si="3"/>
        <v>0</v>
      </c>
      <c r="K28" s="479">
        <f t="shared" si="3"/>
        <v>-511665619.85000008</v>
      </c>
      <c r="L28" s="479">
        <f>ROUND(L15-L26,0)</f>
        <v>1</v>
      </c>
      <c r="M28" s="471"/>
    </row>
    <row r="29" spans="2:143" ht="14.25" customHeight="1" thickBot="1">
      <c r="B29" s="480" t="s">
        <v>424</v>
      </c>
      <c r="C29" s="481">
        <f t="shared" ref="C29:K29" si="4">C28/SUM($L$22:$L$24)</f>
        <v>0.83460908227129138</v>
      </c>
      <c r="D29" s="481">
        <f t="shared" si="4"/>
        <v>0.14377958752887024</v>
      </c>
      <c r="E29" s="481">
        <f t="shared" si="4"/>
        <v>0.46806664406100013</v>
      </c>
      <c r="F29" s="481">
        <f t="shared" si="4"/>
        <v>0.45394269590613801</v>
      </c>
      <c r="G29" s="481">
        <f t="shared" si="4"/>
        <v>0.23715625578097993</v>
      </c>
      <c r="H29" s="481">
        <f t="shared" si="4"/>
        <v>-0.42966792888766586</v>
      </c>
      <c r="I29" s="481">
        <f t="shared" si="4"/>
        <v>-0.77302823787369623</v>
      </c>
      <c r="J29" s="481">
        <f t="shared" si="4"/>
        <v>0</v>
      </c>
      <c r="K29" s="481">
        <f t="shared" si="4"/>
        <v>-0.93485809818779864</v>
      </c>
      <c r="L29" s="482"/>
      <c r="M29" s="471"/>
      <c r="EM29" s="462">
        <v>199842076.30000004</v>
      </c>
    </row>
    <row r="30" spans="2:143" ht="14.25" customHeight="1">
      <c r="B30" s="483" t="s">
        <v>425</v>
      </c>
      <c r="C30" s="484">
        <f>C28</f>
        <v>456797426.51915723</v>
      </c>
      <c r="D30" s="484">
        <f t="shared" ref="D30:K30" si="5">C30+D28</f>
        <v>535490729.72457933</v>
      </c>
      <c r="E30" s="484">
        <f t="shared" si="5"/>
        <v>791672507.50329673</v>
      </c>
      <c r="F30" s="484">
        <f t="shared" si="5"/>
        <v>1040123979.7935174</v>
      </c>
      <c r="G30" s="484">
        <f t="shared" si="5"/>
        <v>1169924109.7284286</v>
      </c>
      <c r="H30" s="484">
        <f t="shared" si="5"/>
        <v>934758679.17790937</v>
      </c>
      <c r="I30" s="484">
        <f t="shared" si="5"/>
        <v>511665620.17790937</v>
      </c>
      <c r="J30" s="484">
        <f t="shared" si="5"/>
        <v>511665620.17790937</v>
      </c>
      <c r="K30" s="484">
        <f t="shared" si="5"/>
        <v>0.32790929079055786</v>
      </c>
      <c r="L30" s="485"/>
      <c r="M30" s="471"/>
    </row>
    <row r="31" spans="2:143" ht="14.25" customHeight="1">
      <c r="B31" s="486" t="s">
        <v>426</v>
      </c>
      <c r="C31" s="487">
        <f>C30/SUM($L$22:$L$24)</f>
        <v>0.83460908227129138</v>
      </c>
      <c r="D31" s="487">
        <f>D30/SUM($L$22:$L$24)</f>
        <v>0.97838866980016159</v>
      </c>
      <c r="E31" s="487">
        <f>E30/SUM($L$22:$L$24)</f>
        <v>1.4464553138611618</v>
      </c>
      <c r="F31" s="487">
        <f t="shared" ref="F31:K31" si="6">F30/SUM($L$22:$L$24)</f>
        <v>1.9003980097672997</v>
      </c>
      <c r="G31" s="487">
        <f>G30/SUM($L$22:$L$24)</f>
        <v>2.1375542655482795</v>
      </c>
      <c r="H31" s="487">
        <f>H30/SUM($L$22:$L$24)</f>
        <v>1.7078863366606141</v>
      </c>
      <c r="I31" s="487">
        <f>I30/SUM($L$22:$L$24)</f>
        <v>0.93485809878691772</v>
      </c>
      <c r="J31" s="487">
        <f t="shared" si="6"/>
        <v>0.93485809878691772</v>
      </c>
      <c r="K31" s="487">
        <f t="shared" si="6"/>
        <v>5.9911912013247753E-10</v>
      </c>
      <c r="L31" s="488"/>
    </row>
    <row r="32" spans="2:143" ht="14.25" customHeight="1">
      <c r="EM32" s="462" t="s">
        <v>669</v>
      </c>
    </row>
    <row r="33" spans="8:143" ht="14.25" customHeight="1">
      <c r="H33" s="472"/>
      <c r="EM33" s="462" t="s">
        <v>670</v>
      </c>
    </row>
    <row r="34" spans="8:143" ht="14.25" customHeight="1">
      <c r="I34" s="472"/>
      <c r="EM34" s="462" t="s">
        <v>671</v>
      </c>
    </row>
    <row r="62" spans="143:143" ht="14.25" customHeight="1">
      <c r="EM62" s="462">
        <v>0</v>
      </c>
    </row>
    <row r="63" spans="143:143" ht="14.25" customHeight="1">
      <c r="EM63" s="462">
        <v>184073.31</v>
      </c>
    </row>
    <row r="64" spans="143:143" ht="14.25" customHeight="1">
      <c r="EM64" s="462">
        <v>150216.59000000003</v>
      </c>
    </row>
    <row r="65" spans="143:143" ht="14.25" customHeight="1">
      <c r="EM65" s="462">
        <v>54647627.280000046</v>
      </c>
    </row>
    <row r="66" spans="143:143" ht="14.25" customHeight="1">
      <c r="EM66" s="462">
        <v>36684230.160000026</v>
      </c>
    </row>
    <row r="67" spans="143:143" ht="14.25" customHeight="1">
      <c r="EM67" s="462">
        <v>351341126.18000048</v>
      </c>
    </row>
    <row r="68" spans="143:143" ht="14.25" customHeight="1">
      <c r="EM68" s="462">
        <v>125693561.00000001</v>
      </c>
    </row>
    <row r="69" spans="143:143" ht="14.25" customHeight="1">
      <c r="EM69" s="462">
        <v>177527812.29000005</v>
      </c>
    </row>
    <row r="70" spans="143:143" ht="14.25" customHeight="1">
      <c r="EM70" s="462">
        <v>116709893.63999978</v>
      </c>
    </row>
    <row r="71" spans="143:143" ht="14.25" customHeight="1">
      <c r="EM71" s="462">
        <v>20036789.900000002</v>
      </c>
    </row>
    <row r="72" spans="143:143" ht="14.25" customHeight="1">
      <c r="EM72" s="462">
        <v>3985259.8600000003</v>
      </c>
    </row>
    <row r="73" spans="143:143" ht="14.25" customHeight="1">
      <c r="EM73" s="462">
        <v>3785396.4499999997</v>
      </c>
    </row>
    <row r="74" spans="143:143" ht="14.25" customHeight="1"/>
    <row r="75" spans="143:143" ht="14.25" customHeight="1"/>
    <row r="76" spans="143:143" ht="14.25" customHeight="1"/>
    <row r="77" spans="143:143" ht="14.25" customHeight="1"/>
    <row r="78" spans="143:143" ht="14.25" customHeight="1">
      <c r="EM78" s="462">
        <v>0</v>
      </c>
    </row>
    <row r="81" spans="143:143" ht="14.25" customHeight="1">
      <c r="EM81" s="462">
        <v>8583715.1999999993</v>
      </c>
    </row>
    <row r="82" spans="143:143" ht="14.25" customHeight="1"/>
    <row r="83" spans="143:143" ht="14.25" customHeight="1"/>
    <row r="84" spans="143:143" ht="14.25" customHeight="1">
      <c r="EM84" s="462">
        <v>31106669.430000003</v>
      </c>
    </row>
    <row r="85" spans="143:143" ht="14.25" customHeight="1"/>
    <row r="86" spans="143:143" ht="14.25" customHeight="1"/>
    <row r="87" spans="143:143" ht="14.25" customHeight="1">
      <c r="EM87" s="462">
        <v>16068429.489999998</v>
      </c>
    </row>
    <row r="88" spans="143:143" ht="14.25" customHeight="1">
      <c r="EM88" s="462">
        <v>42435287.099999994</v>
      </c>
    </row>
    <row r="89" spans="143:143" ht="14.25" customHeight="1">
      <c r="EM89" s="462">
        <v>108238662.84999999</v>
      </c>
    </row>
    <row r="97" s="462" customFormat="1" ht="15" customHeight="1"/>
    <row r="98" s="462" customFormat="1" ht="15" customHeight="1"/>
    <row r="99" s="462" customFormat="1" ht="15" customHeight="1"/>
    <row r="100" s="462" customFormat="1" ht="15" customHeight="1"/>
    <row r="101" s="462" customFormat="1" ht="15" customHeight="1"/>
    <row r="102" s="462" customFormat="1" ht="15" customHeight="1"/>
    <row r="103" s="462" customFormat="1" ht="15" customHeight="1"/>
    <row r="104" s="462" customFormat="1" ht="15" customHeight="1"/>
    <row r="105" s="462" customFormat="1" ht="15" customHeight="1"/>
    <row r="106" s="462" customFormat="1" ht="15" customHeight="1"/>
    <row r="107" s="462" customFormat="1" ht="15" customHeight="1"/>
    <row r="108" s="462" customFormat="1" ht="15" customHeight="1"/>
    <row r="109" s="462" customFormat="1" ht="15" customHeight="1"/>
    <row r="110" s="462" customFormat="1" ht="15" customHeight="1"/>
    <row r="111" s="462" customFormat="1" ht="15" customHeight="1"/>
    <row r="112" s="462" customFormat="1" ht="15" customHeight="1"/>
    <row r="113" s="462" customFormat="1" ht="15" customHeight="1"/>
    <row r="114" s="462" customFormat="1" ht="15" customHeight="1"/>
    <row r="115" s="462" customFormat="1" ht="15" customHeight="1"/>
    <row r="116" s="462" customFormat="1" ht="15" customHeight="1"/>
    <row r="117" s="462" customFormat="1" ht="15" customHeight="1"/>
    <row r="118" s="462" customFormat="1" ht="15" customHeight="1"/>
    <row r="119" s="462" customFormat="1" ht="15" customHeight="1"/>
    <row r="120" s="462" customFormat="1" ht="15" customHeight="1"/>
    <row r="121" s="462" customFormat="1" ht="15" customHeight="1"/>
    <row r="122" s="462" customFormat="1" ht="15" customHeight="1"/>
    <row r="123" s="462" customFormat="1" ht="15" customHeight="1"/>
    <row r="124" s="462" customFormat="1" ht="15" customHeight="1"/>
    <row r="125" s="462" customFormat="1" ht="15" customHeight="1"/>
    <row r="126" s="462" customFormat="1" ht="15" customHeight="1"/>
    <row r="127" s="462" customFormat="1" ht="15" customHeight="1"/>
    <row r="128" s="462" customFormat="1" ht="15" customHeight="1"/>
    <row r="129" s="462" customFormat="1" ht="15" customHeight="1"/>
    <row r="130" s="462" customFormat="1" ht="15" customHeight="1"/>
    <row r="131" s="462" customFormat="1" ht="15" customHeight="1"/>
    <row r="132" s="462" customFormat="1" ht="15" customHeight="1"/>
    <row r="133" s="462" customFormat="1" ht="15" customHeight="1"/>
    <row r="134" s="462" customFormat="1" ht="15" customHeight="1"/>
    <row r="135" s="462" customFormat="1" ht="15" customHeight="1"/>
    <row r="136" s="462" customFormat="1" ht="15" customHeight="1"/>
    <row r="137" s="462" customFormat="1" ht="15" customHeight="1"/>
    <row r="138" s="462" customFormat="1" ht="15" customHeight="1"/>
    <row r="139" s="462" customFormat="1" ht="15" customHeight="1"/>
    <row r="140" s="462" customFormat="1" ht="15" customHeight="1"/>
    <row r="141" s="462" customFormat="1" ht="15" customHeight="1"/>
    <row r="142" s="462" customFormat="1" ht="15" customHeight="1"/>
    <row r="143" s="462" customFormat="1" ht="15" customHeight="1"/>
    <row r="144" s="462" customFormat="1" ht="15" customHeight="1"/>
    <row r="145" s="462" customFormat="1" ht="15" customHeight="1"/>
    <row r="146" s="462" customFormat="1" ht="15" customHeight="1"/>
    <row r="147" s="462" customFormat="1" ht="15" customHeight="1"/>
    <row r="148" s="462" customFormat="1" ht="15" customHeight="1"/>
    <row r="149" s="462" customFormat="1" ht="15" customHeight="1"/>
    <row r="150" s="462" customFormat="1" ht="15" customHeight="1"/>
    <row r="151" s="462" customFormat="1" ht="15" customHeight="1"/>
    <row r="152" s="462" customFormat="1" ht="15" customHeight="1"/>
    <row r="153" s="462" customFormat="1" ht="15" customHeight="1"/>
    <row r="154" s="462" customFormat="1" ht="15" customHeight="1"/>
    <row r="155" s="462" customFormat="1" ht="15" customHeight="1"/>
    <row r="156" s="462" customFormat="1" ht="15" customHeight="1"/>
    <row r="157" s="462" customFormat="1" ht="15" customHeight="1"/>
    <row r="158" s="462" customFormat="1" ht="15" customHeight="1"/>
    <row r="159" s="462" customFormat="1" ht="15" customHeight="1"/>
    <row r="160" s="462" customFormat="1" ht="15" customHeight="1"/>
    <row r="161" s="462" customFormat="1" ht="15" customHeight="1"/>
    <row r="162" s="462" customFormat="1" ht="15" customHeight="1"/>
    <row r="163" s="462" customFormat="1" ht="15" customHeight="1"/>
    <row r="164" s="462" customFormat="1" ht="15" customHeight="1"/>
    <row r="165" s="462" customFormat="1" ht="15" customHeight="1"/>
    <row r="166" s="462" customFormat="1" ht="15" customHeight="1"/>
    <row r="167" s="462" customFormat="1" ht="15" customHeight="1"/>
    <row r="168" s="462" customFormat="1" ht="15" customHeight="1"/>
    <row r="169" s="462" customFormat="1" ht="15" customHeight="1"/>
    <row r="170" s="462" customFormat="1" ht="15" customHeight="1"/>
    <row r="171" s="462" customFormat="1" ht="15" customHeight="1"/>
    <row r="172" s="462" customFormat="1" ht="15" customHeight="1"/>
    <row r="173" s="462" customFormat="1" ht="15" customHeight="1"/>
    <row r="174" s="462" customFormat="1" ht="15" customHeight="1"/>
    <row r="175" s="462" customFormat="1" ht="15" customHeight="1"/>
    <row r="176" s="462" customFormat="1" ht="15" customHeight="1"/>
    <row r="177" s="462" customFormat="1" ht="15" customHeight="1"/>
    <row r="178" s="462" customFormat="1" ht="15" customHeight="1"/>
    <row r="179" s="462" customFormat="1" ht="15" customHeight="1"/>
    <row r="180" s="462" customFormat="1" ht="15" customHeight="1"/>
    <row r="181" s="462" customFormat="1" ht="15" customHeight="1"/>
    <row r="182" s="462" customFormat="1" ht="15" customHeight="1"/>
    <row r="183" s="462" customFormat="1" ht="15" customHeight="1"/>
    <row r="184" s="462" customFormat="1" ht="15" customHeight="1"/>
    <row r="185" s="462" customFormat="1" ht="15" customHeight="1"/>
    <row r="186" s="462" customFormat="1" ht="15" customHeight="1"/>
    <row r="187" s="462" customFormat="1" ht="15" customHeight="1"/>
    <row r="188" s="462" customFormat="1" ht="15" customHeight="1"/>
    <row r="189" s="462" customFormat="1" ht="15" customHeight="1"/>
    <row r="190" s="462" customFormat="1" ht="15" customHeight="1"/>
    <row r="191" s="462" customFormat="1" ht="15" customHeight="1"/>
    <row r="192" s="462" customFormat="1" ht="15" customHeight="1"/>
    <row r="193" s="462" customFormat="1" ht="15" customHeight="1"/>
    <row r="194" s="462" customFormat="1" ht="15" customHeight="1"/>
    <row r="195" s="462" customFormat="1" ht="15" customHeight="1"/>
    <row r="196" s="462" customFormat="1" ht="15" customHeight="1"/>
    <row r="197" s="462" customFormat="1" ht="15" customHeight="1"/>
    <row r="198" s="462" customFormat="1" ht="15" customHeight="1"/>
    <row r="199" s="462" customFormat="1" ht="15" customHeight="1"/>
    <row r="200" s="462" customFormat="1" ht="15" customHeight="1"/>
    <row r="201" s="462" customFormat="1" ht="15" customHeight="1"/>
    <row r="202" s="462" customFormat="1" ht="15" customHeight="1"/>
    <row r="203" s="462" customFormat="1" ht="15" customHeight="1"/>
    <row r="204" s="462" customFormat="1" ht="15" customHeight="1"/>
    <row r="205" s="462" customFormat="1" ht="15" customHeight="1"/>
    <row r="206" s="462" customFormat="1" ht="15" customHeight="1"/>
    <row r="207" s="462" customFormat="1" ht="15" customHeight="1"/>
    <row r="208" s="462" customFormat="1" ht="15" customHeight="1"/>
    <row r="209" s="462" customFormat="1" ht="15" customHeight="1"/>
    <row r="210" s="462" customFormat="1" ht="15" customHeight="1"/>
    <row r="211" s="462" customFormat="1" ht="15" customHeight="1"/>
    <row r="212" s="462" customFormat="1" ht="15" customHeight="1"/>
    <row r="213" s="462" customFormat="1" ht="15" customHeight="1"/>
    <row r="214" s="462" customFormat="1" ht="15" customHeight="1"/>
    <row r="215" s="462" customFormat="1" ht="15" customHeight="1"/>
    <row r="216" s="462" customFormat="1" ht="15" customHeight="1"/>
    <row r="217" s="462" customFormat="1" ht="15" customHeight="1"/>
    <row r="218" s="462" customFormat="1" ht="15" customHeight="1"/>
    <row r="219" s="462" customFormat="1" ht="15" customHeight="1"/>
    <row r="220" s="462" customFormat="1" ht="15" customHeight="1"/>
    <row r="221" s="462" customFormat="1" ht="15" customHeight="1"/>
    <row r="222" s="462" customFormat="1" ht="15" customHeight="1"/>
    <row r="223" s="462" customFormat="1" ht="15" customHeight="1"/>
    <row r="224" s="462" customFormat="1" ht="15" customHeight="1"/>
    <row r="225" s="462" customFormat="1" ht="15" customHeight="1"/>
    <row r="226" s="462" customFormat="1" ht="15" customHeight="1"/>
    <row r="227" s="462" customFormat="1" ht="15" customHeight="1"/>
    <row r="228" s="462" customFormat="1" ht="15" customHeight="1"/>
    <row r="229" s="462" customFormat="1" ht="15" customHeight="1"/>
    <row r="230" s="462" customFormat="1" ht="15" customHeight="1"/>
    <row r="231" s="462" customFormat="1" ht="15" customHeight="1"/>
    <row r="232" s="462" customFormat="1" ht="15" customHeight="1"/>
    <row r="233" s="462" customFormat="1" ht="15" customHeight="1"/>
    <row r="234" s="462" customFormat="1" ht="15" customHeight="1"/>
    <row r="235" s="462" customFormat="1" ht="15" customHeight="1"/>
    <row r="236" s="462" customFormat="1" ht="15" customHeight="1"/>
    <row r="237" s="462" customFormat="1" ht="15" customHeight="1"/>
    <row r="238" s="462" customFormat="1" ht="15" customHeight="1"/>
    <row r="239" s="462" customFormat="1" ht="15" customHeight="1"/>
    <row r="240" s="462" customFormat="1" ht="15" customHeight="1"/>
    <row r="241" s="462" customFormat="1" ht="15" customHeight="1"/>
    <row r="242" s="462" customFormat="1" ht="15" customHeight="1"/>
    <row r="243" s="462" customFormat="1" ht="15" customHeight="1"/>
    <row r="244" s="462" customFormat="1" ht="15" customHeight="1"/>
    <row r="245" s="462" customFormat="1" ht="15" customHeight="1"/>
    <row r="246" s="462" customFormat="1" ht="15" customHeight="1"/>
    <row r="247" s="462" customFormat="1" ht="15" customHeight="1"/>
    <row r="248" s="462" customFormat="1" ht="15" customHeight="1"/>
    <row r="249" s="462" customFormat="1" ht="15" customHeight="1"/>
    <row r="250" s="462" customFormat="1" ht="15" customHeight="1"/>
    <row r="251" s="462" customFormat="1" ht="15" customHeight="1"/>
    <row r="252" s="462" customFormat="1" ht="15" customHeight="1"/>
    <row r="253" s="462" customFormat="1" ht="15" customHeight="1"/>
    <row r="254" s="462" customFormat="1" ht="15" customHeight="1"/>
    <row r="255" s="462" customFormat="1" ht="15" customHeight="1"/>
    <row r="256" s="462" customFormat="1" ht="15" customHeight="1"/>
    <row r="257" s="462" customFormat="1" ht="15" customHeight="1"/>
    <row r="258" s="462" customFormat="1" ht="15" customHeight="1"/>
    <row r="259" s="462" customFormat="1" ht="15" customHeight="1"/>
    <row r="260" s="462" customFormat="1" ht="15" customHeight="1"/>
    <row r="261" s="462" customFormat="1" ht="15" customHeight="1"/>
    <row r="262" s="462" customFormat="1" ht="15" customHeight="1"/>
    <row r="263" s="462" customFormat="1" ht="15" customHeight="1"/>
    <row r="264" s="462" customFormat="1" ht="15" customHeight="1"/>
    <row r="265" s="462" customFormat="1" ht="15" customHeight="1"/>
    <row r="266" s="462" customFormat="1" ht="15" customHeight="1"/>
    <row r="267" s="462" customFormat="1" ht="15" customHeight="1"/>
    <row r="268" s="462" customFormat="1" ht="15" customHeight="1"/>
    <row r="269" s="462" customFormat="1" ht="15" customHeight="1"/>
    <row r="270" s="462" customFormat="1" ht="15" customHeight="1"/>
    <row r="271" s="462" customFormat="1" ht="15" customHeight="1"/>
    <row r="272" s="462" customFormat="1" ht="15" customHeight="1"/>
    <row r="273" s="462" customFormat="1" ht="15" customHeight="1"/>
    <row r="274" s="462" customFormat="1" ht="15" customHeight="1"/>
    <row r="275" s="462" customFormat="1" ht="15" customHeight="1"/>
    <row r="276" s="462" customFormat="1" ht="15" customHeight="1"/>
    <row r="277" s="462" customFormat="1" ht="15" customHeight="1"/>
    <row r="278" s="462" customFormat="1" ht="15" customHeight="1"/>
    <row r="279" s="462" customFormat="1" ht="15" customHeight="1"/>
    <row r="280" s="462" customFormat="1" ht="15" customHeight="1"/>
    <row r="281" s="462" customFormat="1" ht="15" customHeight="1"/>
    <row r="282" s="462" customFormat="1" ht="15" customHeight="1"/>
    <row r="283" s="462" customFormat="1" ht="15" customHeight="1"/>
    <row r="284" s="462" customFormat="1" ht="15" customHeight="1"/>
    <row r="285" s="462" customFormat="1" ht="15" customHeight="1"/>
    <row r="286" s="462" customFormat="1" ht="15" customHeight="1"/>
    <row r="287" s="462" customFormat="1" ht="15" customHeight="1"/>
    <row r="288" s="462" customFormat="1" ht="15" customHeight="1"/>
    <row r="289" s="462" customFormat="1" ht="15" customHeight="1"/>
    <row r="290" s="462" customFormat="1" ht="15" customHeight="1"/>
    <row r="291" s="462" customFormat="1" ht="15" customHeight="1"/>
    <row r="292" s="462" customFormat="1" ht="15" customHeight="1"/>
    <row r="293" s="462" customFormat="1" ht="15" customHeight="1"/>
    <row r="294" s="462" customFormat="1" ht="15" customHeight="1"/>
    <row r="295" s="462" customFormat="1" ht="15" customHeight="1"/>
    <row r="296" s="462" customFormat="1" ht="15" customHeight="1"/>
    <row r="297" s="462" customFormat="1" ht="15" customHeight="1"/>
    <row r="298" s="462" customFormat="1" ht="15" customHeight="1"/>
    <row r="299" s="462" customFormat="1" ht="15" customHeight="1"/>
    <row r="300" s="462" customFormat="1" ht="15" customHeight="1"/>
    <row r="301" s="462" customFormat="1" ht="15" customHeight="1"/>
    <row r="302" s="462" customFormat="1" ht="15" customHeight="1"/>
    <row r="303" s="462" customFormat="1" ht="15" customHeight="1"/>
    <row r="304" s="462" customFormat="1" ht="15" customHeight="1"/>
    <row r="305" s="462" customFormat="1" ht="15" customHeight="1"/>
    <row r="306" s="462" customFormat="1" ht="15" customHeight="1"/>
    <row r="307" s="462" customFormat="1" ht="15" customHeight="1"/>
    <row r="308" s="462" customFormat="1" ht="15" customHeight="1"/>
    <row r="309" s="462" customFormat="1" ht="15" customHeight="1"/>
    <row r="310" s="462" customFormat="1" ht="15" customHeight="1"/>
    <row r="311" s="462" customFormat="1" ht="15" customHeight="1"/>
    <row r="312" s="462" customFormat="1" ht="15" customHeight="1"/>
    <row r="313" s="462" customFormat="1" ht="15" customHeight="1"/>
    <row r="314" s="462" customFormat="1" ht="15" customHeight="1"/>
    <row r="315" s="462" customFormat="1" ht="15" customHeight="1"/>
    <row r="316" s="462" customFormat="1" ht="15" customHeight="1"/>
    <row r="317" s="462" customFormat="1" ht="15" customHeight="1"/>
    <row r="318" s="462" customFormat="1" ht="15" customHeight="1"/>
    <row r="319" s="462" customFormat="1" ht="15" customHeight="1"/>
    <row r="320" s="462" customFormat="1" ht="15" customHeight="1"/>
    <row r="321" s="462" customFormat="1" ht="15" customHeight="1"/>
    <row r="322" s="462" customFormat="1" ht="15" customHeight="1"/>
    <row r="323" s="462" customFormat="1" ht="15" customHeight="1"/>
    <row r="324" s="462" customFormat="1" ht="15" customHeight="1"/>
    <row r="325" s="462" customFormat="1" ht="15" customHeight="1"/>
    <row r="326" s="462" customFormat="1" ht="15" customHeight="1"/>
    <row r="327" s="462" customFormat="1" ht="15" customHeight="1"/>
    <row r="328" s="462" customFormat="1" ht="15" customHeight="1"/>
    <row r="329" s="462" customFormat="1" ht="15" customHeight="1"/>
    <row r="330" s="462" customFormat="1" ht="15" customHeight="1"/>
    <row r="331" s="462" customFormat="1" ht="15" customHeight="1"/>
    <row r="332" s="462" customFormat="1" ht="15" customHeight="1"/>
    <row r="333" s="462" customFormat="1" ht="15" customHeight="1"/>
    <row r="334" s="462" customFormat="1" ht="15" customHeight="1"/>
    <row r="335" s="462" customFormat="1" ht="15" customHeight="1"/>
    <row r="336" s="462" customFormat="1" ht="15" customHeight="1"/>
    <row r="337" s="462" customFormat="1" ht="15" customHeight="1"/>
    <row r="338" s="462" customFormat="1" ht="15" customHeight="1"/>
    <row r="339" s="462" customFormat="1" ht="15" customHeight="1"/>
    <row r="340" s="462" customFormat="1" ht="15" customHeight="1"/>
    <row r="341" s="462" customFormat="1" ht="15" customHeight="1"/>
    <row r="342" s="462" customFormat="1" ht="15" customHeight="1"/>
    <row r="343" s="462" customFormat="1" ht="15" customHeight="1"/>
    <row r="344" s="462" customFormat="1" ht="15" customHeight="1"/>
    <row r="345" s="462" customFormat="1" ht="15" customHeight="1"/>
    <row r="346" s="462" customFormat="1" ht="15" customHeight="1"/>
    <row r="347" s="462" customFormat="1" ht="15" customHeight="1"/>
    <row r="348" s="462" customFormat="1" ht="15" customHeight="1"/>
    <row r="349" s="462" customFormat="1" ht="15" customHeight="1"/>
    <row r="350" s="462" customFormat="1" ht="15" customHeight="1"/>
    <row r="351" s="462" customFormat="1" ht="15" customHeight="1"/>
    <row r="352" s="462" customFormat="1" ht="15" customHeight="1"/>
    <row r="353" s="462" customFormat="1" ht="15" customHeight="1"/>
    <row r="354" s="462" customFormat="1" ht="15" customHeight="1"/>
    <row r="355" s="462" customFormat="1" ht="15" customHeight="1"/>
    <row r="356" s="462" customFormat="1" ht="15" customHeight="1"/>
    <row r="357" s="462" customFormat="1" ht="15" customHeight="1"/>
    <row r="358" s="462" customFormat="1" ht="15" customHeight="1"/>
    <row r="359" s="462" customFormat="1" ht="15" customHeight="1"/>
    <row r="360" s="462" customFormat="1" ht="15" customHeight="1"/>
    <row r="361" s="462" customFormat="1" ht="15" customHeight="1"/>
    <row r="362" s="462" customFormat="1" ht="15" customHeight="1"/>
    <row r="363" s="462" customFormat="1" ht="15" customHeight="1"/>
    <row r="364" s="462" customFormat="1" ht="15" customHeight="1"/>
    <row r="365" s="462" customFormat="1" ht="15" customHeight="1"/>
    <row r="366" s="462" customFormat="1" ht="15" customHeight="1"/>
    <row r="367" s="462" customFormat="1" ht="15" customHeight="1"/>
    <row r="368" s="462" customFormat="1" ht="15" customHeight="1"/>
    <row r="369" s="462" customFormat="1" ht="15" customHeight="1"/>
    <row r="370" s="462" customFormat="1" ht="15" customHeight="1"/>
    <row r="371" s="462" customFormat="1" ht="15" customHeight="1"/>
    <row r="372" s="462" customFormat="1" ht="15" customHeight="1"/>
    <row r="373" s="462" customFormat="1" ht="15" customHeight="1"/>
    <row r="374" s="462" customFormat="1" ht="15" customHeight="1"/>
    <row r="375" s="462" customFormat="1" ht="15" customHeight="1"/>
    <row r="376" s="462" customFormat="1" ht="15" customHeight="1"/>
    <row r="377" s="462" customFormat="1" ht="15" customHeight="1"/>
    <row r="378" s="462" customFormat="1" ht="15" customHeight="1"/>
    <row r="379" s="462" customFormat="1" ht="15" customHeight="1"/>
    <row r="380" s="462" customFormat="1" ht="15" customHeight="1"/>
    <row r="381" s="462" customFormat="1" ht="15" customHeight="1"/>
    <row r="382" s="462" customFormat="1" ht="15" customHeight="1"/>
    <row r="383" s="462" customFormat="1" ht="15" customHeight="1"/>
    <row r="384" s="462" customFormat="1" ht="15" customHeight="1"/>
    <row r="385" s="462" customFormat="1" ht="15" customHeight="1"/>
    <row r="386" s="462" customFormat="1" ht="15" customHeight="1"/>
    <row r="387" s="462" customFormat="1" ht="15" customHeight="1"/>
    <row r="388" s="462" customFormat="1" ht="15" customHeight="1"/>
    <row r="389" s="462" customFormat="1" ht="15" customHeight="1"/>
    <row r="390" s="462" customFormat="1" ht="15" customHeight="1"/>
    <row r="391" s="462" customFormat="1" ht="15" customHeight="1"/>
    <row r="392" s="462" customFormat="1" ht="15" customHeight="1"/>
    <row r="393" s="462" customFormat="1" ht="15" customHeight="1"/>
    <row r="394" s="462" customFormat="1" ht="15" customHeight="1"/>
    <row r="395" s="462" customFormat="1" ht="15" customHeight="1"/>
    <row r="396" s="462" customFormat="1" ht="15" customHeight="1"/>
    <row r="397" s="462" customFormat="1" ht="15" customHeight="1"/>
    <row r="398" s="462" customFormat="1" ht="15" customHeight="1"/>
    <row r="399" s="462" customFormat="1" ht="15" customHeight="1"/>
    <row r="400" s="462" customFormat="1" ht="15" customHeight="1"/>
    <row r="401" s="462" customFormat="1" ht="15" customHeight="1"/>
    <row r="402" s="462" customFormat="1" ht="15" customHeight="1"/>
    <row r="403" s="462" customFormat="1" ht="15" customHeight="1"/>
    <row r="404" s="462" customFormat="1" ht="15" customHeight="1"/>
    <row r="405" s="462" customFormat="1" ht="15" customHeight="1"/>
    <row r="406" s="462" customFormat="1" ht="15" customHeight="1"/>
    <row r="407" s="462" customFormat="1" ht="15" customHeight="1"/>
    <row r="408" s="462" customFormat="1" ht="15" customHeight="1"/>
    <row r="409" s="462" customFormat="1" ht="15" customHeight="1"/>
    <row r="410" s="462" customFormat="1" ht="15" customHeight="1"/>
    <row r="411" s="462" customFormat="1" ht="15" customHeight="1"/>
    <row r="412" s="462" customFormat="1" ht="15" customHeight="1"/>
    <row r="413" s="462" customFormat="1" ht="15" customHeight="1"/>
    <row r="414" s="462" customFormat="1" ht="15" customHeight="1"/>
    <row r="415" s="462" customFormat="1" ht="15" customHeight="1"/>
    <row r="416" s="462" customFormat="1" ht="15" customHeight="1"/>
    <row r="417" s="462" customFormat="1" ht="15" customHeight="1"/>
    <row r="418" s="462" customFormat="1" ht="15" customHeight="1"/>
    <row r="419" s="462" customFormat="1" ht="15" customHeight="1"/>
    <row r="420" s="462" customFormat="1" ht="15" customHeight="1"/>
    <row r="421" s="462" customFormat="1" ht="15" customHeight="1"/>
    <row r="422" s="462" customFormat="1" ht="15" customHeight="1"/>
    <row r="423" s="462" customFormat="1" ht="15" customHeight="1"/>
    <row r="424" s="462" customFormat="1" ht="15" customHeight="1"/>
    <row r="425" s="462" customFormat="1" ht="15" customHeight="1"/>
    <row r="426" s="462" customFormat="1" ht="15" customHeight="1"/>
    <row r="427" s="462" customFormat="1" ht="15" customHeight="1"/>
    <row r="428" s="462" customFormat="1" ht="15" customHeight="1"/>
    <row r="429" s="462" customFormat="1" ht="15" customHeight="1"/>
    <row r="430" s="462" customFormat="1" ht="15" customHeight="1"/>
    <row r="431" s="462" customFormat="1" ht="15" customHeight="1"/>
    <row r="432" s="462" customFormat="1" ht="15" customHeight="1"/>
    <row r="433" s="462" customFormat="1" ht="15" customHeight="1"/>
    <row r="434" s="462" customFormat="1" ht="15" customHeight="1"/>
    <row r="435" s="462" customFormat="1" ht="15" customHeight="1"/>
    <row r="436" s="462" customFormat="1" ht="15" customHeight="1"/>
    <row r="437" s="462" customFormat="1" ht="15" customHeight="1"/>
    <row r="438" s="462" customFormat="1" ht="15" customHeight="1"/>
    <row r="439" s="462" customFormat="1" ht="15" customHeight="1"/>
    <row r="440" s="462" customFormat="1" ht="15" customHeight="1"/>
    <row r="441" s="462" customFormat="1" ht="15" customHeight="1"/>
    <row r="442" s="462" customFormat="1" ht="15" customHeight="1"/>
    <row r="443" s="462" customFormat="1" ht="15" customHeight="1"/>
    <row r="444" s="462" customFormat="1" ht="15" customHeight="1"/>
    <row r="445" s="462" customFormat="1" ht="15" customHeight="1"/>
    <row r="446" s="462" customFormat="1" ht="15" customHeight="1"/>
    <row r="447" s="462" customFormat="1" ht="15" customHeight="1"/>
    <row r="448" s="462" customFormat="1" ht="15" customHeight="1"/>
    <row r="449" s="462" customFormat="1" ht="15" customHeight="1"/>
    <row r="450" s="462" customFormat="1" ht="15" customHeight="1"/>
    <row r="451" s="462" customFormat="1" ht="15" customHeight="1"/>
    <row r="452" s="462" customFormat="1" ht="15" customHeight="1"/>
    <row r="453" s="462" customFormat="1" ht="15" customHeight="1"/>
    <row r="454" s="462" customFormat="1" ht="15" customHeight="1"/>
    <row r="455" s="462" customFormat="1" ht="15" customHeight="1"/>
    <row r="456" s="462" customFormat="1" ht="15" customHeight="1"/>
    <row r="457" s="462" customFormat="1" ht="15" customHeight="1"/>
    <row r="458" s="462" customFormat="1" ht="15" customHeight="1"/>
    <row r="459" s="462" customFormat="1" ht="15" customHeight="1"/>
    <row r="460" s="462" customFormat="1" ht="15" customHeight="1"/>
    <row r="461" s="462" customFormat="1" ht="15" customHeight="1"/>
    <row r="462" s="462" customFormat="1" ht="15" customHeight="1"/>
    <row r="463" s="462" customFormat="1" ht="15" customHeight="1"/>
    <row r="464" s="462" customFormat="1" ht="15" customHeight="1"/>
    <row r="465" s="462" customFormat="1" ht="15" customHeight="1"/>
    <row r="466" s="462" customFormat="1" ht="15" customHeight="1"/>
    <row r="467" s="462" customFormat="1" ht="15" customHeight="1"/>
    <row r="468" s="462" customFormat="1" ht="15" customHeight="1"/>
    <row r="469" s="462" customFormat="1" ht="15" customHeight="1"/>
    <row r="470" s="462" customFormat="1" ht="15" customHeight="1"/>
    <row r="471" s="462" customFormat="1" ht="15" customHeight="1"/>
    <row r="472" s="462" customFormat="1" ht="15" customHeight="1"/>
    <row r="473" s="462" customFormat="1" ht="15" customHeight="1"/>
    <row r="474" s="462" customFormat="1" ht="15" customHeight="1"/>
    <row r="475" s="462" customFormat="1" ht="15" customHeight="1"/>
    <row r="476" s="462" customFormat="1" ht="15" customHeight="1"/>
    <row r="477" s="462" customFormat="1" ht="15" customHeight="1"/>
    <row r="478" s="462" customFormat="1" ht="15" customHeight="1"/>
    <row r="479" s="462" customFormat="1" ht="15" customHeight="1"/>
    <row r="480" s="462" customFormat="1" ht="15" customHeight="1"/>
    <row r="481" s="462" customFormat="1" ht="15" customHeight="1"/>
    <row r="482" s="462" customFormat="1" ht="15" customHeight="1"/>
    <row r="483" s="462" customFormat="1" ht="15" customHeight="1"/>
    <row r="484" s="462" customFormat="1" ht="15" customHeight="1"/>
    <row r="485" s="462" customFormat="1" ht="15" customHeight="1"/>
    <row r="486" s="462" customFormat="1" ht="15" customHeight="1"/>
    <row r="487" s="462" customFormat="1" ht="15" customHeight="1"/>
    <row r="488" s="462" customFormat="1" ht="15" customHeight="1"/>
    <row r="489" s="462" customFormat="1" ht="15" customHeight="1"/>
    <row r="490" s="462" customFormat="1" ht="15" customHeight="1"/>
    <row r="491" s="462" customFormat="1" ht="15" customHeight="1"/>
    <row r="492" s="462" customFormat="1" ht="15" customHeight="1"/>
    <row r="493" s="462" customFormat="1" ht="15" customHeight="1"/>
    <row r="494" s="462" customFormat="1" ht="15" customHeight="1"/>
    <row r="495" s="462" customFormat="1" ht="15" customHeight="1"/>
    <row r="496" s="462" customFormat="1" ht="15" customHeight="1"/>
    <row r="497" s="462" customFormat="1" ht="15" customHeight="1"/>
    <row r="498" s="462" customFormat="1" ht="15" customHeight="1"/>
    <row r="499" s="462" customFormat="1" ht="15" customHeight="1"/>
    <row r="500" s="462" customFormat="1" ht="15" customHeight="1"/>
    <row r="501" s="462" customFormat="1" ht="15" customHeight="1"/>
    <row r="502" s="462" customFormat="1" ht="15" customHeight="1"/>
    <row r="503" s="462" customFormat="1" ht="15" customHeight="1"/>
    <row r="504" s="462" customFormat="1" ht="15" customHeight="1"/>
    <row r="505" s="462" customFormat="1" ht="15" customHeight="1"/>
    <row r="506" s="462" customFormat="1" ht="15" customHeight="1"/>
    <row r="507" s="462" customFormat="1" ht="15" customHeight="1"/>
    <row r="508" s="462" customFormat="1" ht="15" customHeight="1"/>
    <row r="509" s="462" customFormat="1" ht="15" customHeight="1"/>
    <row r="510" s="462" customFormat="1" ht="15" customHeight="1"/>
    <row r="511" s="462" customFormat="1" ht="15" customHeight="1"/>
    <row r="512" s="462" customFormat="1" ht="15" customHeight="1"/>
    <row r="513" s="462" customFormat="1" ht="15" customHeight="1"/>
    <row r="514" s="462" customFormat="1" ht="15" customHeight="1"/>
    <row r="515" s="462" customFormat="1" ht="15" customHeight="1"/>
    <row r="516" s="462" customFormat="1" ht="15" customHeight="1"/>
    <row r="517" s="462" customFormat="1" ht="15" customHeight="1"/>
    <row r="518" s="462" customFormat="1" ht="15" customHeight="1"/>
    <row r="519" s="462" customFormat="1" ht="15" customHeight="1"/>
    <row r="520" s="462" customFormat="1" ht="15" customHeight="1"/>
    <row r="521" s="462" customFormat="1" ht="15" customHeight="1"/>
    <row r="522" s="462" customFormat="1" ht="15" customHeight="1"/>
    <row r="523" s="462" customFormat="1" ht="15" customHeight="1"/>
    <row r="524" s="462" customFormat="1" ht="15" customHeight="1"/>
    <row r="525" s="462" customFormat="1" ht="15" customHeight="1"/>
    <row r="526" s="462" customFormat="1" ht="15" customHeight="1"/>
    <row r="527" s="462" customFormat="1" ht="15" customHeight="1"/>
    <row r="528" s="462" customFormat="1" ht="15" customHeight="1"/>
    <row r="529" s="462" customFormat="1" ht="15" customHeight="1"/>
    <row r="530" s="462" customFormat="1" ht="15" customHeight="1"/>
    <row r="531" s="462" customFormat="1" ht="15" customHeight="1"/>
    <row r="532" s="462" customFormat="1" ht="15" customHeight="1"/>
    <row r="533" s="462" customFormat="1" ht="15" customHeight="1"/>
    <row r="534" s="462" customFormat="1" ht="15" customHeight="1"/>
    <row r="535" s="462" customFormat="1" ht="15" customHeight="1"/>
    <row r="536" s="462" customFormat="1" ht="15" customHeight="1"/>
    <row r="537" s="462" customFormat="1" ht="15" customHeight="1"/>
    <row r="538" s="462" customFormat="1" ht="15" customHeight="1"/>
    <row r="539" s="462" customFormat="1" ht="15" customHeight="1"/>
    <row r="540" s="462" customFormat="1" ht="15" customHeight="1"/>
    <row r="541" s="462" customFormat="1" ht="15" customHeight="1"/>
    <row r="542" s="462" customFormat="1" ht="15" customHeight="1"/>
    <row r="543" s="462" customFormat="1" ht="15" customHeight="1"/>
    <row r="544" s="462" customFormat="1" ht="15" customHeight="1"/>
    <row r="545" s="462" customFormat="1" ht="15" customHeight="1"/>
    <row r="546" s="462" customFormat="1" ht="15" customHeight="1"/>
    <row r="547" s="462" customFormat="1" ht="15" customHeight="1"/>
    <row r="548" s="462" customFormat="1" ht="15" customHeight="1"/>
    <row r="549" s="462" customFormat="1" ht="15" customHeight="1"/>
    <row r="550" s="462" customFormat="1" ht="15" customHeight="1"/>
    <row r="551" s="462" customFormat="1" ht="15" customHeight="1"/>
    <row r="552" s="462" customFormat="1" ht="15" customHeight="1"/>
    <row r="553" s="462" customFormat="1" ht="15" customHeight="1"/>
    <row r="554" s="462" customFormat="1" ht="15" customHeight="1"/>
    <row r="555" s="462" customFormat="1" ht="15" customHeight="1"/>
    <row r="556" s="462" customFormat="1" ht="15" customHeight="1"/>
    <row r="557" s="462" customFormat="1" ht="15" customHeight="1"/>
    <row r="558" s="462" customFormat="1" ht="15" customHeight="1"/>
    <row r="559" s="462" customFormat="1" ht="15" customHeight="1"/>
    <row r="560" s="462" customFormat="1" ht="15" customHeight="1"/>
    <row r="561" s="462" customFormat="1" ht="15" customHeight="1"/>
    <row r="562" s="462" customFormat="1" ht="15" customHeight="1"/>
    <row r="563" s="462" customFormat="1" ht="15" customHeight="1"/>
    <row r="564" s="462" customFormat="1" ht="15" customHeight="1"/>
    <row r="565" s="462" customFormat="1" ht="15" customHeight="1"/>
    <row r="566" s="462" customFormat="1" ht="15" customHeight="1"/>
    <row r="567" s="462" customFormat="1" ht="15" customHeight="1"/>
    <row r="568" s="462" customFormat="1" ht="15" customHeight="1"/>
    <row r="569" s="462" customFormat="1" ht="15" customHeight="1"/>
    <row r="570" s="462" customFormat="1" ht="15" customHeight="1"/>
    <row r="571" s="462" customFormat="1" ht="15" customHeight="1"/>
    <row r="572" s="462" customFormat="1" ht="15" customHeight="1"/>
    <row r="573" s="462" customFormat="1" ht="15" customHeight="1"/>
    <row r="574" s="462" customFormat="1" ht="15" customHeight="1"/>
    <row r="575" s="462" customFormat="1" ht="15" customHeight="1"/>
    <row r="576" s="462" customFormat="1" ht="15" customHeight="1"/>
    <row r="577" s="462" customFormat="1" ht="15" customHeight="1"/>
    <row r="578" s="462" customFormat="1" ht="15" customHeight="1"/>
    <row r="579" s="462" customFormat="1" ht="15" customHeight="1"/>
    <row r="580" s="462" customFormat="1" ht="15" customHeight="1"/>
    <row r="581" s="462" customFormat="1" ht="15" customHeight="1"/>
    <row r="582" s="462" customFormat="1" ht="15" customHeight="1"/>
    <row r="583" s="462" customFormat="1" ht="15" customHeight="1"/>
    <row r="584" s="462" customFormat="1" ht="15" customHeight="1"/>
    <row r="585" s="462" customFormat="1" ht="15" customHeight="1"/>
    <row r="586" s="462" customFormat="1" ht="15" customHeight="1"/>
    <row r="587" s="462" customFormat="1" ht="15" customHeight="1"/>
    <row r="588" s="462" customFormat="1" ht="15" customHeight="1"/>
    <row r="589" s="462" customFormat="1" ht="15" customHeight="1"/>
    <row r="590" s="462" customFormat="1" ht="15" customHeight="1"/>
    <row r="591" s="462" customFormat="1" ht="15" customHeight="1"/>
    <row r="592" s="462" customFormat="1" ht="15" customHeight="1"/>
    <row r="593" s="462" customFormat="1" ht="15" customHeight="1"/>
    <row r="594" s="462" customFormat="1" ht="15" customHeight="1"/>
    <row r="595" s="462" customFormat="1" ht="15" customHeight="1"/>
    <row r="596" s="462" customFormat="1" ht="15" customHeight="1"/>
    <row r="597" s="462" customFormat="1" ht="15" customHeight="1"/>
    <row r="598" s="462" customFormat="1" ht="15" customHeight="1"/>
    <row r="599" s="462" customFormat="1" ht="15" customHeight="1"/>
    <row r="600" s="462" customFormat="1" ht="15" customHeight="1"/>
    <row r="601" s="462" customFormat="1" ht="15" customHeight="1"/>
    <row r="602" s="462" customFormat="1" ht="15" customHeight="1"/>
    <row r="603" s="462" customFormat="1" ht="15" customHeight="1"/>
    <row r="604" s="462" customFormat="1" ht="15" customHeight="1"/>
    <row r="605" s="462" customFormat="1" ht="15" customHeight="1"/>
    <row r="606" s="462" customFormat="1" ht="15" customHeight="1"/>
    <row r="607" s="462" customFormat="1" ht="15" customHeight="1"/>
    <row r="608" s="462" customFormat="1" ht="15" customHeight="1"/>
    <row r="609" s="462" customFormat="1" ht="15" customHeight="1"/>
    <row r="610" s="462" customFormat="1" ht="15" customHeight="1"/>
    <row r="611" s="462" customFormat="1" ht="15" customHeight="1"/>
    <row r="612" s="462" customFormat="1" ht="15" customHeight="1"/>
    <row r="613" s="462" customFormat="1" ht="15" customHeight="1"/>
    <row r="614" s="462" customFormat="1" ht="15" customHeight="1"/>
    <row r="615" s="462" customFormat="1" ht="15" customHeight="1"/>
    <row r="616" s="462" customFormat="1" ht="15" customHeight="1"/>
    <row r="617" s="462" customFormat="1" ht="15" customHeight="1"/>
    <row r="618" s="462" customFormat="1" ht="15" customHeight="1"/>
    <row r="619" s="462" customFormat="1" ht="15" customHeight="1"/>
    <row r="620" s="462" customFormat="1" ht="15" customHeight="1"/>
    <row r="621" s="462" customFormat="1" ht="15" customHeight="1"/>
    <row r="622" s="462" customFormat="1" ht="15" customHeight="1"/>
    <row r="623" s="462" customFormat="1" ht="15" customHeight="1"/>
    <row r="624" s="462" customFormat="1" ht="15" customHeight="1"/>
    <row r="625" s="462" customFormat="1" ht="15" customHeight="1"/>
    <row r="626" s="462" customFormat="1" ht="15" customHeight="1"/>
    <row r="627" s="462" customFormat="1" ht="15" customHeight="1"/>
    <row r="628" s="462" customFormat="1" ht="15" customHeight="1"/>
    <row r="629" s="462" customFormat="1" ht="15" customHeight="1"/>
    <row r="630" s="462" customFormat="1" ht="15" customHeight="1"/>
    <row r="631" s="462" customFormat="1" ht="15" customHeight="1"/>
    <row r="632" s="462" customFormat="1" ht="15" customHeight="1"/>
    <row r="633" s="462" customFormat="1" ht="15" customHeight="1"/>
    <row r="634" s="462" customFormat="1" ht="15" customHeight="1"/>
    <row r="635" s="462" customFormat="1" ht="15" customHeight="1"/>
    <row r="636" s="462" customFormat="1" ht="15" customHeight="1"/>
    <row r="637" s="462" customFormat="1" ht="15" customHeight="1"/>
    <row r="638" s="462" customFormat="1" ht="15" customHeight="1"/>
    <row r="639" s="462" customFormat="1" ht="15" customHeight="1"/>
    <row r="640" s="462" customFormat="1" ht="15" customHeight="1"/>
    <row r="641" s="462" customFormat="1" ht="15" customHeight="1"/>
    <row r="642" s="462" customFormat="1" ht="15" customHeight="1"/>
    <row r="643" s="462" customFormat="1" ht="15" customHeight="1"/>
    <row r="644" s="462" customFormat="1" ht="15" customHeight="1"/>
    <row r="645" s="462" customFormat="1" ht="15" customHeight="1"/>
    <row r="646" s="462" customFormat="1" ht="15" customHeight="1"/>
    <row r="647" s="462" customFormat="1" ht="15" customHeight="1"/>
    <row r="648" s="462" customFormat="1" ht="15" customHeight="1"/>
    <row r="649" s="462" customFormat="1" ht="15" customHeight="1"/>
    <row r="650" s="462" customFormat="1" ht="15" customHeight="1"/>
    <row r="651" s="462" customFormat="1" ht="15" customHeight="1"/>
    <row r="652" s="462" customFormat="1" ht="15" customHeight="1"/>
    <row r="653" s="462" customFormat="1" ht="15" customHeight="1"/>
    <row r="654" s="462" customFormat="1" ht="15" customHeight="1"/>
    <row r="655" s="462" customFormat="1" ht="15" customHeight="1"/>
    <row r="656" s="462" customFormat="1" ht="15" customHeight="1"/>
    <row r="657" s="462" customFormat="1" ht="15" customHeight="1"/>
    <row r="658" s="462" customFormat="1" ht="15" customHeight="1"/>
    <row r="659" s="462" customFormat="1" ht="15" customHeight="1"/>
    <row r="660" s="462" customFormat="1" ht="15" customHeight="1"/>
    <row r="661" s="462" customFormat="1" ht="15" customHeight="1"/>
    <row r="662" s="462" customFormat="1" ht="15" customHeight="1"/>
    <row r="663" s="462" customFormat="1" ht="15" customHeight="1"/>
    <row r="664" s="462" customFormat="1" ht="15" customHeight="1"/>
    <row r="665" s="462" customFormat="1" ht="15" customHeight="1"/>
    <row r="666" s="462" customFormat="1" ht="15" customHeight="1"/>
    <row r="667" s="462" customFormat="1" ht="15" customHeight="1"/>
    <row r="668" s="462" customFormat="1" ht="15" customHeight="1"/>
    <row r="669" s="462" customFormat="1" ht="15" customHeight="1"/>
    <row r="670" s="462" customFormat="1" ht="15" customHeight="1"/>
    <row r="671" s="462" customFormat="1" ht="15" customHeight="1"/>
    <row r="672" s="462" customFormat="1" ht="15" customHeight="1"/>
    <row r="673" s="462" customFormat="1" ht="15" customHeight="1"/>
    <row r="674" s="462" customFormat="1" ht="15" customHeight="1"/>
    <row r="675" s="462" customFormat="1" ht="15" customHeight="1"/>
    <row r="676" s="462" customFormat="1" ht="15" customHeight="1"/>
    <row r="677" s="462" customFormat="1" ht="15" customHeight="1"/>
    <row r="678" s="462" customFormat="1" ht="15" customHeight="1"/>
    <row r="679" s="462" customFormat="1" ht="15" customHeight="1"/>
    <row r="680" s="462" customFormat="1" ht="15" customHeight="1"/>
    <row r="681" s="462" customFormat="1" ht="15" customHeight="1"/>
    <row r="682" s="462" customFormat="1" ht="15" customHeight="1"/>
    <row r="683" s="462" customFormat="1" ht="15" customHeight="1"/>
    <row r="684" s="462" customFormat="1" ht="15" customHeight="1"/>
    <row r="685" s="462" customFormat="1" ht="15" customHeight="1"/>
    <row r="686" s="462" customFormat="1" ht="15" customHeight="1"/>
    <row r="687" s="462" customFormat="1" ht="15" customHeight="1"/>
    <row r="688" s="462" customFormat="1" ht="15" customHeight="1"/>
    <row r="689" s="462" customFormat="1" ht="15" customHeight="1"/>
    <row r="690" s="462" customFormat="1" ht="15" customHeight="1"/>
    <row r="691" s="462" customFormat="1" ht="15" customHeight="1"/>
    <row r="692" s="462" customFormat="1" ht="15" customHeight="1"/>
    <row r="693" s="462" customFormat="1" ht="15" customHeight="1"/>
    <row r="694" s="462" customFormat="1" ht="15" customHeight="1"/>
    <row r="695" s="462" customFormat="1" ht="15" customHeight="1"/>
    <row r="696" s="462" customFormat="1" ht="15" customHeight="1"/>
    <row r="697" s="462" customFormat="1" ht="15" customHeight="1"/>
    <row r="698" s="462" customFormat="1" ht="15" customHeight="1"/>
    <row r="699" s="462" customFormat="1" ht="15" customHeight="1"/>
    <row r="700" s="462" customFormat="1" ht="15" customHeight="1"/>
    <row r="701" s="462" customFormat="1" ht="15" customHeight="1"/>
    <row r="702" s="462" customFormat="1" ht="15" customHeight="1"/>
    <row r="703" s="462" customFormat="1" ht="15" customHeight="1"/>
    <row r="704" s="462" customFormat="1" ht="15" customHeight="1"/>
    <row r="705" s="462" customFormat="1" ht="15" customHeight="1"/>
    <row r="706" s="462" customFormat="1" ht="15" customHeight="1"/>
    <row r="707" s="462" customFormat="1" ht="15" customHeight="1"/>
    <row r="708" s="462" customFormat="1" ht="15" customHeight="1"/>
    <row r="709" s="462" customFormat="1" ht="15" customHeight="1"/>
    <row r="710" s="462" customFormat="1" ht="15" customHeight="1"/>
    <row r="711" s="462" customFormat="1" ht="15" customHeight="1"/>
    <row r="712" s="462" customFormat="1" ht="15" customHeight="1"/>
    <row r="713" s="462" customFormat="1" ht="15" customHeight="1"/>
    <row r="714" s="462" customFormat="1" ht="15" customHeight="1"/>
    <row r="715" s="462" customFormat="1" ht="15" customHeight="1"/>
    <row r="716" s="462" customFormat="1" ht="15" customHeight="1"/>
    <row r="717" s="462" customFormat="1" ht="15" customHeight="1"/>
    <row r="718" s="462" customFormat="1" ht="15" customHeight="1"/>
    <row r="719" s="462" customFormat="1" ht="15" customHeight="1"/>
    <row r="720" s="462" customFormat="1" ht="15" customHeight="1"/>
    <row r="721" s="462" customFormat="1" ht="15" customHeight="1"/>
    <row r="722" s="462" customFormat="1" ht="15" customHeight="1"/>
    <row r="723" s="462" customFormat="1" ht="15" customHeight="1"/>
    <row r="724" s="462" customFormat="1" ht="15" customHeight="1"/>
    <row r="725" s="462" customFormat="1" ht="15" customHeight="1"/>
    <row r="726" s="462" customFormat="1" ht="15" customHeight="1"/>
    <row r="727" s="462" customFormat="1" ht="15" customHeight="1"/>
    <row r="728" s="462" customFormat="1" ht="15" customHeight="1"/>
    <row r="729" s="462" customFormat="1" ht="15" customHeight="1"/>
    <row r="730" s="462" customFormat="1" ht="15" customHeight="1"/>
    <row r="731" s="462" customFormat="1" ht="15" customHeight="1"/>
    <row r="732" s="462" customFormat="1" ht="15" customHeight="1"/>
    <row r="733" s="462" customFormat="1" ht="15" customHeight="1"/>
    <row r="734" s="462" customFormat="1" ht="15" customHeight="1"/>
    <row r="735" s="462" customFormat="1" ht="15" customHeight="1"/>
    <row r="736" s="462" customFormat="1" ht="15" customHeight="1"/>
    <row r="737" s="462" customFormat="1" ht="15" customHeight="1"/>
    <row r="738" s="462" customFormat="1" ht="15" customHeight="1"/>
    <row r="739" s="462" customFormat="1" ht="15" customHeight="1"/>
    <row r="740" s="462" customFormat="1" ht="15" customHeight="1"/>
    <row r="741" s="462" customFormat="1" ht="15" customHeight="1"/>
    <row r="742" s="462" customFormat="1" ht="15" customHeight="1"/>
    <row r="743" s="462" customFormat="1" ht="15" customHeight="1"/>
    <row r="744" s="462" customFormat="1" ht="15" customHeight="1"/>
    <row r="745" s="462" customFormat="1" ht="15" customHeight="1"/>
    <row r="746" s="462" customFormat="1" ht="15" customHeight="1"/>
    <row r="747" s="462" customFormat="1" ht="15" customHeight="1"/>
    <row r="748" s="462" customFormat="1" ht="15" customHeight="1"/>
    <row r="749" s="462" customFormat="1" ht="15" customHeight="1"/>
    <row r="750" s="462" customFormat="1" ht="15" customHeight="1"/>
    <row r="751" s="462" customFormat="1" ht="15" customHeight="1"/>
    <row r="752" s="462" customFormat="1" ht="15" customHeight="1"/>
    <row r="753" s="462" customFormat="1" ht="15" customHeight="1"/>
    <row r="754" s="462" customFormat="1" ht="15" customHeight="1"/>
    <row r="755" s="462" customFormat="1" ht="15" customHeight="1"/>
    <row r="756" s="462" customFormat="1" ht="15" customHeight="1"/>
    <row r="757" s="462" customFormat="1" ht="15" customHeight="1"/>
    <row r="758" s="462" customFormat="1" ht="15" customHeight="1"/>
    <row r="759" s="462" customFormat="1" ht="15" customHeight="1"/>
    <row r="760" s="462" customFormat="1" ht="15" customHeight="1"/>
    <row r="761" s="462" customFormat="1" ht="15" customHeight="1"/>
    <row r="762" s="462" customFormat="1" ht="15" customHeight="1"/>
    <row r="763" s="462" customFormat="1" ht="15" customHeight="1"/>
    <row r="764" s="462" customFormat="1" ht="15" customHeight="1"/>
    <row r="765" s="462" customFormat="1" ht="15" customHeight="1"/>
    <row r="766" s="462" customFormat="1" ht="15" customHeight="1"/>
    <row r="767" s="462" customFormat="1" ht="15" customHeight="1"/>
    <row r="768" s="462" customFormat="1" ht="15" customHeight="1"/>
    <row r="769" s="462" customFormat="1" ht="15" customHeight="1"/>
    <row r="770" s="462" customFormat="1" ht="15" customHeight="1"/>
    <row r="771" s="462" customFormat="1" ht="15" customHeight="1"/>
    <row r="772" s="462" customFormat="1" ht="15" customHeight="1"/>
    <row r="773" s="462" customFormat="1" ht="15" customHeight="1"/>
    <row r="774" s="462" customFormat="1" ht="15" customHeight="1"/>
    <row r="775" s="462" customFormat="1" ht="15" customHeight="1"/>
    <row r="776" s="462" customFormat="1" ht="15" customHeight="1"/>
    <row r="777" s="462" customFormat="1" ht="15" customHeight="1"/>
    <row r="778" s="462" customFormat="1" ht="15" customHeight="1"/>
    <row r="779" s="462" customFormat="1" ht="15" customHeight="1"/>
    <row r="780" s="462" customFormat="1" ht="15" customHeight="1"/>
    <row r="781" s="462" customFormat="1" ht="15" customHeight="1"/>
    <row r="782" s="462" customFormat="1" ht="15" customHeight="1"/>
    <row r="783" s="462" customFormat="1" ht="15" customHeight="1"/>
    <row r="784" s="462" customFormat="1" ht="15" customHeight="1"/>
    <row r="785" s="462" customFormat="1" ht="15" customHeight="1"/>
    <row r="786" s="462" customFormat="1" ht="15" customHeight="1"/>
    <row r="787" s="462" customFormat="1" ht="15" customHeight="1"/>
    <row r="788" s="462" customFormat="1" ht="15" customHeight="1"/>
    <row r="789" s="462" customFormat="1" ht="15" customHeight="1"/>
    <row r="790" s="462" customFormat="1" ht="15" customHeight="1"/>
    <row r="791" s="462" customFormat="1" ht="15" customHeight="1"/>
    <row r="792" s="462" customFormat="1" ht="15" customHeight="1"/>
    <row r="793" s="462" customFormat="1" ht="15" customHeight="1"/>
    <row r="794" s="462" customFormat="1" ht="15" customHeight="1"/>
    <row r="795" s="462" customFormat="1" ht="15" customHeight="1"/>
    <row r="796" s="462" customFormat="1" ht="15" customHeight="1"/>
    <row r="797" s="462" customFormat="1" ht="15" customHeight="1"/>
    <row r="798" s="462" customFormat="1" ht="15" customHeight="1"/>
    <row r="799" s="462" customFormat="1" ht="15" customHeight="1"/>
    <row r="800" s="462" customFormat="1" ht="15" customHeight="1"/>
    <row r="801" s="462" customFormat="1" ht="15" customHeight="1"/>
    <row r="802" s="462" customFormat="1" ht="15" customHeight="1"/>
    <row r="803" s="462" customFormat="1" ht="15" customHeight="1"/>
    <row r="804" s="462" customFormat="1" ht="15" customHeight="1"/>
    <row r="805" s="462" customFormat="1" ht="15" customHeight="1"/>
    <row r="806" s="462" customFormat="1" ht="15" customHeight="1"/>
    <row r="807" s="462" customFormat="1" ht="15" customHeight="1"/>
    <row r="808" s="462" customFormat="1" ht="15" customHeight="1"/>
    <row r="809" s="462" customFormat="1" ht="15" customHeight="1"/>
    <row r="810" s="462" customFormat="1" ht="15" customHeight="1"/>
    <row r="811" s="462" customFormat="1" ht="15" customHeight="1"/>
    <row r="812" s="462" customFormat="1" ht="15" customHeight="1"/>
    <row r="813" s="462" customFormat="1" ht="15" customHeight="1"/>
    <row r="814" s="462" customFormat="1" ht="15" customHeight="1"/>
    <row r="815" s="462" customFormat="1" ht="15" customHeight="1"/>
    <row r="816" s="462" customFormat="1" ht="15" customHeight="1"/>
    <row r="817" s="462" customFormat="1" ht="15" customHeight="1"/>
    <row r="818" s="462" customFormat="1" ht="15" customHeight="1"/>
    <row r="819" s="462" customFormat="1" ht="15" customHeight="1"/>
    <row r="820" s="462" customFormat="1" ht="15" customHeight="1"/>
    <row r="821" s="462" customFormat="1" ht="15" customHeight="1"/>
    <row r="822" s="462" customFormat="1" ht="15" customHeight="1"/>
    <row r="823" s="462" customFormat="1" ht="15" customHeight="1"/>
    <row r="824" s="462" customFormat="1" ht="15" customHeight="1"/>
    <row r="825" s="462" customFormat="1" ht="15" customHeight="1"/>
    <row r="826" s="462" customFormat="1" ht="15" customHeight="1"/>
    <row r="827" s="462" customFormat="1" ht="15" customHeight="1"/>
    <row r="828" s="462" customFormat="1" ht="15" customHeight="1"/>
    <row r="829" s="462" customFormat="1" ht="15" customHeight="1"/>
    <row r="830" s="462" customFormat="1" ht="15" customHeight="1"/>
    <row r="831" s="462" customFormat="1" ht="15" customHeight="1"/>
    <row r="832" s="462" customFormat="1" ht="15" customHeight="1"/>
    <row r="833" s="462" customFormat="1" ht="15" customHeight="1"/>
    <row r="834" s="462" customFormat="1" ht="15" customHeight="1"/>
    <row r="835" s="462" customFormat="1" ht="15" customHeight="1"/>
    <row r="836" s="462" customFormat="1" ht="15" customHeight="1"/>
    <row r="837" s="462" customFormat="1" ht="15" customHeight="1"/>
    <row r="838" s="462" customFormat="1" ht="15" customHeight="1"/>
    <row r="839" s="462" customFormat="1" ht="15" customHeight="1"/>
    <row r="840" s="462" customFormat="1" ht="15" customHeight="1"/>
    <row r="841" s="462" customFormat="1" ht="15" customHeight="1"/>
    <row r="842" s="462" customFormat="1" ht="15" customHeight="1"/>
    <row r="843" s="462" customFormat="1" ht="15" customHeight="1"/>
    <row r="844" s="462" customFormat="1" ht="15" customHeight="1"/>
    <row r="845" s="462" customFormat="1" ht="15" customHeight="1"/>
    <row r="846" s="462" customFormat="1" ht="15" customHeight="1"/>
    <row r="847" s="462" customFormat="1" ht="15" customHeight="1"/>
    <row r="848" s="462" customFormat="1" ht="15" customHeight="1"/>
    <row r="849" s="462" customFormat="1" ht="15" customHeight="1"/>
    <row r="850" s="462" customFormat="1" ht="15" customHeight="1"/>
    <row r="851" s="462" customFormat="1" ht="15" customHeight="1"/>
    <row r="852" s="462" customFormat="1" ht="15" customHeight="1"/>
    <row r="853" s="462" customFormat="1" ht="15" customHeight="1"/>
    <row r="854" s="462" customFormat="1" ht="15" customHeight="1"/>
    <row r="855" s="462" customFormat="1" ht="15" customHeight="1"/>
    <row r="856" s="462" customFormat="1" ht="15" customHeight="1"/>
    <row r="857" s="462" customFormat="1" ht="15" customHeight="1"/>
    <row r="858" s="462" customFormat="1" ht="15" customHeight="1"/>
    <row r="859" s="462" customFormat="1" ht="15" customHeight="1"/>
    <row r="860" s="462" customFormat="1" ht="15" customHeight="1"/>
    <row r="861" s="462" customFormat="1" ht="15" customHeight="1"/>
    <row r="862" s="462" customFormat="1" ht="15" customHeight="1"/>
    <row r="863" s="462" customFormat="1" ht="15" customHeight="1"/>
    <row r="864" s="462" customFormat="1" ht="15" customHeight="1"/>
    <row r="865" s="462" customFormat="1" ht="15" customHeight="1"/>
    <row r="866" s="462" customFormat="1" ht="15" customHeight="1"/>
    <row r="867" s="462" customFormat="1" ht="15" customHeight="1"/>
    <row r="868" s="462" customFormat="1" ht="15" customHeight="1"/>
    <row r="869" s="462" customFormat="1" ht="15" customHeight="1"/>
    <row r="870" s="462" customFormat="1" ht="15" customHeight="1"/>
    <row r="871" s="462" customFormat="1" ht="15" customHeight="1"/>
    <row r="872" s="462" customFormat="1" ht="15" customHeight="1"/>
    <row r="873" s="462" customFormat="1" ht="15" customHeight="1"/>
    <row r="874" s="462" customFormat="1" ht="15" customHeight="1"/>
    <row r="875" s="462" customFormat="1" ht="15" customHeight="1"/>
    <row r="876" s="462" customFormat="1" ht="15" customHeight="1"/>
    <row r="877" s="462" customFormat="1" ht="15" customHeight="1"/>
    <row r="878" s="462" customFormat="1" ht="15" customHeight="1"/>
    <row r="879" s="462" customFormat="1" ht="15" customHeight="1"/>
    <row r="880" s="462" customFormat="1" ht="15" customHeight="1"/>
    <row r="881" s="462" customFormat="1" ht="15" customHeight="1"/>
    <row r="882" s="462" customFormat="1" ht="15" customHeight="1"/>
    <row r="883" s="462" customFormat="1" ht="15" customHeight="1"/>
    <row r="884" s="462" customFormat="1" ht="15" customHeight="1"/>
    <row r="885" s="462" customFormat="1" ht="15" customHeight="1"/>
    <row r="886" s="462" customFormat="1" ht="15" customHeight="1"/>
    <row r="887" s="462" customFormat="1" ht="15" customHeight="1"/>
    <row r="888" s="462" customFormat="1" ht="15" customHeight="1"/>
    <row r="889" s="462" customFormat="1" ht="15" customHeight="1"/>
    <row r="890" s="462" customFormat="1" ht="15" customHeight="1"/>
    <row r="891" s="462" customFormat="1" ht="15" customHeight="1"/>
    <row r="892" s="462" customFormat="1" ht="15" customHeight="1"/>
    <row r="893" s="462" customFormat="1" ht="15" customHeight="1"/>
    <row r="894" s="462" customFormat="1" ht="15" customHeight="1"/>
    <row r="895" s="462" customFormat="1" ht="15" customHeight="1"/>
    <row r="896" s="462" customFormat="1" ht="15" customHeight="1"/>
    <row r="897" s="462" customFormat="1" ht="15" customHeight="1"/>
    <row r="898" s="462" customFormat="1" ht="15" customHeight="1"/>
    <row r="899" s="462" customFormat="1" ht="15" customHeight="1"/>
    <row r="900" s="462" customFormat="1" ht="15" customHeight="1"/>
    <row r="901" s="462" customFormat="1" ht="15" customHeight="1"/>
    <row r="902" s="462" customFormat="1" ht="15" customHeight="1"/>
    <row r="903" s="462" customFormat="1" ht="15" customHeight="1"/>
    <row r="904" s="462" customFormat="1" ht="15" customHeight="1"/>
    <row r="905" s="462" customFormat="1" ht="15" customHeight="1"/>
    <row r="906" s="462" customFormat="1" ht="15" customHeight="1"/>
    <row r="907" s="462" customFormat="1" ht="15" customHeight="1"/>
    <row r="908" s="462" customFormat="1" ht="15" customHeight="1"/>
    <row r="909" s="462" customFormat="1" ht="15" customHeight="1"/>
    <row r="910" s="462" customFormat="1" ht="15" customHeight="1"/>
    <row r="911" s="462" customFormat="1" ht="15" customHeight="1"/>
    <row r="912" s="462" customFormat="1" ht="15" customHeight="1"/>
    <row r="913" s="462" customFormat="1" ht="15" customHeight="1"/>
    <row r="914" s="462" customFormat="1" ht="15" customHeight="1"/>
    <row r="915" s="462" customFormat="1" ht="15" customHeight="1"/>
    <row r="916" s="462" customFormat="1" ht="15" customHeight="1"/>
    <row r="917" s="462" customFormat="1" ht="15" customHeight="1"/>
    <row r="918" s="462" customFormat="1" ht="15" customHeight="1"/>
    <row r="919" s="462" customFormat="1" ht="15" customHeight="1"/>
    <row r="920" s="462" customFormat="1" ht="15" customHeight="1"/>
    <row r="921" s="462" customFormat="1" ht="15" customHeight="1"/>
    <row r="922" s="462" customFormat="1" ht="15" customHeight="1"/>
    <row r="923" s="462" customFormat="1" ht="15" customHeight="1"/>
    <row r="924" s="462" customFormat="1" ht="15" customHeight="1"/>
    <row r="925" s="462" customFormat="1" ht="15" customHeight="1"/>
    <row r="926" s="462" customFormat="1" ht="15" customHeight="1"/>
    <row r="927" s="462" customFormat="1" ht="15" customHeight="1"/>
    <row r="928" s="462" customFormat="1" ht="15" customHeight="1"/>
    <row r="929" s="462" customFormat="1" ht="15" customHeight="1"/>
    <row r="930" s="462" customFormat="1" ht="15" customHeight="1"/>
    <row r="931" s="462" customFormat="1" ht="15" customHeight="1"/>
    <row r="932" s="462" customFormat="1" ht="15" customHeight="1"/>
    <row r="933" s="462" customFormat="1" ht="15" customHeight="1"/>
    <row r="934" s="462" customFormat="1" ht="15" customHeight="1"/>
    <row r="935" s="462" customFormat="1" ht="15" customHeight="1"/>
    <row r="936" s="462" customFormat="1" ht="15" customHeight="1"/>
    <row r="937" s="462" customFormat="1" ht="15" customHeight="1"/>
    <row r="938" s="462" customFormat="1" ht="15" customHeight="1"/>
    <row r="939" s="462" customFormat="1" ht="15" customHeight="1"/>
    <row r="940" s="462" customFormat="1" ht="15" customHeight="1"/>
    <row r="941" s="462" customFormat="1" ht="15" customHeight="1"/>
    <row r="942" s="462" customFormat="1" ht="15" customHeight="1"/>
    <row r="943" s="462" customFormat="1" ht="15" customHeight="1"/>
    <row r="944" s="462" customFormat="1" ht="15" customHeight="1"/>
    <row r="945" s="462" customFormat="1" ht="15" customHeight="1"/>
    <row r="946" s="462" customFormat="1" ht="15" customHeight="1"/>
    <row r="947" s="462" customFormat="1" ht="15" customHeight="1"/>
    <row r="948" s="462" customFormat="1" ht="15" customHeight="1"/>
    <row r="949" s="462" customFormat="1" ht="15" customHeight="1"/>
    <row r="950" s="462" customFormat="1" ht="15" customHeight="1"/>
    <row r="951" s="462" customFormat="1" ht="15" customHeight="1"/>
    <row r="952" s="462" customFormat="1" ht="15" customHeight="1"/>
    <row r="953" s="462" customFormat="1" ht="15" customHeight="1"/>
    <row r="954" s="462" customFormat="1" ht="15" customHeight="1"/>
    <row r="955" s="462" customFormat="1" ht="15" customHeight="1"/>
    <row r="956" s="462" customFormat="1" ht="15" customHeight="1"/>
    <row r="957" s="462" customFormat="1" ht="15" customHeight="1"/>
    <row r="958" s="462" customFormat="1" ht="15" customHeight="1"/>
    <row r="959" s="462" customFormat="1" ht="15" customHeight="1"/>
    <row r="960" s="462" customFormat="1" ht="15" customHeight="1"/>
    <row r="961" s="462" customFormat="1" ht="15" customHeight="1"/>
    <row r="962" s="462" customFormat="1" ht="15" customHeight="1"/>
    <row r="963" s="462" customFormat="1" ht="15" customHeight="1"/>
    <row r="964" s="462" customFormat="1" ht="15" customHeight="1"/>
    <row r="965" s="462" customFormat="1" ht="15" customHeight="1"/>
    <row r="966" s="462" customFormat="1" ht="15" customHeight="1"/>
    <row r="967" s="462" customFormat="1" ht="15" customHeight="1"/>
    <row r="968" s="462" customFormat="1" ht="15" customHeight="1"/>
    <row r="969" s="462" customFormat="1" ht="15" customHeight="1"/>
    <row r="970" s="462" customFormat="1" ht="15" customHeight="1"/>
    <row r="971" s="462" customFormat="1" ht="15" customHeight="1"/>
    <row r="972" s="462" customFormat="1" ht="15" customHeight="1"/>
    <row r="973" s="462" customFormat="1" ht="15" customHeight="1"/>
    <row r="974" s="462" customFormat="1" ht="15" customHeight="1"/>
    <row r="975" s="462" customFormat="1" ht="15" customHeight="1"/>
    <row r="976" s="462" customFormat="1" ht="15" customHeight="1"/>
    <row r="977" s="462" customFormat="1" ht="15" customHeight="1"/>
    <row r="978" s="462" customFormat="1" ht="15" customHeight="1"/>
    <row r="979" s="462" customFormat="1" ht="15" customHeight="1"/>
    <row r="980" s="462" customFormat="1" ht="15" customHeight="1"/>
    <row r="981" s="462" customFormat="1" ht="15" customHeight="1"/>
    <row r="982" s="462" customFormat="1" ht="15" customHeight="1"/>
    <row r="983" s="462" customFormat="1" ht="15" customHeight="1"/>
    <row r="984" s="462" customFormat="1" ht="15" customHeight="1"/>
    <row r="985" s="462" customFormat="1" ht="15" customHeight="1"/>
    <row r="986" s="462" customFormat="1" ht="15" customHeight="1"/>
    <row r="987" s="462" customFormat="1" ht="15" customHeight="1"/>
    <row r="988" s="462" customFormat="1" ht="15" customHeight="1"/>
    <row r="989" s="462" customFormat="1" ht="15" customHeight="1"/>
    <row r="990" s="462" customFormat="1" ht="15" customHeight="1"/>
    <row r="991" s="462" customFormat="1" ht="15" customHeight="1"/>
    <row r="992" s="462" customFormat="1" ht="15" customHeight="1"/>
    <row r="993" s="462" customFormat="1" ht="15" customHeight="1"/>
    <row r="994" s="462" customFormat="1" ht="15" customHeight="1"/>
    <row r="995" s="462" customFormat="1" ht="15" customHeight="1"/>
    <row r="996" s="462" customFormat="1" ht="15" customHeight="1"/>
    <row r="997" s="462" customFormat="1" ht="15" customHeight="1"/>
    <row r="998" s="462" customFormat="1" ht="15" customHeight="1"/>
    <row r="999" s="462" customFormat="1" ht="15" customHeight="1"/>
    <row r="1000" s="462" customFormat="1" ht="15" customHeight="1"/>
    <row r="1001" s="462" customFormat="1" ht="15" customHeight="1"/>
    <row r="1002" s="462" customFormat="1" ht="15" customHeight="1"/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GL215"/>
  <sheetViews>
    <sheetView showGridLines="0" zoomScale="90" zoomScaleNormal="85" workbookViewId="0">
      <pane xSplit="3" ySplit="1" topLeftCell="D24" activePane="bottomRight" state="frozen"/>
      <selection activeCell="K23" sqref="K23"/>
      <selection pane="topRight" activeCell="K23" sqref="K23"/>
      <selection pane="bottomLeft" activeCell="K23" sqref="K23"/>
      <selection pane="bottomRight" activeCell="G55" sqref="G55"/>
    </sheetView>
  </sheetViews>
  <sheetFormatPr defaultColWidth="14.44140625" defaultRowHeight="15" customHeight="1" outlineLevelRow="1"/>
  <cols>
    <col min="1" max="1" width="9.44140625" customWidth="1"/>
    <col min="2" max="2" width="4.44140625" customWidth="1"/>
    <col min="3" max="3" width="16.44140625" customWidth="1"/>
    <col min="4" max="4" width="2.5546875" customWidth="1"/>
    <col min="5" max="5" width="3.5546875" customWidth="1"/>
    <col min="6" max="6" width="52.109375" customWidth="1"/>
    <col min="7" max="7" width="20.5546875" customWidth="1"/>
    <col min="8" max="8" width="7.44140625" customWidth="1"/>
    <col min="9" max="9" width="20.5546875" customWidth="1"/>
    <col min="10" max="10" width="7.44140625" customWidth="1"/>
    <col min="11" max="11" width="20.5546875" customWidth="1"/>
    <col min="12" max="12" width="7.44140625" customWidth="1"/>
    <col min="13" max="13" width="20.5546875" customWidth="1"/>
    <col min="14" max="14" width="7.44140625" customWidth="1"/>
    <col min="15" max="15" width="20.5546875" customWidth="1"/>
    <col min="16" max="16" width="7.44140625" customWidth="1"/>
    <col min="17" max="17" width="20.5546875" customWidth="1"/>
    <col min="18" max="18" width="7.44140625" customWidth="1"/>
    <col min="19" max="19" width="20.5546875" customWidth="1"/>
    <col min="20" max="20" width="7.44140625" customWidth="1"/>
    <col min="21" max="21" width="20.5546875" customWidth="1"/>
    <col min="22" max="22" width="7.44140625" customWidth="1"/>
    <col min="23" max="23" width="20.5546875" customWidth="1"/>
    <col min="24" max="24" width="7.44140625" customWidth="1"/>
    <col min="25" max="25" width="20.5546875" customWidth="1"/>
    <col min="26" max="26" width="7.44140625" customWidth="1"/>
    <col min="27" max="27" width="20.5546875" customWidth="1"/>
    <col min="28" max="28" width="7.44140625" customWidth="1"/>
    <col min="29" max="29" width="20.5546875" customWidth="1"/>
    <col min="30" max="30" width="7.44140625" customWidth="1"/>
    <col min="31" max="31" width="20.5546875" customWidth="1"/>
    <col min="32" max="32" width="7.44140625" customWidth="1"/>
    <col min="33" max="33" width="20.5546875" customWidth="1"/>
    <col min="34" max="34" width="7.44140625" customWidth="1"/>
    <col min="35" max="35" width="20.5546875" customWidth="1"/>
    <col min="36" max="36" width="7.44140625" customWidth="1"/>
    <col min="37" max="37" width="20.5546875" customWidth="1"/>
    <col min="38" max="38" width="7.44140625" customWidth="1"/>
    <col min="39" max="39" width="20.5546875" customWidth="1"/>
    <col min="40" max="40" width="7.44140625" customWidth="1"/>
    <col min="41" max="41" width="20.5546875" customWidth="1"/>
    <col min="42" max="42" width="7.44140625" customWidth="1"/>
    <col min="43" max="43" width="20.5546875" customWidth="1"/>
    <col min="44" max="44" width="7.44140625" customWidth="1"/>
    <col min="45" max="45" width="20.5546875" customWidth="1"/>
    <col min="46" max="46" width="6" style="243" customWidth="1"/>
    <col min="47" max="47" width="20.5546875" customWidth="1"/>
    <col min="48" max="48" width="6" style="243" customWidth="1"/>
    <col min="49" max="49" width="20.5546875" customWidth="1"/>
    <col min="50" max="50" width="6" style="243" customWidth="1"/>
    <col min="51" max="51" width="20.5546875" customWidth="1"/>
    <col min="52" max="52" width="6" style="243" customWidth="1"/>
    <col min="53" max="53" width="20.5546875" customWidth="1"/>
    <col min="54" max="54" width="6" style="243" customWidth="1"/>
    <col min="55" max="55" width="20.5546875" customWidth="1"/>
    <col min="56" max="56" width="6" style="243" customWidth="1"/>
    <col min="57" max="57" width="20.5546875" customWidth="1"/>
    <col min="58" max="58" width="6" style="243" customWidth="1"/>
    <col min="59" max="59" width="20.5546875" customWidth="1"/>
    <col min="60" max="60" width="6" style="243" customWidth="1"/>
    <col min="61" max="61" width="20.5546875" customWidth="1"/>
    <col min="62" max="62" width="6" style="243" customWidth="1"/>
    <col min="63" max="63" width="20.5546875" customWidth="1"/>
    <col min="64" max="64" width="6" style="243" customWidth="1"/>
    <col min="65" max="65" width="20.5546875" customWidth="1"/>
    <col min="66" max="66" width="6" customWidth="1"/>
    <col min="67" max="67" width="20.5546875" customWidth="1"/>
    <col min="68" max="68" width="6" customWidth="1"/>
    <col min="69" max="69" width="20.5546875" customWidth="1"/>
    <col min="70" max="70" width="6" customWidth="1"/>
    <col min="71" max="71" width="20.5546875" customWidth="1"/>
    <col min="72" max="72" width="6" customWidth="1"/>
    <col min="73" max="73" width="20.5546875" customWidth="1"/>
    <col min="74" max="74" width="6" customWidth="1"/>
    <col min="75" max="75" width="20.5546875" customWidth="1"/>
    <col min="76" max="76" width="6" customWidth="1"/>
    <col min="77" max="77" width="16.109375" bestFit="1" customWidth="1"/>
    <col min="78" max="78" width="5.5546875" customWidth="1"/>
    <col min="79" max="79" width="12.88671875" bestFit="1" customWidth="1"/>
    <col min="80" max="80" width="5.5546875" customWidth="1"/>
    <col min="81" max="81" width="12.88671875" bestFit="1" customWidth="1"/>
    <col min="82" max="82" width="5.5546875" customWidth="1"/>
    <col min="83" max="83" width="12.88671875" bestFit="1" customWidth="1"/>
    <col min="84" max="84" width="5.5546875" customWidth="1"/>
    <col min="85" max="85" width="12.88671875" bestFit="1" customWidth="1"/>
    <col min="86" max="86" width="5.5546875" customWidth="1"/>
    <col min="87" max="87" width="12.88671875" bestFit="1" customWidth="1"/>
    <col min="88" max="88" width="5.5546875" customWidth="1"/>
    <col min="89" max="89" width="12.88671875" bestFit="1" customWidth="1"/>
    <col min="90" max="90" width="5.5546875" customWidth="1"/>
    <col min="91" max="91" width="12.88671875" bestFit="1" customWidth="1"/>
    <col min="92" max="92" width="5.5546875" customWidth="1"/>
    <col min="93" max="93" width="12.88671875" bestFit="1" customWidth="1"/>
    <col min="94" max="94" width="6.88671875" customWidth="1"/>
    <col min="95" max="95" width="12.88671875" bestFit="1" customWidth="1"/>
    <col min="96" max="96" width="9.88671875" customWidth="1"/>
    <col min="97" max="97" width="12.88671875" bestFit="1" customWidth="1"/>
    <col min="98" max="98" width="9.88671875" customWidth="1"/>
    <col min="99" max="99" width="12.88671875" bestFit="1" customWidth="1"/>
    <col min="100" max="100" width="9.88671875" customWidth="1"/>
    <col min="101" max="101" width="12.88671875" bestFit="1" customWidth="1"/>
    <col min="102" max="102" width="8.109375" customWidth="1"/>
    <col min="103" max="103" width="15.5546875" customWidth="1"/>
    <col min="104" max="104" width="5.44140625" customWidth="1"/>
    <col min="105" max="105" width="15.5546875" customWidth="1"/>
    <col min="106" max="106" width="5.44140625" customWidth="1"/>
    <col min="107" max="107" width="15.5546875" customWidth="1"/>
    <col min="108" max="108" width="2" customWidth="1"/>
    <col min="109" max="109" width="15.5546875" customWidth="1"/>
    <col min="110" max="110" width="2" customWidth="1"/>
    <col min="111" max="111" width="15.5546875" customWidth="1"/>
    <col min="112" max="112" width="2" customWidth="1"/>
    <col min="113" max="113" width="15.5546875" customWidth="1"/>
    <col min="114" max="114" width="2" customWidth="1"/>
    <col min="115" max="115" width="15.5546875" style="524" customWidth="1"/>
    <col min="116" max="116" width="2" style="524" customWidth="1"/>
    <col min="117" max="117" width="15.5546875" style="524" customWidth="1"/>
    <col min="118" max="118" width="2" style="524" customWidth="1"/>
    <col min="119" max="119" width="15.5546875" style="524" customWidth="1"/>
    <col min="120" max="120" width="2" style="524" customWidth="1"/>
    <col min="121" max="121" width="15.5546875" style="524" customWidth="1"/>
    <col min="122" max="122" width="2" style="524" customWidth="1"/>
    <col min="123" max="123" width="15.5546875" style="524" customWidth="1"/>
    <col min="124" max="124" width="2" style="524" customWidth="1"/>
    <col min="125" max="125" width="15.5546875" style="524" customWidth="1"/>
    <col min="126" max="126" width="2" style="524" customWidth="1"/>
    <col min="127" max="127" width="15.5546875" style="524" customWidth="1"/>
    <col min="128" max="128" width="2" style="524" customWidth="1"/>
    <col min="129" max="129" width="15" style="524" customWidth="1"/>
    <col min="130" max="130" width="2" style="524" customWidth="1"/>
    <col min="131" max="131" width="15" style="524" customWidth="1"/>
    <col min="132" max="132" width="2" style="524" customWidth="1"/>
    <col min="133" max="133" width="15" style="524" customWidth="1"/>
    <col min="134" max="134" width="2" style="524" customWidth="1"/>
    <col min="135" max="135" width="15" style="524" customWidth="1"/>
    <col min="136" max="136" width="2" style="524" customWidth="1"/>
    <col min="137" max="137" width="15" style="524" customWidth="1"/>
    <col min="138" max="138" width="2" style="524" customWidth="1"/>
    <col min="139" max="139" width="15" style="524" customWidth="1"/>
    <col min="140" max="140" width="2" style="524" customWidth="1"/>
    <col min="141" max="141" width="15" style="524" customWidth="1"/>
    <col min="142" max="142" width="2" style="524" customWidth="1"/>
    <col min="143" max="143" width="15" style="524" customWidth="1"/>
    <col min="144" max="144" width="2" style="524" customWidth="1"/>
    <col min="145" max="145" width="15" style="524" customWidth="1"/>
    <col min="146" max="146" width="2" style="524" customWidth="1"/>
    <col min="147" max="147" width="15" style="524" customWidth="1"/>
    <col min="148" max="148" width="2" style="524" customWidth="1"/>
    <col min="149" max="149" width="15" style="524" customWidth="1"/>
    <col min="150" max="150" width="2" style="524" customWidth="1"/>
    <col min="151" max="151" width="15" style="524" customWidth="1"/>
    <col min="152" max="152" width="2" style="524" customWidth="1"/>
    <col min="153" max="153" width="14.44140625" style="524"/>
    <col min="154" max="154" width="2" style="524" customWidth="1"/>
    <col min="155" max="155" width="14.44140625" style="524"/>
    <col min="156" max="156" width="2" style="524" customWidth="1"/>
    <col min="157" max="157" width="14.44140625" style="524"/>
    <col min="158" max="158" width="2" style="524" customWidth="1"/>
    <col min="159" max="159" width="14.44140625" style="524"/>
    <col min="160" max="160" width="2" style="524" customWidth="1"/>
    <col min="161" max="161" width="14.44140625" style="524"/>
    <col min="162" max="162" width="2" style="524" customWidth="1"/>
    <col min="163" max="163" width="14.44140625" style="524"/>
    <col min="164" max="164" width="2" style="524" customWidth="1"/>
    <col min="165" max="165" width="14.44140625" style="524"/>
    <col min="166" max="166" width="2" style="524" customWidth="1"/>
    <col min="167" max="167" width="14.44140625" style="524"/>
    <col min="168" max="168" width="2" style="524" customWidth="1"/>
    <col min="169" max="169" width="14.44140625" style="524"/>
    <col min="170" max="170" width="2" style="524" customWidth="1"/>
    <col min="171" max="171" width="14.44140625" style="524"/>
    <col min="172" max="172" width="2" style="524" customWidth="1"/>
    <col min="173" max="173" width="14.44140625" style="524"/>
    <col min="174" max="174" width="2" style="524" customWidth="1"/>
    <col min="175" max="175" width="14.44140625" style="524"/>
    <col min="176" max="176" width="2" style="524" customWidth="1"/>
    <col min="177" max="177" width="14.44140625" style="524"/>
    <col min="178" max="178" width="2" style="524" customWidth="1"/>
    <col min="179" max="179" width="14.44140625" style="524"/>
    <col min="180" max="180" width="2" style="524" customWidth="1"/>
    <col min="181" max="181" width="14.44140625" style="524"/>
    <col min="182" max="182" width="2" style="524" customWidth="1"/>
    <col min="183" max="183" width="14.44140625" style="524"/>
    <col min="184" max="184" width="2" style="524" customWidth="1"/>
    <col min="185" max="185" width="14.44140625" style="524"/>
    <col min="186" max="186" width="2" customWidth="1"/>
    <col min="187" max="187" width="10.5546875" customWidth="1"/>
    <col min="189" max="189" width="8" customWidth="1"/>
    <col min="190" max="190" width="10.44140625" customWidth="1"/>
    <col min="191" max="195" width="9.44140625" customWidth="1"/>
  </cols>
  <sheetData>
    <row r="1" spans="1:194" s="524" customFormat="1" ht="14.25" customHeight="1">
      <c r="B1" s="1007"/>
      <c r="C1" s="678" t="s">
        <v>480</v>
      </c>
      <c r="D1" s="678"/>
      <c r="E1" s="678"/>
      <c r="F1" s="678"/>
      <c r="G1" s="1008" t="s">
        <v>834</v>
      </c>
      <c r="H1" s="678"/>
      <c r="I1" s="1008" t="s">
        <v>833</v>
      </c>
      <c r="J1" s="678"/>
      <c r="K1" s="1008" t="s">
        <v>832</v>
      </c>
      <c r="L1" s="678"/>
      <c r="M1" s="1008" t="s">
        <v>831</v>
      </c>
      <c r="N1" s="678"/>
      <c r="O1" s="1008" t="s">
        <v>830</v>
      </c>
      <c r="P1" s="678"/>
      <c r="Q1" s="1008" t="s">
        <v>829</v>
      </c>
      <c r="R1" s="678"/>
      <c r="S1" s="1008" t="s">
        <v>828</v>
      </c>
      <c r="T1" s="678"/>
      <c r="U1" s="1008" t="s">
        <v>827</v>
      </c>
      <c r="V1" s="678"/>
      <c r="W1" s="1008" t="s">
        <v>826</v>
      </c>
      <c r="X1" s="678"/>
      <c r="Y1" s="1008" t="s">
        <v>825</v>
      </c>
      <c r="Z1" s="678"/>
      <c r="AA1" s="1008" t="s">
        <v>818</v>
      </c>
      <c r="AB1" s="678"/>
      <c r="AC1" s="1008" t="s">
        <v>817</v>
      </c>
      <c r="AD1" s="678"/>
      <c r="AE1" s="1008" t="s">
        <v>813</v>
      </c>
      <c r="AF1" s="678"/>
      <c r="AG1" s="1008" t="s">
        <v>810</v>
      </c>
      <c r="AH1" s="678"/>
      <c r="AI1" s="1008">
        <v>45595</v>
      </c>
      <c r="AJ1" s="678"/>
      <c r="AK1" s="1008">
        <v>45565</v>
      </c>
      <c r="AL1" s="678"/>
      <c r="AM1" s="1008">
        <v>45535</v>
      </c>
      <c r="AN1" s="678"/>
      <c r="AO1" s="1008">
        <v>45504</v>
      </c>
      <c r="AP1" s="678"/>
      <c r="AQ1" s="1008">
        <v>45473</v>
      </c>
      <c r="AR1" s="678"/>
      <c r="AS1" s="1008">
        <v>45443</v>
      </c>
      <c r="AT1" s="678"/>
      <c r="AU1" s="1008">
        <v>45412</v>
      </c>
      <c r="AV1" s="678"/>
      <c r="AW1" s="1008">
        <v>45382</v>
      </c>
      <c r="AX1" s="678"/>
      <c r="AY1" s="1008">
        <v>45351</v>
      </c>
      <c r="AZ1" s="678"/>
      <c r="BA1" s="1008">
        <v>45322</v>
      </c>
      <c r="BB1" s="678"/>
      <c r="BC1" s="1008">
        <v>45291</v>
      </c>
      <c r="BD1" s="678"/>
      <c r="BE1" s="1008">
        <v>45260</v>
      </c>
      <c r="BF1" s="678"/>
      <c r="BG1" s="1008">
        <v>45230</v>
      </c>
      <c r="BH1" s="678"/>
      <c r="BI1" s="1008">
        <v>45199</v>
      </c>
      <c r="BJ1" s="678"/>
      <c r="BK1" s="1008">
        <v>45169</v>
      </c>
      <c r="BL1" s="678"/>
      <c r="BM1" s="596">
        <v>45138</v>
      </c>
      <c r="BN1" s="678"/>
      <c r="BO1" s="596">
        <v>45107</v>
      </c>
      <c r="BP1" s="678"/>
      <c r="BQ1" s="596">
        <v>45077</v>
      </c>
      <c r="BR1" s="678"/>
      <c r="BS1" s="596">
        <v>45046</v>
      </c>
      <c r="BT1" s="678"/>
      <c r="BU1" s="596">
        <v>45016</v>
      </c>
      <c r="BV1" s="678"/>
      <c r="BW1" s="601">
        <v>44985</v>
      </c>
      <c r="BX1" s="678"/>
      <c r="BY1" s="596">
        <v>44957</v>
      </c>
      <c r="BZ1" s="678"/>
      <c r="CA1" s="596">
        <v>44926</v>
      </c>
      <c r="CB1" s="678"/>
      <c r="CC1" s="601">
        <v>44895</v>
      </c>
      <c r="CD1" s="678"/>
      <c r="CE1" s="601">
        <v>44865</v>
      </c>
      <c r="CF1" s="678"/>
      <c r="CG1" s="596">
        <v>44834</v>
      </c>
      <c r="CH1" s="678"/>
      <c r="CI1" s="601">
        <v>44804</v>
      </c>
      <c r="CJ1" s="678"/>
      <c r="CK1" s="601">
        <v>44773</v>
      </c>
      <c r="CL1" s="678"/>
      <c r="CM1" s="596">
        <v>44742</v>
      </c>
      <c r="CN1" s="678"/>
      <c r="CO1" s="596">
        <v>44712</v>
      </c>
      <c r="CQ1" s="596">
        <v>44681</v>
      </c>
      <c r="CS1" s="658" t="s">
        <v>576</v>
      </c>
      <c r="CU1" s="658" t="s">
        <v>570</v>
      </c>
      <c r="CW1" s="658" t="s">
        <v>252</v>
      </c>
      <c r="CY1" s="658" t="s">
        <v>253</v>
      </c>
      <c r="DA1" s="658" t="s">
        <v>254</v>
      </c>
      <c r="DC1" s="658" t="s">
        <v>255</v>
      </c>
      <c r="DD1" s="659"/>
      <c r="DE1" s="658" t="s">
        <v>256</v>
      </c>
      <c r="DF1" s="659"/>
      <c r="DG1" s="658" t="s">
        <v>257</v>
      </c>
      <c r="DH1" s="659"/>
      <c r="DI1" s="658" t="s">
        <v>258</v>
      </c>
      <c r="DJ1" s="659"/>
      <c r="DK1" s="658" t="s">
        <v>259</v>
      </c>
      <c r="DL1" s="659"/>
      <c r="DM1" s="658" t="s">
        <v>260</v>
      </c>
      <c r="DN1" s="659"/>
      <c r="DO1" s="658" t="s">
        <v>261</v>
      </c>
      <c r="DP1" s="659"/>
      <c r="DQ1" s="658" t="s">
        <v>262</v>
      </c>
      <c r="DR1" s="659"/>
      <c r="DS1" s="658" t="s">
        <v>263</v>
      </c>
      <c r="DT1" s="659"/>
      <c r="DU1" s="658" t="s">
        <v>264</v>
      </c>
      <c r="DV1" s="659"/>
      <c r="DW1" s="658" t="s">
        <v>265</v>
      </c>
      <c r="DX1" s="659"/>
      <c r="DY1" s="658" t="s">
        <v>266</v>
      </c>
      <c r="DZ1" s="659"/>
      <c r="EA1" s="658" t="s">
        <v>267</v>
      </c>
      <c r="EB1" s="659"/>
      <c r="EC1" s="658" t="s">
        <v>268</v>
      </c>
      <c r="ED1" s="659"/>
      <c r="EE1" s="658" t="s">
        <v>269</v>
      </c>
      <c r="EF1" s="659"/>
      <c r="EG1" s="660" t="s">
        <v>270</v>
      </c>
      <c r="EI1" s="660" t="s">
        <v>271</v>
      </c>
      <c r="EK1" s="660" t="s">
        <v>272</v>
      </c>
      <c r="EM1" s="660" t="s">
        <v>273</v>
      </c>
      <c r="EO1" s="660" t="s">
        <v>274</v>
      </c>
      <c r="EQ1" s="660" t="s">
        <v>275</v>
      </c>
      <c r="ES1" s="660" t="s">
        <v>276</v>
      </c>
      <c r="EU1" s="660" t="s">
        <v>277</v>
      </c>
      <c r="EW1" s="660" t="s">
        <v>278</v>
      </c>
      <c r="EY1" s="660" t="s">
        <v>279</v>
      </c>
      <c r="FA1" s="660" t="s">
        <v>280</v>
      </c>
      <c r="FC1" s="660" t="s">
        <v>281</v>
      </c>
      <c r="FE1" s="660" t="s">
        <v>282</v>
      </c>
      <c r="FG1" s="660" t="s">
        <v>283</v>
      </c>
      <c r="FI1" s="660" t="s">
        <v>284</v>
      </c>
      <c r="FK1" s="660" t="s">
        <v>285</v>
      </c>
      <c r="FM1" s="660" t="s">
        <v>286</v>
      </c>
      <c r="FO1" s="660" t="s">
        <v>287</v>
      </c>
      <c r="FQ1" s="660" t="s">
        <v>288</v>
      </c>
      <c r="FS1" s="660" t="s">
        <v>289</v>
      </c>
      <c r="FU1" s="660" t="s">
        <v>290</v>
      </c>
      <c r="FV1" s="661"/>
      <c r="FW1" s="660" t="s">
        <v>481</v>
      </c>
      <c r="FY1" s="660" t="s">
        <v>292</v>
      </c>
      <c r="FZ1" s="661"/>
      <c r="GA1" s="660" t="s">
        <v>293</v>
      </c>
      <c r="GB1" s="662"/>
      <c r="GC1" s="660" t="s">
        <v>482</v>
      </c>
      <c r="GE1" s="662" t="s">
        <v>483</v>
      </c>
      <c r="GF1" s="662" t="s">
        <v>484</v>
      </c>
      <c r="GG1" s="662" t="s">
        <v>485</v>
      </c>
      <c r="GH1" s="524" t="s">
        <v>486</v>
      </c>
      <c r="GI1" s="524" t="s">
        <v>487</v>
      </c>
      <c r="GJ1" s="524" t="s">
        <v>488</v>
      </c>
      <c r="GL1" s="659" t="s">
        <v>489</v>
      </c>
    </row>
    <row r="2" spans="1:194" ht="14.25" customHeight="1">
      <c r="A2" s="222"/>
      <c r="B2" s="334"/>
      <c r="CY2" s="157"/>
      <c r="DA2" s="157"/>
      <c r="DC2" s="157"/>
      <c r="DD2" s="157"/>
      <c r="DE2" s="157"/>
      <c r="DF2" s="157"/>
      <c r="DG2" s="157"/>
      <c r="DH2" s="157"/>
      <c r="DI2" s="157"/>
      <c r="DJ2" s="157"/>
      <c r="DK2" s="659"/>
      <c r="DL2" s="659"/>
      <c r="DM2" s="659"/>
      <c r="DN2" s="659"/>
      <c r="DO2" s="659"/>
      <c r="DP2" s="659"/>
      <c r="DQ2" s="659"/>
      <c r="DR2" s="659"/>
      <c r="DS2" s="659"/>
      <c r="DT2" s="659"/>
      <c r="DU2" s="659"/>
      <c r="DV2" s="659"/>
      <c r="DW2" s="659"/>
      <c r="DX2" s="659"/>
      <c r="DY2" s="659"/>
      <c r="DZ2" s="659"/>
      <c r="EA2" s="659"/>
      <c r="EB2" s="659"/>
      <c r="EC2" s="659"/>
      <c r="ED2" s="659"/>
      <c r="EE2" s="659"/>
      <c r="EF2" s="659"/>
      <c r="GE2" s="335"/>
      <c r="GF2" s="335"/>
      <c r="GG2" s="335"/>
      <c r="GH2" t="s">
        <v>490</v>
      </c>
    </row>
    <row r="3" spans="1:194" ht="14.25" customHeight="1">
      <c r="A3" s="336" t="s">
        <v>491</v>
      </c>
      <c r="B3" s="337" t="s">
        <v>492</v>
      </c>
      <c r="C3" s="222" t="s">
        <v>641</v>
      </c>
      <c r="D3" s="222" t="s">
        <v>610</v>
      </c>
      <c r="CY3" s="338"/>
      <c r="DA3" s="338"/>
      <c r="DC3" s="338"/>
      <c r="DD3" s="157"/>
      <c r="DE3" s="338"/>
      <c r="DF3" s="157"/>
      <c r="DG3" s="338"/>
      <c r="DH3" s="157"/>
      <c r="DI3" s="338"/>
      <c r="DJ3" s="157"/>
      <c r="DK3" s="663"/>
      <c r="DL3" s="659"/>
      <c r="DM3" s="663"/>
      <c r="DN3" s="659"/>
      <c r="DO3" s="663"/>
      <c r="DP3" s="659"/>
      <c r="DQ3" s="663"/>
      <c r="DR3" s="659"/>
      <c r="DS3" s="663"/>
      <c r="DT3" s="659"/>
      <c r="DU3" s="663"/>
      <c r="DV3" s="659"/>
      <c r="DW3" s="663"/>
      <c r="DX3" s="659"/>
      <c r="DY3" s="663"/>
      <c r="DZ3" s="659"/>
      <c r="EA3" s="663"/>
      <c r="EB3" s="659"/>
      <c r="EC3" s="663"/>
      <c r="ED3" s="659"/>
      <c r="EE3" s="663"/>
      <c r="EF3" s="659"/>
      <c r="EG3" s="664"/>
      <c r="EI3" s="664"/>
      <c r="EK3" s="664"/>
      <c r="EM3" s="664"/>
      <c r="EO3" s="664"/>
      <c r="EQ3" s="664"/>
      <c r="ES3" s="664"/>
      <c r="EU3" s="664"/>
      <c r="EV3" s="664"/>
      <c r="EW3" s="664"/>
      <c r="EX3" s="664"/>
      <c r="EY3" s="664"/>
      <c r="EZ3" s="664"/>
      <c r="FA3" s="664"/>
      <c r="FB3" s="664"/>
      <c r="FC3" s="664"/>
      <c r="FD3" s="664"/>
      <c r="FE3" s="664"/>
      <c r="FF3" s="664"/>
      <c r="FG3" s="664"/>
      <c r="FH3" s="664"/>
      <c r="FI3" s="664"/>
      <c r="FJ3" s="664"/>
      <c r="FK3" s="664"/>
      <c r="FL3" s="664"/>
      <c r="FM3" s="664"/>
      <c r="FN3" s="664"/>
      <c r="FO3" s="664"/>
      <c r="FP3" s="664"/>
      <c r="FQ3" s="664"/>
      <c r="FR3" s="664"/>
      <c r="FS3" s="664"/>
      <c r="FU3" s="664"/>
      <c r="FW3" s="664"/>
      <c r="FY3" s="664"/>
      <c r="FZ3" s="664"/>
      <c r="GA3" s="664"/>
      <c r="GC3" s="665"/>
      <c r="GE3" s="335"/>
      <c r="GF3" s="335"/>
      <c r="GG3" s="335"/>
    </row>
    <row r="4" spans="1:194" ht="6" customHeight="1">
      <c r="A4" s="222"/>
      <c r="B4" s="334"/>
      <c r="CY4" s="338"/>
      <c r="DA4" s="338"/>
      <c r="DC4" s="338"/>
      <c r="DD4" s="157"/>
      <c r="DE4" s="338"/>
      <c r="DF4" s="157"/>
      <c r="DG4" s="338"/>
      <c r="DH4" s="157"/>
      <c r="DI4" s="338"/>
      <c r="DJ4" s="157"/>
      <c r="DK4" s="663"/>
      <c r="DL4" s="659"/>
      <c r="DM4" s="663"/>
      <c r="DN4" s="659"/>
      <c r="DO4" s="663"/>
      <c r="DP4" s="659"/>
      <c r="DQ4" s="663"/>
      <c r="DR4" s="659"/>
      <c r="DS4" s="663"/>
      <c r="DT4" s="659"/>
      <c r="DU4" s="663"/>
      <c r="DV4" s="659"/>
      <c r="DW4" s="663"/>
      <c r="DX4" s="659"/>
      <c r="DY4" s="663"/>
      <c r="DZ4" s="659"/>
      <c r="EA4" s="663"/>
      <c r="EB4" s="659"/>
      <c r="EC4" s="663"/>
      <c r="ED4" s="659"/>
      <c r="EE4" s="663"/>
      <c r="EF4" s="659"/>
      <c r="EG4" s="664"/>
      <c r="EI4" s="664"/>
      <c r="EK4" s="664"/>
      <c r="EM4" s="664"/>
      <c r="EO4" s="664"/>
      <c r="EQ4" s="664"/>
      <c r="ES4" s="664"/>
      <c r="EU4" s="664"/>
      <c r="EV4" s="664"/>
      <c r="EW4" s="664"/>
      <c r="EX4" s="664"/>
      <c r="EY4" s="664"/>
      <c r="EZ4" s="664"/>
      <c r="FA4" s="664"/>
      <c r="FB4" s="664"/>
      <c r="FC4" s="664"/>
      <c r="FD4" s="664"/>
      <c r="FE4" s="664"/>
      <c r="FF4" s="664"/>
      <c r="FG4" s="664"/>
      <c r="FH4" s="664"/>
      <c r="FI4" s="664"/>
      <c r="FJ4" s="664"/>
      <c r="FK4" s="664"/>
      <c r="FL4" s="664"/>
      <c r="FM4" s="664"/>
      <c r="FN4" s="664"/>
      <c r="FO4" s="664"/>
      <c r="FP4" s="664"/>
      <c r="FQ4" s="664"/>
      <c r="FR4" s="664"/>
      <c r="FS4" s="664"/>
      <c r="FU4" s="664"/>
      <c r="FW4" s="664"/>
      <c r="FY4" s="664"/>
      <c r="FZ4" s="664"/>
      <c r="GA4" s="664"/>
      <c r="GC4" s="665"/>
      <c r="GE4" s="335"/>
      <c r="GF4" s="335"/>
      <c r="GG4" s="335"/>
    </row>
    <row r="5" spans="1:194" ht="14.25" customHeight="1">
      <c r="A5" s="222"/>
      <c r="B5" s="340"/>
      <c r="C5" s="341"/>
      <c r="D5" s="341"/>
      <c r="E5" s="341" t="s">
        <v>224</v>
      </c>
      <c r="F5" s="341"/>
      <c r="G5" s="342">
        <f>+'Balance Sheet - Dec25'!C19</f>
        <v>1524807246.4500003</v>
      </c>
      <c r="H5" s="341"/>
      <c r="I5" s="342">
        <f>+'Balance Sheet - Dec25'!E19</f>
        <v>1449631699.1400003</v>
      </c>
      <c r="J5" s="341"/>
      <c r="K5" s="342">
        <f>+'Balance Sheet - Dec25'!G19</f>
        <v>1397455000.5</v>
      </c>
      <c r="L5" s="341"/>
      <c r="M5" s="342">
        <f>+'Balance Sheet - Dec25'!I19</f>
        <v>1432993513.2600002</v>
      </c>
      <c r="N5" s="341"/>
      <c r="O5" s="342">
        <f>+'Balance Sheet - Dec25'!K19</f>
        <v>1562735841.0900002</v>
      </c>
      <c r="P5" s="341"/>
      <c r="Q5" s="342">
        <f>+'Balance Sheet - Dec25'!M19</f>
        <v>1601378777.9399998</v>
      </c>
      <c r="R5" s="341"/>
      <c r="S5" s="342">
        <v>1613141662.2699997</v>
      </c>
      <c r="T5" s="341"/>
      <c r="U5" s="342">
        <v>1620300663.0299997</v>
      </c>
      <c r="V5" s="341"/>
      <c r="W5" s="342">
        <v>1660324692.1599998</v>
      </c>
      <c r="X5" s="341"/>
      <c r="Y5" s="342">
        <f>+'Balance Sheet - Dec25'!U19</f>
        <v>1498544537.48</v>
      </c>
      <c r="Z5" s="341"/>
      <c r="AA5" s="342">
        <f>+'Balance Sheet - Dec25'!W19</f>
        <v>1606989988.97</v>
      </c>
      <c r="AB5" s="341"/>
      <c r="AC5" s="342">
        <v>1589580862.9899995</v>
      </c>
      <c r="AD5" s="341"/>
      <c r="AE5" s="342">
        <v>1612270658.6499999</v>
      </c>
      <c r="AF5" s="341"/>
      <c r="AG5" s="342">
        <v>1668495519.73</v>
      </c>
      <c r="AH5" s="341"/>
      <c r="AI5" s="342">
        <v>1681343398.1099999</v>
      </c>
      <c r="AJ5" s="341"/>
      <c r="AK5" s="342">
        <v>1560434104.9699998</v>
      </c>
      <c r="AL5" s="341"/>
      <c r="AM5" s="342">
        <v>1608322712.6699998</v>
      </c>
      <c r="AN5" s="341"/>
      <c r="AO5" s="342">
        <v>1454856900.5999999</v>
      </c>
      <c r="AP5" s="341"/>
      <c r="AQ5" s="342">
        <v>1460585069.6399999</v>
      </c>
      <c r="AR5" s="341"/>
      <c r="AS5" s="342">
        <v>1408931305.3899999</v>
      </c>
      <c r="AU5" s="342">
        <v>1276568959.9800003</v>
      </c>
      <c r="AW5" s="342">
        <v>1105290449.21</v>
      </c>
      <c r="AY5" s="342">
        <v>1105290449.21</v>
      </c>
      <c r="BA5" s="342">
        <v>1081394873.78</v>
      </c>
      <c r="BC5" s="342">
        <v>1100469871.6900001</v>
      </c>
      <c r="BE5" s="342">
        <v>932271760.11000001</v>
      </c>
      <c r="BG5" s="342">
        <v>907493020.87999988</v>
      </c>
      <c r="BI5" s="342">
        <v>802623759.15999997</v>
      </c>
      <c r="BK5" s="342">
        <v>650516201.18999994</v>
      </c>
      <c r="BM5" s="342">
        <v>628130348.01999998</v>
      </c>
      <c r="BN5" s="341"/>
      <c r="BO5" s="342">
        <v>604940347.25</v>
      </c>
      <c r="BP5" s="341"/>
      <c r="BQ5" s="342">
        <v>612865082.37999988</v>
      </c>
      <c r="BR5" s="341"/>
      <c r="BS5" s="342">
        <v>585293729.39999998</v>
      </c>
      <c r="BT5" s="341"/>
      <c r="BU5" s="342">
        <f>+'Balance Sheet - Dec25'!BQ19</f>
        <v>168034830.11000001</v>
      </c>
      <c r="BV5" s="341"/>
      <c r="BW5" s="342">
        <v>509603001.47999996</v>
      </c>
      <c r="BX5" s="341"/>
      <c r="BY5" s="342">
        <f>+'Balance Sheet - Dec25'!BU19</f>
        <v>554941244.47000003</v>
      </c>
      <c r="BZ5" s="341"/>
      <c r="CA5" s="342">
        <v>627960553.5</v>
      </c>
      <c r="CB5" s="341"/>
      <c r="CC5" s="342">
        <v>621433433.18000007</v>
      </c>
      <c r="CD5" s="341"/>
      <c r="CE5" s="342">
        <v>524404244.10000014</v>
      </c>
      <c r="CF5" s="341"/>
      <c r="CG5" s="342">
        <f>+'Balance Sheet - Dec25'!CC19</f>
        <v>523591623.44999999</v>
      </c>
      <c r="CH5" s="341"/>
      <c r="CI5" s="342">
        <v>547206915.42999995</v>
      </c>
      <c r="CJ5" s="341"/>
      <c r="CK5" s="342">
        <v>555554679.84000003</v>
      </c>
      <c r="CL5" s="341"/>
      <c r="CM5" s="342">
        <f>+'Balance Sheet - Dec25'!CI19</f>
        <v>455012790.65999997</v>
      </c>
      <c r="CN5" s="341"/>
      <c r="CO5" s="342">
        <f>+'Balance Sheet - Dec25'!CK19</f>
        <v>454987526.41000009</v>
      </c>
      <c r="CP5" s="341"/>
      <c r="CQ5" s="342">
        <f>+'Balance Sheet - Dec25'!CM19</f>
        <v>448293048.05999988</v>
      </c>
      <c r="CR5" s="341"/>
      <c r="CS5" s="342">
        <f>+'Balance Sheet - Dec25'!CO19</f>
        <v>459409255.76999992</v>
      </c>
      <c r="CT5" s="341"/>
      <c r="CU5" s="342">
        <f>+'Balance Sheet - Dec25'!CQ19</f>
        <v>504726417.92000002</v>
      </c>
      <c r="CV5" s="341"/>
      <c r="CW5" s="342">
        <f>+'Balance Sheet - Dec25'!CS19</f>
        <v>420044381.24000001</v>
      </c>
      <c r="CX5" s="341"/>
      <c r="CY5" s="343">
        <f>+'Balance Sheet - Dec25'!CU19</f>
        <v>392271320.62999994</v>
      </c>
      <c r="CZ5" s="341"/>
      <c r="DA5" s="343">
        <f>+'Balance Sheet - Dec25'!CW19</f>
        <v>406504824.00999999</v>
      </c>
      <c r="DB5" s="341"/>
      <c r="DC5" s="343">
        <f>+'Balance Sheet - Dec25'!CY19</f>
        <v>400849059.55000001</v>
      </c>
      <c r="DD5" s="344"/>
      <c r="DE5" s="343">
        <f>+'Balance Sheet - Dec25'!DA19</f>
        <v>316911228.44</v>
      </c>
      <c r="DF5" s="344"/>
      <c r="DG5" s="343">
        <f>+'Balance Sheet - Dec25'!DC19</f>
        <v>317194030.88</v>
      </c>
      <c r="DH5" s="344"/>
      <c r="DI5" s="343">
        <f>+'Balance Sheet - Dec25'!DE19</f>
        <v>283678864</v>
      </c>
      <c r="DJ5" s="344"/>
      <c r="DK5" s="666">
        <f>+'Balance Sheet - Dec25'!DG19</f>
        <v>250826424.18000001</v>
      </c>
      <c r="DL5" s="659"/>
      <c r="DM5" s="666">
        <f>+'Balance Sheet - Dec25'!DI19</f>
        <v>213201399.44</v>
      </c>
      <c r="DN5" s="659"/>
      <c r="DO5" s="666">
        <f>+'Balance Sheet - Dec25'!DK19</f>
        <v>217669358.51999998</v>
      </c>
      <c r="DP5" s="659"/>
      <c r="DQ5" s="666">
        <f>+'Balance Sheet - Dec25'!DM19</f>
        <v>198902888.30000001</v>
      </c>
      <c r="DR5" s="659"/>
      <c r="DS5" s="666">
        <v>197956625.76999998</v>
      </c>
      <c r="DT5" s="659"/>
      <c r="DU5" s="666">
        <v>166311431.34</v>
      </c>
      <c r="DV5" s="659"/>
      <c r="DW5" s="666">
        <v>166160832.65009424</v>
      </c>
      <c r="DX5" s="659"/>
      <c r="DY5" s="666">
        <v>182521275.55000001</v>
      </c>
      <c r="DZ5" s="659"/>
      <c r="EA5" s="666">
        <v>205911185.32888889</v>
      </c>
      <c r="EB5" s="659"/>
      <c r="EC5" s="666">
        <v>218878725.59999999</v>
      </c>
      <c r="ED5" s="659"/>
      <c r="EE5" s="666">
        <v>170185040.73402435</v>
      </c>
      <c r="EF5" s="659"/>
      <c r="EG5" s="666">
        <v>168516068.60000002</v>
      </c>
      <c r="EI5" s="666">
        <v>169839702.75</v>
      </c>
      <c r="EK5" s="666">
        <v>167833112.65000001</v>
      </c>
      <c r="EM5" s="666">
        <v>164864408.34999999</v>
      </c>
      <c r="EO5" s="666">
        <v>167746747.16999999</v>
      </c>
      <c r="EQ5" s="666">
        <v>170919320.22999999</v>
      </c>
      <c r="ES5" s="666">
        <v>171346879.79999998</v>
      </c>
      <c r="EU5" s="667">
        <v>169801936.16700003</v>
      </c>
      <c r="EV5" s="667"/>
      <c r="EW5" s="667">
        <v>135948444.09999999</v>
      </c>
      <c r="EX5" s="667"/>
      <c r="EY5" s="667">
        <v>90882704.780000001</v>
      </c>
      <c r="EZ5" s="667"/>
      <c r="FA5" s="667">
        <v>68753566.379999995</v>
      </c>
      <c r="FB5" s="667"/>
      <c r="FC5" s="667">
        <v>66177709.189999998</v>
      </c>
      <c r="FD5" s="667"/>
      <c r="FE5" s="667">
        <v>69019819.460000008</v>
      </c>
      <c r="FF5" s="667"/>
      <c r="FG5" s="667">
        <v>72353338.75</v>
      </c>
      <c r="FH5" s="667"/>
      <c r="FI5" s="667">
        <v>68829038.520000011</v>
      </c>
      <c r="FJ5" s="667"/>
      <c r="FK5" s="667">
        <v>68141454.420000002</v>
      </c>
      <c r="FL5" s="667"/>
      <c r="FM5" s="667">
        <v>67352958.079999998</v>
      </c>
      <c r="FN5" s="667"/>
      <c r="FO5" s="667">
        <v>57137046.109999992</v>
      </c>
      <c r="FP5" s="667"/>
      <c r="FQ5" s="667">
        <v>56752312.859999999</v>
      </c>
      <c r="FR5" s="667"/>
      <c r="FS5" s="667">
        <v>61946007.719999991</v>
      </c>
      <c r="FT5" s="667"/>
      <c r="FU5" s="667">
        <v>46597951.890000001</v>
      </c>
      <c r="FV5" s="667"/>
      <c r="FW5" s="667">
        <v>48160349.260000005</v>
      </c>
      <c r="FY5" s="667">
        <v>27163674.359999999</v>
      </c>
      <c r="FZ5" s="668"/>
      <c r="GA5" s="667">
        <v>22776000.559999999</v>
      </c>
      <c r="GB5" s="667"/>
      <c r="GC5" s="667">
        <v>19680034.020000003</v>
      </c>
      <c r="GD5" s="341"/>
      <c r="GE5" s="345"/>
      <c r="GF5" s="345"/>
      <c r="GG5" s="345"/>
      <c r="GH5" s="341"/>
      <c r="GI5" s="341"/>
      <c r="GJ5" s="341"/>
      <c r="GK5" s="341"/>
      <c r="GL5" s="341"/>
    </row>
    <row r="6" spans="1:194" ht="14.25" customHeight="1">
      <c r="A6" s="222"/>
      <c r="B6" s="340"/>
      <c r="C6" s="341"/>
      <c r="D6" s="341"/>
      <c r="E6" s="341" t="s">
        <v>232</v>
      </c>
      <c r="F6" s="341"/>
      <c r="G6" s="342">
        <f>+'Balance Sheet - Dec25'!C25+'Debt funding - Dec25'!K22</f>
        <v>805226197.70000005</v>
      </c>
      <c r="H6" s="341"/>
      <c r="I6" s="342">
        <f>+'Balance Sheet - Dec25'!E25+'Debt funding - Dec25'!G22</f>
        <v>557381569.10150695</v>
      </c>
      <c r="J6" s="341"/>
      <c r="K6" s="342">
        <f>+'Balance Sheet - Dec25'!G25+'Debt funding - Dec25'!I22</f>
        <v>800448443.55083036</v>
      </c>
      <c r="L6" s="341"/>
      <c r="M6" s="342">
        <f>+'Balance Sheet - Dec25'!I25+'Debt funding - Dec25'!I22</f>
        <v>798559795.18083036</v>
      </c>
      <c r="N6" s="341"/>
      <c r="O6" s="342">
        <f>+'Balance Sheet - Dec25'!K25+'Debt funding - Dec25'!K22</f>
        <v>804190230.38999999</v>
      </c>
      <c r="P6" s="341"/>
      <c r="Q6" s="342">
        <f>+'Balance Sheet - Dec25'!M25+'Debt funding - Dec25'!I22</f>
        <v>800641531.87083042</v>
      </c>
      <c r="R6" s="341"/>
      <c r="S6" s="342">
        <v>881685771.9000001</v>
      </c>
      <c r="T6" s="341"/>
      <c r="U6" s="342">
        <v>879810443.78000009</v>
      </c>
      <c r="V6" s="341"/>
      <c r="W6" s="342">
        <v>888569415.62683225</v>
      </c>
      <c r="X6" s="341"/>
      <c r="Y6" s="342">
        <f>+'Balance Sheet - Dec25'!U25</f>
        <v>554076880.5</v>
      </c>
      <c r="Z6" s="341"/>
      <c r="AA6" s="342">
        <f>+'Balance Sheet - Dec25'!W25</f>
        <v>560518584.10000002</v>
      </c>
      <c r="AB6" s="341"/>
      <c r="AC6" s="342">
        <v>633550828.04999995</v>
      </c>
      <c r="AD6" s="341"/>
      <c r="AE6" s="342">
        <v>637729313.19000006</v>
      </c>
      <c r="AF6" s="341"/>
      <c r="AG6" s="342">
        <v>638340523.90999997</v>
      </c>
      <c r="AH6" s="341"/>
      <c r="AI6" s="342">
        <v>638936637.18000007</v>
      </c>
      <c r="AJ6" s="341"/>
      <c r="AK6" s="342">
        <v>641882567.62</v>
      </c>
      <c r="AL6" s="341"/>
      <c r="AM6" s="342">
        <v>642276932.21000004</v>
      </c>
      <c r="AN6" s="341"/>
      <c r="AO6" s="342">
        <v>641436337</v>
      </c>
      <c r="AP6" s="341"/>
      <c r="AQ6" s="342">
        <v>639583918.85000002</v>
      </c>
      <c r="AR6" s="341"/>
      <c r="AS6" s="342">
        <v>641468069.67999995</v>
      </c>
      <c r="AU6" s="342">
        <v>642507688.91000009</v>
      </c>
      <c r="AW6" s="342">
        <v>637381142.38999999</v>
      </c>
      <c r="AY6" s="342">
        <v>637381142.38999999</v>
      </c>
      <c r="BA6" s="342">
        <v>636490030.63999999</v>
      </c>
      <c r="BC6" s="342">
        <v>633448024.21000004</v>
      </c>
      <c r="BE6" s="342">
        <v>629403132.83000004</v>
      </c>
      <c r="BG6" s="342">
        <v>628339096.33000004</v>
      </c>
      <c r="BI6" s="342">
        <v>627344290.20000005</v>
      </c>
      <c r="BK6" s="342">
        <v>626724299.25999999</v>
      </c>
      <c r="BM6" s="342">
        <v>626798742.63</v>
      </c>
      <c r="BN6" s="341"/>
      <c r="BO6" s="342">
        <v>625152772.38</v>
      </c>
      <c r="BP6" s="341"/>
      <c r="BQ6" s="342">
        <v>622907473.91999996</v>
      </c>
      <c r="BR6" s="341"/>
      <c r="BS6" s="342">
        <v>620029783.80999994</v>
      </c>
      <c r="BT6" s="341"/>
      <c r="BU6" s="342">
        <f>+'Balance Sheet - Dec25'!BQ25</f>
        <v>618949702.19000006</v>
      </c>
      <c r="BV6" s="341"/>
      <c r="BW6" s="342">
        <v>618310883.98899996</v>
      </c>
      <c r="BX6" s="341"/>
      <c r="BY6" s="342">
        <f>+'Balance Sheet - Dec25'!BU25</f>
        <v>628212132.21899998</v>
      </c>
      <c r="BZ6" s="341"/>
      <c r="CA6" s="342">
        <v>198678328.61899996</v>
      </c>
      <c r="CB6" s="341"/>
      <c r="CC6" s="342">
        <v>198813802.28899997</v>
      </c>
      <c r="CD6" s="341"/>
      <c r="CE6" s="342">
        <v>205991898.609</v>
      </c>
      <c r="CF6" s="341"/>
      <c r="CG6" s="342">
        <f>+'Balance Sheet - Dec25'!CC25</f>
        <v>205350008.89899999</v>
      </c>
      <c r="CH6" s="341"/>
      <c r="CI6" s="342">
        <v>202365370.11899999</v>
      </c>
      <c r="CJ6" s="341"/>
      <c r="CK6" s="342">
        <v>199189447.639</v>
      </c>
      <c r="CL6" s="341"/>
      <c r="CM6" s="342">
        <f>+'Balance Sheet - Dec25'!CI25</f>
        <v>197814195.109</v>
      </c>
      <c r="CN6" s="341"/>
      <c r="CO6" s="342">
        <f>+'Balance Sheet - Dec25'!CK25</f>
        <v>194673846.68899998</v>
      </c>
      <c r="CP6" s="341"/>
      <c r="CQ6" s="342">
        <f>+'Balance Sheet - Dec25'!CM25</f>
        <v>195645764.49900001</v>
      </c>
      <c r="CR6" s="341"/>
      <c r="CS6" s="342">
        <f>+'Balance Sheet - Dec25'!CO25</f>
        <v>188425403.89000002</v>
      </c>
      <c r="CT6" s="341"/>
      <c r="CU6" s="342">
        <f>+'Balance Sheet - Dec25'!CQ25</f>
        <v>102934429.29000001</v>
      </c>
      <c r="CV6" s="341"/>
      <c r="CW6" s="342">
        <f>+'Balance Sheet - Dec25'!CS25</f>
        <v>152715907.59</v>
      </c>
      <c r="CX6" s="341"/>
      <c r="CY6" s="343">
        <f>+'Balance Sheet - Dec25'!CU25</f>
        <v>107602697.31</v>
      </c>
      <c r="CZ6" s="341"/>
      <c r="DA6" s="343">
        <f>+'Balance Sheet - Dec25'!CW25</f>
        <v>106553858.94</v>
      </c>
      <c r="DB6" s="341"/>
      <c r="DC6" s="343">
        <f>+'Balance Sheet - Dec25'!CY25</f>
        <v>107557026.02</v>
      </c>
      <c r="DD6" s="344"/>
      <c r="DE6" s="343">
        <f>+'Balance Sheet - Dec25'!DA25</f>
        <v>108154578.64999999</v>
      </c>
      <c r="DF6" s="344"/>
      <c r="DG6" s="343">
        <f>+'Balance Sheet - Dec25'!DC25</f>
        <v>107924511.19</v>
      </c>
      <c r="DH6" s="344"/>
      <c r="DI6" s="343">
        <f>+'Balance Sheet - Dec25'!DE25</f>
        <v>107796951.84</v>
      </c>
      <c r="DJ6" s="344"/>
      <c r="DK6" s="666">
        <f>+'Balance Sheet - Dec25'!DG25</f>
        <v>106680830.55</v>
      </c>
      <c r="DL6" s="659"/>
      <c r="DM6" s="666">
        <f>+'Balance Sheet - Dec25'!DI25</f>
        <v>106202573.95999999</v>
      </c>
      <c r="DN6" s="659"/>
      <c r="DO6" s="666">
        <f>+'Balance Sheet - Dec25'!DK25</f>
        <v>105361632.56</v>
      </c>
      <c r="DP6" s="659"/>
      <c r="DQ6" s="666">
        <f>+'Balance Sheet - Dec25'!DM25</f>
        <v>104107446.28999999</v>
      </c>
      <c r="DR6" s="659"/>
      <c r="DS6" s="666">
        <v>103694409.42999999</v>
      </c>
      <c r="DT6" s="659"/>
      <c r="DU6" s="666">
        <v>103836502.88</v>
      </c>
      <c r="DV6" s="659"/>
      <c r="DW6" s="666">
        <v>102927624.31</v>
      </c>
      <c r="DX6" s="659"/>
      <c r="DY6" s="666">
        <v>102193067.19</v>
      </c>
      <c r="DZ6" s="659"/>
      <c r="EA6" s="666">
        <v>101563930.7</v>
      </c>
      <c r="EB6" s="659"/>
      <c r="EC6" s="666">
        <v>100674814.53999999</v>
      </c>
      <c r="ED6" s="659"/>
      <c r="EE6" s="666">
        <v>100122357.12</v>
      </c>
      <c r="EF6" s="659"/>
      <c r="EG6" s="666">
        <v>99185937.25</v>
      </c>
      <c r="EI6" s="666">
        <v>99364897.590000004</v>
      </c>
      <c r="EK6" s="666">
        <v>100729579.20999999</v>
      </c>
      <c r="EM6" s="666">
        <v>102546494.78999999</v>
      </c>
      <c r="EO6" s="666">
        <v>104367161.03</v>
      </c>
      <c r="EQ6" s="666">
        <v>106476544.97</v>
      </c>
      <c r="ES6" s="666">
        <v>108456971.22999999</v>
      </c>
      <c r="EU6" s="667">
        <v>107830844.61999999</v>
      </c>
      <c r="EV6" s="667"/>
      <c r="EW6" s="667">
        <v>108178892.67999999</v>
      </c>
      <c r="EX6" s="667"/>
      <c r="EY6" s="667">
        <v>108779599.05</v>
      </c>
      <c r="EZ6" s="667"/>
      <c r="FA6" s="667">
        <v>108267676.59</v>
      </c>
      <c r="FB6" s="667"/>
      <c r="FC6" s="667">
        <v>108167362.59</v>
      </c>
      <c r="FD6" s="667"/>
      <c r="FE6" s="667">
        <v>107364336.34999999</v>
      </c>
      <c r="FF6" s="667"/>
      <c r="FG6" s="667">
        <v>107591990.07000001</v>
      </c>
      <c r="FH6" s="667"/>
      <c r="FI6" s="667">
        <v>21695943.629999999</v>
      </c>
      <c r="FJ6" s="667"/>
      <c r="FK6" s="667">
        <v>21083322.359999999</v>
      </c>
      <c r="FL6" s="667"/>
      <c r="FM6" s="667">
        <v>20483098.919999998</v>
      </c>
      <c r="FN6" s="667"/>
      <c r="FO6" s="667">
        <v>19722655.599999998</v>
      </c>
      <c r="FP6" s="667"/>
      <c r="FQ6" s="667">
        <v>20098976.850000001</v>
      </c>
      <c r="FR6" s="667"/>
      <c r="FS6" s="667">
        <v>19022545.5</v>
      </c>
      <c r="FT6" s="667"/>
      <c r="FU6" s="667">
        <v>19363081.120000001</v>
      </c>
      <c r="FV6" s="667"/>
      <c r="FW6" s="667">
        <v>19345917.5</v>
      </c>
      <c r="FY6" s="667">
        <v>19284253.190000001</v>
      </c>
      <c r="FZ6" s="668"/>
      <c r="GA6" s="667">
        <v>19206556.449999999</v>
      </c>
      <c r="GB6" s="667"/>
      <c r="GC6" s="667">
        <v>18915538.449999999</v>
      </c>
      <c r="GD6" s="341"/>
      <c r="GE6" s="345"/>
      <c r="GF6" s="345"/>
      <c r="GG6" s="345"/>
      <c r="GH6" s="341"/>
      <c r="GI6" s="341"/>
      <c r="GJ6" s="341"/>
      <c r="GK6" s="341"/>
      <c r="GL6" s="341"/>
    </row>
    <row r="7" spans="1:194" ht="14.25" customHeight="1">
      <c r="A7" s="222"/>
      <c r="B7" s="334"/>
      <c r="F7" s="222" t="s">
        <v>494</v>
      </c>
      <c r="G7" s="346">
        <f>+G5/G6</f>
        <v>1.8936383972669648</v>
      </c>
      <c r="H7" s="222"/>
      <c r="I7" s="346">
        <f>+I5/I6</f>
        <v>2.6007887226640647</v>
      </c>
      <c r="J7" s="222"/>
      <c r="K7" s="346">
        <f>+K5/K6</f>
        <v>1.745840112201128</v>
      </c>
      <c r="L7" s="222"/>
      <c r="M7" s="346">
        <f>+M5/M6</f>
        <v>1.7944724013253199</v>
      </c>
      <c r="N7" s="222"/>
      <c r="O7" s="346">
        <f>+O5/O6</f>
        <v>1.9432415143020776</v>
      </c>
      <c r="P7" s="222"/>
      <c r="Q7" s="346">
        <f>+Q5/Q6</f>
        <v>2.0001195468815056</v>
      </c>
      <c r="R7" s="222"/>
      <c r="S7" s="346">
        <v>1.8296106319077139</v>
      </c>
      <c r="T7" s="222"/>
      <c r="U7" s="346">
        <v>1.8416474531361235</v>
      </c>
      <c r="V7" s="222"/>
      <c r="W7" s="346">
        <v>1.8685368446861754</v>
      </c>
      <c r="X7" s="222"/>
      <c r="Y7" s="346">
        <f>+Y5/Y6</f>
        <v>2.7045787150110119</v>
      </c>
      <c r="Z7" s="222"/>
      <c r="AA7" s="346">
        <f>+AA5/AA6</f>
        <v>2.8669700426619626</v>
      </c>
      <c r="AB7" s="222"/>
      <c r="AC7" s="346">
        <v>2.5090028970249398</v>
      </c>
      <c r="AD7" s="222"/>
      <c r="AE7" s="346">
        <v>2.5281426230593427</v>
      </c>
      <c r="AF7" s="222"/>
      <c r="AG7" s="346">
        <v>2.6138016579458809</v>
      </c>
      <c r="AH7" s="222"/>
      <c r="AI7" s="346">
        <v>2.6314712606413506</v>
      </c>
      <c r="AJ7" s="222"/>
      <c r="AK7" s="346">
        <v>2.4310273929947108</v>
      </c>
      <c r="AL7" s="222"/>
      <c r="AM7" s="346">
        <v>2.5040954018634127</v>
      </c>
      <c r="AN7" s="222"/>
      <c r="AO7" s="346">
        <v>2.2681236105275402</v>
      </c>
      <c r="AP7" s="222"/>
      <c r="AQ7" s="346">
        <v>2.2836488326132338</v>
      </c>
      <c r="AR7" s="222"/>
      <c r="AS7" s="346">
        <v>2.1964168942857176</v>
      </c>
      <c r="AT7" s="808" t="str">
        <f>IF(AS7-AU7=0,"Investigate","Fine")</f>
        <v>Fine</v>
      </c>
      <c r="AU7" s="346">
        <v>1.9868539816942439</v>
      </c>
      <c r="AV7" s="808" t="str">
        <f>IF(AU7-AW7=0,"Investigate","Fine")</f>
        <v>Fine</v>
      </c>
      <c r="AW7" s="346">
        <f>+AW5/AW6</f>
        <v>1.7341122535653812</v>
      </c>
      <c r="AX7" s="808" t="str">
        <f>IF(AW7-AY7=0,"Investigate","Fine")</f>
        <v>Investigate</v>
      </c>
      <c r="AY7" s="346">
        <v>1.7341122535653812</v>
      </c>
      <c r="AZ7" s="808" t="str">
        <f>IF(AY7-BA7=0,"Investigate","Fine")</f>
        <v>Fine</v>
      </c>
      <c r="BA7" s="346">
        <v>1.6989973475195546</v>
      </c>
      <c r="BB7" s="808" t="str">
        <f>IF(BA7-BC7=0,"Investigate","Fine")</f>
        <v>Fine</v>
      </c>
      <c r="BC7" s="346">
        <v>1.7372694043247554</v>
      </c>
      <c r="BD7" s="808" t="str">
        <f>IF(BC7-BE7=0,"Investigate","Fine")</f>
        <v>Fine</v>
      </c>
      <c r="BE7" s="346">
        <v>1.4811997454130943</v>
      </c>
      <c r="BF7" s="808" t="str">
        <f>IF(BE7-BG7=0,"Investigate","Fine")</f>
        <v>Fine</v>
      </c>
      <c r="BG7" s="346">
        <v>1.4442727281820926</v>
      </c>
      <c r="BH7" s="808" t="str">
        <f>IF(BG7-BI7=0,"Investigate","Fine")</f>
        <v>Fine</v>
      </c>
      <c r="BI7" s="346">
        <v>1.2793991619882601</v>
      </c>
      <c r="BJ7" s="808" t="str">
        <f>IF(BI7-BK7=0,"Investigate","Fine")</f>
        <v>Fine</v>
      </c>
      <c r="BK7" s="346">
        <v>1.0379623096760282</v>
      </c>
      <c r="BL7" s="808" t="str">
        <f>IF(BK7-BM7=0,"Investigate","Fine")</f>
        <v>Fine</v>
      </c>
      <c r="BM7" s="346">
        <v>1.0021244544690895</v>
      </c>
      <c r="BN7" s="222"/>
      <c r="BO7" s="346">
        <v>0.96766802288495035</v>
      </c>
      <c r="BP7" s="222"/>
      <c r="BQ7" s="346">
        <v>0.98387819706704971</v>
      </c>
      <c r="BR7" s="222"/>
      <c r="BS7" s="346">
        <v>0.94397679705553572</v>
      </c>
      <c r="BT7" s="222"/>
      <c r="BU7" s="346">
        <f>+BU5/BU6</f>
        <v>0.27148382092349416</v>
      </c>
      <c r="BV7" s="222"/>
      <c r="BW7" s="346">
        <v>0.8241857206076062</v>
      </c>
      <c r="BX7" s="222"/>
      <c r="BY7" s="346">
        <f>+BY5/BY6</f>
        <v>0.883366009678627</v>
      </c>
      <c r="BZ7" s="222"/>
      <c r="CA7" s="346">
        <v>3.1606897333237733</v>
      </c>
      <c r="CB7" s="222"/>
      <c r="CC7" s="346">
        <v>3.1257056905771119</v>
      </c>
      <c r="CD7" s="222"/>
      <c r="CE7" s="346">
        <v>2.5457517875272808</v>
      </c>
      <c r="CF7" s="222"/>
      <c r="CG7" s="346">
        <f>+CG5/CG6</f>
        <v>2.5497521342086964</v>
      </c>
      <c r="CH7" s="222"/>
      <c r="CI7" s="346">
        <v>2.7040541329191727</v>
      </c>
      <c r="CJ7" s="222"/>
      <c r="CK7" s="346">
        <v>2.7890768633831287</v>
      </c>
      <c r="CL7" s="222"/>
      <c r="CM7" s="346">
        <f>+CM5/CM6</f>
        <v>2.3002029273444093</v>
      </c>
      <c r="CN7" s="222"/>
      <c r="CO7" s="346">
        <f>+CO5/CO6</f>
        <v>2.3371784867274066</v>
      </c>
      <c r="CQ7" s="346">
        <f>+CQ5/CQ6</f>
        <v>2.2913506418499092</v>
      </c>
      <c r="CS7" s="346">
        <f>+CS5/CS6</f>
        <v>2.4381492425416069</v>
      </c>
      <c r="CU7" s="346">
        <f>+CU5/CU6</f>
        <v>4.9033780184278317</v>
      </c>
      <c r="CW7" s="346">
        <f>+CW5/CW6</f>
        <v>2.7504952684281134</v>
      </c>
      <c r="CY7" s="347">
        <f>+CY5/CY6</f>
        <v>3.6455528572845952</v>
      </c>
      <c r="DA7" s="347">
        <f>+DA5/DA6</f>
        <v>3.8150173823258813</v>
      </c>
      <c r="DC7" s="347">
        <f>+DC5/DC6</f>
        <v>3.7268514608749315</v>
      </c>
      <c r="DD7" s="157"/>
      <c r="DE7" s="347">
        <f>+DE5/DE6</f>
        <v>2.9301693224247054</v>
      </c>
      <c r="DF7" s="157"/>
      <c r="DG7" s="347">
        <f>+DG5/DG6</f>
        <v>2.9390360668076889</v>
      </c>
      <c r="DH7" s="157"/>
      <c r="DI7" s="347">
        <f>+DI5/DI6</f>
        <v>2.6316037620530923</v>
      </c>
      <c r="DJ7" s="157"/>
      <c r="DK7" s="669">
        <f>+DK5/DK6</f>
        <v>2.3511855212117112</v>
      </c>
      <c r="DL7" s="659"/>
      <c r="DM7" s="669">
        <f>+DM5/DM6</f>
        <v>2.0074974785479296</v>
      </c>
      <c r="DN7" s="659"/>
      <c r="DO7" s="669">
        <f>+DO5/DO6</f>
        <v>2.065926212713574</v>
      </c>
      <c r="DP7" s="659"/>
      <c r="DQ7" s="669">
        <f>+DQ5/DQ6</f>
        <v>1.9105539074115736</v>
      </c>
      <c r="DR7" s="659"/>
      <c r="DS7" s="669">
        <v>1.9090385572197379</v>
      </c>
      <c r="DT7" s="659"/>
      <c r="DU7" s="669">
        <v>1.6016663382067091</v>
      </c>
      <c r="DV7" s="659"/>
      <c r="DW7" s="669">
        <v>1.6143463308707764</v>
      </c>
      <c r="DX7" s="659"/>
      <c r="DY7" s="669">
        <v>1.7860436188949269</v>
      </c>
      <c r="DZ7" s="659"/>
      <c r="EA7" s="669">
        <v>2.0274046495611744</v>
      </c>
      <c r="EB7" s="659"/>
      <c r="EC7" s="669">
        <v>2.1741160050812449</v>
      </c>
      <c r="ED7" s="659"/>
      <c r="EE7" s="669">
        <v>1.6997706169667166</v>
      </c>
      <c r="EF7" s="659"/>
      <c r="EG7" s="670">
        <v>1.6989915432794886</v>
      </c>
      <c r="EI7" s="670">
        <v>1.7092525315206737</v>
      </c>
      <c r="EK7" s="670">
        <v>1.6661750596624976</v>
      </c>
      <c r="EM7" s="670">
        <v>1.6077039852763164</v>
      </c>
      <c r="EO7" s="670">
        <v>1.6072751765450604</v>
      </c>
      <c r="EQ7" s="670">
        <v>1.6052297741080619</v>
      </c>
      <c r="ES7" s="670">
        <v>1.5798604539364471</v>
      </c>
      <c r="EU7" s="670">
        <v>1.5747065393523396</v>
      </c>
      <c r="EV7" s="670"/>
      <c r="EW7" s="670">
        <v>1.2567002742590838</v>
      </c>
      <c r="EX7" s="670"/>
      <c r="EY7" s="670">
        <v>0.83547563673429448</v>
      </c>
      <c r="EZ7" s="670"/>
      <c r="FA7" s="670">
        <v>0.63503317467838161</v>
      </c>
      <c r="FB7" s="670"/>
      <c r="FC7" s="670">
        <v>0.61180847536092264</v>
      </c>
      <c r="FD7" s="670"/>
      <c r="FE7" s="670">
        <v>0.64285610852192454</v>
      </c>
      <c r="FF7" s="670"/>
      <c r="FG7" s="670">
        <v>0.67247885928056983</v>
      </c>
      <c r="FH7" s="670"/>
      <c r="FI7" s="670">
        <v>3.1724381153363099</v>
      </c>
      <c r="FJ7" s="670"/>
      <c r="FK7" s="670">
        <v>3.2320074254179358</v>
      </c>
      <c r="FL7" s="670"/>
      <c r="FM7" s="670">
        <v>3.2882211008723679</v>
      </c>
      <c r="FN7" s="670"/>
      <c r="FO7" s="670">
        <v>2.8970260024212964</v>
      </c>
      <c r="FP7" s="670"/>
      <c r="FQ7" s="670">
        <v>2.823641884039485</v>
      </c>
      <c r="FR7" s="670"/>
      <c r="FS7" s="670">
        <v>3.2564520726208799</v>
      </c>
      <c r="FT7" s="670"/>
      <c r="FU7" s="670">
        <v>2.4065360053607003</v>
      </c>
      <c r="FV7" s="670"/>
      <c r="FW7" s="670">
        <v>2.4894321636593357</v>
      </c>
      <c r="FX7" s="670"/>
      <c r="FY7" s="670">
        <v>1.4085935344432179</v>
      </c>
      <c r="FZ7" s="671"/>
      <c r="GA7" s="670">
        <v>1.1858450846872137</v>
      </c>
      <c r="GB7" s="672"/>
      <c r="GC7" s="670">
        <v>1.0404162732147868</v>
      </c>
      <c r="GE7" s="335"/>
      <c r="GF7" s="348" t="s">
        <v>495</v>
      </c>
      <c r="GG7" s="335"/>
      <c r="GJ7" s="348" t="s">
        <v>495</v>
      </c>
    </row>
    <row r="8" spans="1:194" ht="14.25" customHeight="1">
      <c r="A8" s="222"/>
      <c r="B8" s="334"/>
      <c r="F8" s="222"/>
      <c r="H8" s="222"/>
      <c r="J8" s="222"/>
      <c r="L8" s="222"/>
      <c r="N8" s="222"/>
      <c r="P8" s="222"/>
      <c r="R8" s="222"/>
      <c r="T8" s="222"/>
      <c r="V8" s="222"/>
      <c r="X8" s="222"/>
      <c r="Z8" s="222"/>
      <c r="AB8" s="222"/>
      <c r="AD8" s="222"/>
      <c r="AF8" s="222"/>
      <c r="AH8" s="222"/>
      <c r="AJ8" s="222"/>
      <c r="AL8" s="222"/>
      <c r="AN8" s="222"/>
      <c r="AP8" s="222"/>
      <c r="AR8" s="222"/>
      <c r="AT8" s="807"/>
      <c r="AV8" s="807"/>
      <c r="AX8" s="807"/>
      <c r="AZ8" s="807"/>
      <c r="BB8" s="807"/>
      <c r="BD8" s="807"/>
      <c r="BF8" s="807"/>
      <c r="BH8" s="807"/>
      <c r="BJ8" s="807"/>
      <c r="BL8" s="807"/>
      <c r="BN8" s="222"/>
      <c r="BP8" s="222"/>
      <c r="BR8" s="222"/>
      <c r="BT8" s="222"/>
      <c r="BV8" s="222"/>
      <c r="BX8" s="222"/>
      <c r="BZ8" s="222"/>
      <c r="CB8" s="222"/>
      <c r="CD8" s="222"/>
      <c r="CF8" s="222"/>
      <c r="CH8" s="222"/>
      <c r="CJ8" s="222"/>
      <c r="CL8" s="222"/>
      <c r="CN8" s="222"/>
      <c r="CY8" s="347"/>
      <c r="DA8" s="347"/>
      <c r="DC8" s="347"/>
      <c r="DD8" s="157"/>
      <c r="DE8" s="347"/>
      <c r="DF8" s="157"/>
      <c r="DG8" s="347"/>
      <c r="DH8" s="157"/>
      <c r="DI8" s="347"/>
      <c r="DJ8" s="157"/>
      <c r="DK8" s="669"/>
      <c r="DL8" s="659"/>
      <c r="DM8" s="669"/>
      <c r="DN8" s="659"/>
      <c r="DO8" s="669"/>
      <c r="DP8" s="659"/>
      <c r="DQ8" s="669"/>
      <c r="DR8" s="659"/>
      <c r="DS8" s="669"/>
      <c r="DT8" s="659"/>
      <c r="DU8" s="669"/>
      <c r="DV8" s="659"/>
      <c r="DW8" s="669"/>
      <c r="DX8" s="659"/>
      <c r="DY8" s="669"/>
      <c r="DZ8" s="659"/>
      <c r="EA8" s="669"/>
      <c r="EB8" s="659"/>
      <c r="EC8" s="669"/>
      <c r="ED8" s="659"/>
      <c r="EE8" s="669"/>
      <c r="EF8" s="659"/>
      <c r="EG8" s="670"/>
      <c r="EI8" s="670"/>
      <c r="EK8" s="670"/>
      <c r="EM8" s="670"/>
      <c r="EO8" s="670"/>
      <c r="EQ8" s="670"/>
      <c r="ES8" s="670"/>
      <c r="EU8" s="670"/>
      <c r="EV8" s="670"/>
      <c r="EW8" s="670"/>
      <c r="EX8" s="670"/>
      <c r="EY8" s="670"/>
      <c r="EZ8" s="670"/>
      <c r="FA8" s="670"/>
      <c r="FB8" s="670"/>
      <c r="FC8" s="670"/>
      <c r="FD8" s="670"/>
      <c r="FE8" s="670"/>
      <c r="FF8" s="670"/>
      <c r="FG8" s="670"/>
      <c r="FH8" s="670"/>
      <c r="FI8" s="670"/>
      <c r="FJ8" s="670"/>
      <c r="FK8" s="670"/>
      <c r="FL8" s="670"/>
      <c r="FM8" s="670"/>
      <c r="FN8" s="670"/>
      <c r="FO8" s="670"/>
      <c r="FP8" s="670"/>
      <c r="FQ8" s="670"/>
      <c r="FR8" s="670"/>
      <c r="FS8" s="670"/>
      <c r="FT8" s="670"/>
      <c r="FU8" s="670"/>
      <c r="FV8" s="670"/>
      <c r="FW8" s="670"/>
      <c r="FY8" s="670"/>
      <c r="FZ8" s="671"/>
      <c r="GA8" s="670"/>
      <c r="GB8" s="672"/>
      <c r="GC8" s="670"/>
      <c r="GE8" s="335"/>
      <c r="GF8" s="335"/>
      <c r="GG8" s="335"/>
    </row>
    <row r="9" spans="1:194" ht="14.25" customHeight="1">
      <c r="A9" s="222"/>
      <c r="B9" s="337" t="s">
        <v>496</v>
      </c>
      <c r="C9" s="222" t="s">
        <v>497</v>
      </c>
      <c r="D9" s="222" t="s">
        <v>611</v>
      </c>
      <c r="CY9" s="338"/>
      <c r="DA9" s="338"/>
      <c r="DC9" s="338"/>
      <c r="DD9" s="157"/>
      <c r="DE9" s="338"/>
      <c r="DF9" s="157"/>
      <c r="DG9" s="338"/>
      <c r="DH9" s="157"/>
      <c r="DI9" s="338"/>
      <c r="DJ9" s="157"/>
      <c r="DK9" s="663"/>
      <c r="DL9" s="659"/>
      <c r="DM9" s="663"/>
      <c r="DN9" s="659"/>
      <c r="DO9" s="663"/>
      <c r="DP9" s="659"/>
      <c r="DQ9" s="663"/>
      <c r="DR9" s="659"/>
      <c r="DS9" s="663"/>
      <c r="DT9" s="659"/>
      <c r="DU9" s="663"/>
      <c r="DV9" s="659"/>
      <c r="DW9" s="663"/>
      <c r="DX9" s="659"/>
      <c r="DY9" s="663"/>
      <c r="DZ9" s="659"/>
      <c r="EA9" s="663"/>
      <c r="EB9" s="659"/>
      <c r="EC9" s="663"/>
      <c r="ED9" s="659"/>
      <c r="EE9" s="663"/>
      <c r="EF9" s="659"/>
      <c r="EG9" s="664"/>
      <c r="EI9" s="664"/>
      <c r="EK9" s="664"/>
      <c r="EM9" s="664"/>
      <c r="EO9" s="664"/>
      <c r="EQ9" s="664"/>
      <c r="ES9" s="664"/>
      <c r="EU9" s="664"/>
      <c r="EV9" s="664"/>
      <c r="EW9" s="664"/>
      <c r="EX9" s="664"/>
      <c r="EY9" s="664"/>
      <c r="EZ9" s="664"/>
      <c r="FA9" s="664"/>
      <c r="FB9" s="664"/>
      <c r="FC9" s="664"/>
      <c r="FD9" s="664"/>
      <c r="FE9" s="664"/>
      <c r="FF9" s="664"/>
      <c r="FG9" s="664"/>
      <c r="FH9" s="664"/>
      <c r="FI9" s="664"/>
      <c r="FJ9" s="664"/>
      <c r="FK9" s="664"/>
      <c r="FL9" s="664"/>
      <c r="FM9" s="664"/>
      <c r="FN9" s="664"/>
      <c r="FO9" s="664"/>
      <c r="FP9" s="664"/>
      <c r="FQ9" s="664"/>
      <c r="FR9" s="664"/>
      <c r="FS9" s="664"/>
      <c r="FT9" s="664"/>
      <c r="FU9" s="664"/>
      <c r="FV9" s="664"/>
      <c r="FW9" s="664"/>
      <c r="FY9" s="664"/>
      <c r="FZ9" s="664"/>
      <c r="GA9" s="664"/>
      <c r="GC9" s="665"/>
      <c r="GE9" s="335"/>
      <c r="GF9" s="335"/>
      <c r="GG9" s="335"/>
    </row>
    <row r="10" spans="1:194" ht="14.25" customHeight="1">
      <c r="A10" s="222"/>
      <c r="B10" s="334"/>
      <c r="CY10" s="338"/>
      <c r="DA10" s="338"/>
      <c r="DC10" s="338"/>
      <c r="DD10" s="157"/>
      <c r="DE10" s="338"/>
      <c r="DF10" s="157"/>
      <c r="DG10" s="338"/>
      <c r="DH10" s="157"/>
      <c r="DI10" s="338"/>
      <c r="DJ10" s="157"/>
      <c r="DK10" s="663"/>
      <c r="DL10" s="659"/>
      <c r="DM10" s="663"/>
      <c r="DN10" s="659"/>
      <c r="DO10" s="663"/>
      <c r="DP10" s="659"/>
      <c r="DQ10" s="663"/>
      <c r="DR10" s="659"/>
      <c r="DS10" s="663"/>
      <c r="DT10" s="659"/>
      <c r="DU10" s="663"/>
      <c r="DV10" s="659"/>
      <c r="DW10" s="663"/>
      <c r="DX10" s="659"/>
      <c r="DY10" s="663"/>
      <c r="DZ10" s="659"/>
      <c r="EA10" s="663"/>
      <c r="EB10" s="659"/>
      <c r="EC10" s="663"/>
      <c r="ED10" s="659"/>
      <c r="EE10" s="663"/>
      <c r="EF10" s="659"/>
      <c r="EG10" s="664"/>
      <c r="EI10" s="664"/>
      <c r="EK10" s="664"/>
      <c r="EM10" s="664"/>
      <c r="EO10" s="664"/>
      <c r="EQ10" s="664"/>
      <c r="ES10" s="664"/>
      <c r="EU10" s="664"/>
      <c r="EV10" s="664"/>
      <c r="EW10" s="664"/>
      <c r="EX10" s="664"/>
      <c r="EY10" s="664"/>
      <c r="EZ10" s="664"/>
      <c r="FA10" s="664"/>
      <c r="FB10" s="664"/>
      <c r="FC10" s="664"/>
      <c r="FD10" s="664"/>
      <c r="FE10" s="664"/>
      <c r="FF10" s="664"/>
      <c r="FG10" s="664"/>
      <c r="FH10" s="664"/>
      <c r="FI10" s="664"/>
      <c r="FJ10" s="664"/>
      <c r="FK10" s="664"/>
      <c r="FL10" s="664"/>
      <c r="FM10" s="664"/>
      <c r="FN10" s="664"/>
      <c r="FO10" s="664"/>
      <c r="FP10" s="664"/>
      <c r="FQ10" s="664"/>
      <c r="FR10" s="664"/>
      <c r="FS10" s="664"/>
      <c r="FT10" s="664"/>
      <c r="FU10" s="664"/>
      <c r="FV10" s="664"/>
      <c r="FW10" s="664"/>
      <c r="FY10" s="664"/>
      <c r="FZ10" s="664"/>
      <c r="GA10" s="664"/>
      <c r="GC10" s="665"/>
      <c r="GE10" s="335"/>
      <c r="GF10" s="335"/>
      <c r="GG10" s="335"/>
    </row>
    <row r="11" spans="1:194" ht="14.25" customHeight="1">
      <c r="A11" s="222"/>
      <c r="B11" s="340"/>
      <c r="C11" s="341"/>
      <c r="D11" s="341"/>
      <c r="E11" s="341" t="s">
        <v>232</v>
      </c>
      <c r="F11" s="341"/>
      <c r="G11" s="342">
        <f>+G6</f>
        <v>805226197.70000005</v>
      </c>
      <c r="H11" s="341"/>
      <c r="I11" s="342">
        <f>+I6</f>
        <v>557381569.10150695</v>
      </c>
      <c r="J11" s="341"/>
      <c r="K11" s="342">
        <f>+K6</f>
        <v>800448443.55083036</v>
      </c>
      <c r="L11" s="341"/>
      <c r="M11" s="342">
        <f>+M6</f>
        <v>798559795.18083036</v>
      </c>
      <c r="N11" s="341"/>
      <c r="O11" s="342">
        <f>+O6</f>
        <v>804190230.38999999</v>
      </c>
      <c r="P11" s="341"/>
      <c r="Q11" s="342">
        <f>+Q6</f>
        <v>800641531.87083042</v>
      </c>
      <c r="R11" s="341"/>
      <c r="S11" s="342">
        <v>881685771.9000001</v>
      </c>
      <c r="T11" s="341"/>
      <c r="U11" s="342">
        <v>879810443.78000009</v>
      </c>
      <c r="V11" s="341"/>
      <c r="W11" s="342">
        <v>888569415.62683225</v>
      </c>
      <c r="X11" s="341"/>
      <c r="Y11" s="342">
        <f>+Y6</f>
        <v>554076880.5</v>
      </c>
      <c r="Z11" s="341"/>
      <c r="AA11" s="342">
        <f>+AA6</f>
        <v>560518584.10000002</v>
      </c>
      <c r="AB11" s="341"/>
      <c r="AC11" s="342">
        <v>633550828.04999995</v>
      </c>
      <c r="AD11" s="341"/>
      <c r="AE11" s="342">
        <v>637729313.19000006</v>
      </c>
      <c r="AF11" s="341"/>
      <c r="AG11" s="342">
        <v>638340523.90999997</v>
      </c>
      <c r="AH11" s="341"/>
      <c r="AI11" s="342">
        <v>638936637.18000007</v>
      </c>
      <c r="AJ11" s="341"/>
      <c r="AK11" s="342">
        <v>641882567.62</v>
      </c>
      <c r="AL11" s="341"/>
      <c r="AM11" s="342">
        <v>642276932.21000004</v>
      </c>
      <c r="AN11" s="341"/>
      <c r="AO11" s="342">
        <v>641436337</v>
      </c>
      <c r="AP11" s="341"/>
      <c r="AQ11" s="342">
        <v>639583918.85000002</v>
      </c>
      <c r="AR11" s="341"/>
      <c r="AS11" s="342">
        <v>641468069.67999995</v>
      </c>
      <c r="AU11" s="342">
        <v>642507688.91000009</v>
      </c>
      <c r="AW11" s="342">
        <f>+AW6</f>
        <v>637381142.38999999</v>
      </c>
      <c r="AY11" s="342">
        <v>637381142.38999999</v>
      </c>
      <c r="BA11" s="342">
        <v>636490030.63999999</v>
      </c>
      <c r="BC11" s="342">
        <v>633448024.21000004</v>
      </c>
      <c r="BE11" s="342">
        <v>629403132.83000004</v>
      </c>
      <c r="BG11" s="342">
        <v>628339096.33000004</v>
      </c>
      <c r="BI11" s="342">
        <v>627344290.20000005</v>
      </c>
      <c r="BK11" s="342">
        <v>626724299.25999999</v>
      </c>
      <c r="BM11" s="342">
        <v>626798742.63</v>
      </c>
      <c r="BN11" s="341"/>
      <c r="BO11" s="342">
        <v>625152772.38</v>
      </c>
      <c r="BP11" s="341"/>
      <c r="BQ11" s="342">
        <v>622907473.91999996</v>
      </c>
      <c r="BR11" s="341"/>
      <c r="BS11" s="342">
        <v>620029783.80999994</v>
      </c>
      <c r="BT11" s="341"/>
      <c r="BU11" s="342">
        <f>+BU6</f>
        <v>618949702.19000006</v>
      </c>
      <c r="BV11" s="341"/>
      <c r="BW11" s="342">
        <v>618310883.98899996</v>
      </c>
      <c r="BX11" s="341"/>
      <c r="BY11" s="342">
        <f>+BY6</f>
        <v>628212132.21899998</v>
      </c>
      <c r="BZ11" s="341"/>
      <c r="CA11" s="342">
        <v>198678328.61899996</v>
      </c>
      <c r="CB11" s="341"/>
      <c r="CC11" s="342">
        <v>198813802.28899997</v>
      </c>
      <c r="CD11" s="341"/>
      <c r="CE11" s="342">
        <v>205991898.609</v>
      </c>
      <c r="CF11" s="341"/>
      <c r="CG11" s="342">
        <f>+CG6</f>
        <v>205350008.89899999</v>
      </c>
      <c r="CH11" s="341"/>
      <c r="CI11" s="342">
        <v>202365370.11899999</v>
      </c>
      <c r="CJ11" s="341"/>
      <c r="CK11" s="342">
        <v>199189447.639</v>
      </c>
      <c r="CL11" s="341"/>
      <c r="CM11" s="342">
        <f>+CM6</f>
        <v>197814195.109</v>
      </c>
      <c r="CN11" s="341"/>
      <c r="CO11" s="342">
        <f>+CO6</f>
        <v>194673846.68899998</v>
      </c>
      <c r="CP11" s="341"/>
      <c r="CQ11" s="342">
        <f>+CQ6</f>
        <v>195645764.49900001</v>
      </c>
      <c r="CR11" s="341"/>
      <c r="CS11" s="342">
        <f>+CS6</f>
        <v>188425403.89000002</v>
      </c>
      <c r="CT11" s="341"/>
      <c r="CU11" s="342">
        <f>+CU6</f>
        <v>102934429.29000001</v>
      </c>
      <c r="CV11" s="341"/>
      <c r="CW11" s="342">
        <f>+CW6</f>
        <v>152715907.59</v>
      </c>
      <c r="CX11" s="341"/>
      <c r="CY11" s="343">
        <f>+CY6</f>
        <v>107602697.31</v>
      </c>
      <c r="CZ11" s="341"/>
      <c r="DA11" s="343">
        <f>+DA6</f>
        <v>106553858.94</v>
      </c>
      <c r="DB11" s="341"/>
      <c r="DC11" s="343">
        <f>+DC6</f>
        <v>107557026.02</v>
      </c>
      <c r="DD11" s="344"/>
      <c r="DE11" s="343">
        <f>+DE6</f>
        <v>108154578.64999999</v>
      </c>
      <c r="DF11" s="344"/>
      <c r="DG11" s="343">
        <f>+DG6</f>
        <v>107924511.19</v>
      </c>
      <c r="DH11" s="344"/>
      <c r="DI11" s="343">
        <f>+DI6</f>
        <v>107796951.84</v>
      </c>
      <c r="DJ11" s="344"/>
      <c r="DK11" s="666">
        <f>+DK6</f>
        <v>106680830.55</v>
      </c>
      <c r="DL11" s="659"/>
      <c r="DM11" s="666">
        <f>+DM6</f>
        <v>106202573.95999999</v>
      </c>
      <c r="DN11" s="659"/>
      <c r="DO11" s="666">
        <f>+DO6</f>
        <v>105361632.56</v>
      </c>
      <c r="DP11" s="659"/>
      <c r="DQ11" s="666">
        <f>+DQ6</f>
        <v>104107446.28999999</v>
      </c>
      <c r="DR11" s="659"/>
      <c r="DS11" s="666">
        <v>103694409.42999999</v>
      </c>
      <c r="DT11" s="659"/>
      <c r="DU11" s="666">
        <v>103836502.88</v>
      </c>
      <c r="DV11" s="659"/>
      <c r="DW11" s="666">
        <v>102927624.31</v>
      </c>
      <c r="DX11" s="659"/>
      <c r="DY11" s="666">
        <v>102193067.19</v>
      </c>
      <c r="DZ11" s="659"/>
      <c r="EA11" s="666">
        <v>101563930.7</v>
      </c>
      <c r="EB11" s="659"/>
      <c r="EC11" s="666">
        <v>100674814.53999999</v>
      </c>
      <c r="ED11" s="659"/>
      <c r="EE11" s="666">
        <v>100122357.12</v>
      </c>
      <c r="EF11" s="659"/>
      <c r="EG11" s="666">
        <v>99185937.25</v>
      </c>
      <c r="EI11" s="666">
        <v>99364897.590000004</v>
      </c>
      <c r="EK11" s="666">
        <v>100729579.20999999</v>
      </c>
      <c r="EM11" s="666">
        <v>102546494.78999999</v>
      </c>
      <c r="EO11" s="666">
        <v>104367161.03</v>
      </c>
      <c r="EQ11" s="666">
        <v>106476544.97</v>
      </c>
      <c r="ES11" s="666">
        <v>108456971.22999999</v>
      </c>
      <c r="EU11" s="667">
        <v>107830844.61999999</v>
      </c>
      <c r="EV11" s="667"/>
      <c r="EW11" s="667">
        <v>108178892.67999999</v>
      </c>
      <c r="EX11" s="667"/>
      <c r="EY11" s="667">
        <v>108779599.05</v>
      </c>
      <c r="EZ11" s="667"/>
      <c r="FA11" s="667">
        <v>108267676.59</v>
      </c>
      <c r="FB11" s="667"/>
      <c r="FC11" s="667">
        <v>108167362.59</v>
      </c>
      <c r="FD11" s="667"/>
      <c r="FE11" s="667">
        <v>107364336.34999999</v>
      </c>
      <c r="FF11" s="667"/>
      <c r="FG11" s="667">
        <v>107591990.07000001</v>
      </c>
      <c r="FH11" s="667"/>
      <c r="FI11" s="667">
        <v>21695943.629999999</v>
      </c>
      <c r="FJ11" s="667"/>
      <c r="FK11" s="667">
        <v>21083322.359999999</v>
      </c>
      <c r="FL11" s="667"/>
      <c r="FM11" s="667">
        <v>20483098.919999998</v>
      </c>
      <c r="FN11" s="667"/>
      <c r="FO11" s="667">
        <v>19722655.599999998</v>
      </c>
      <c r="FP11" s="667"/>
      <c r="FQ11" s="667">
        <v>20098976.850000001</v>
      </c>
      <c r="FR11" s="667"/>
      <c r="FS11" s="667">
        <v>19022545.5</v>
      </c>
      <c r="FT11" s="667"/>
      <c r="FU11" s="667">
        <v>19363081.120000001</v>
      </c>
      <c r="FV11" s="667"/>
      <c r="FW11" s="667">
        <v>19345917.5</v>
      </c>
      <c r="FY11" s="667">
        <v>19284253.190000001</v>
      </c>
      <c r="FZ11" s="668"/>
      <c r="GA11" s="667">
        <v>19206556.449999999</v>
      </c>
      <c r="GB11" s="667"/>
      <c r="GC11" s="667">
        <v>18915538.449999999</v>
      </c>
      <c r="GE11" s="335"/>
      <c r="GF11" s="335"/>
      <c r="GG11" s="335"/>
    </row>
    <row r="12" spans="1:194" ht="14.25" customHeight="1">
      <c r="A12" s="222"/>
      <c r="B12" s="340"/>
      <c r="C12" s="341"/>
      <c r="D12" s="341"/>
      <c r="E12" s="341" t="s">
        <v>208</v>
      </c>
      <c r="F12" s="341"/>
      <c r="G12" s="342">
        <f>+'Balance Sheet - Dec25'!C7</f>
        <v>2072126268.1900003</v>
      </c>
      <c r="H12" s="341"/>
      <c r="I12" s="342">
        <f>+'Balance Sheet - Dec25'!E7</f>
        <v>1991453678.1500001</v>
      </c>
      <c r="J12" s="341"/>
      <c r="K12" s="342">
        <f>+'Balance Sheet - Dec25'!G7</f>
        <v>1947740916.8000002</v>
      </c>
      <c r="L12" s="341"/>
      <c r="M12" s="342">
        <f>+'Balance Sheet - Dec25'!I7</f>
        <v>1981390780.6100001</v>
      </c>
      <c r="N12" s="341"/>
      <c r="O12" s="342">
        <f>+'Balance Sheet - Dec25'!K7</f>
        <v>2109018895.7700002</v>
      </c>
      <c r="P12" s="341"/>
      <c r="Q12" s="342">
        <f>+'Balance Sheet - Dec25'!M7</f>
        <v>2151857782.3299999</v>
      </c>
      <c r="R12" s="341"/>
      <c r="S12" s="342">
        <v>2225455247.4499993</v>
      </c>
      <c r="T12" s="341"/>
      <c r="U12" s="342">
        <v>2230277477.3899994</v>
      </c>
      <c r="V12" s="341"/>
      <c r="W12" s="342">
        <v>2268360106.3800001</v>
      </c>
      <c r="X12" s="341"/>
      <c r="Y12" s="342">
        <f>+'Balance Sheet - Dec25'!U7</f>
        <v>2052621418.4100003</v>
      </c>
      <c r="Z12" s="341"/>
      <c r="AA12" s="342">
        <f>+'Balance Sheet - Dec25'!W7</f>
        <v>2167508572.8299999</v>
      </c>
      <c r="AB12" s="341"/>
      <c r="AC12" s="342">
        <v>2223131690.8600001</v>
      </c>
      <c r="AD12" s="341"/>
      <c r="AE12" s="342">
        <v>2249999971.4799995</v>
      </c>
      <c r="AF12" s="341"/>
      <c r="AG12" s="342">
        <v>2306836043.5399995</v>
      </c>
      <c r="AH12" s="341"/>
      <c r="AI12" s="342">
        <v>2320280035.29</v>
      </c>
      <c r="AJ12" s="341"/>
      <c r="AK12" s="342">
        <v>2202316672.5899997</v>
      </c>
      <c r="AL12" s="341"/>
      <c r="AM12" s="342">
        <v>2250599644.8799996</v>
      </c>
      <c r="AN12" s="341"/>
      <c r="AO12" s="342">
        <v>2096293237.5999999</v>
      </c>
      <c r="AP12" s="341"/>
      <c r="AQ12" s="342">
        <v>2100168988.4899995</v>
      </c>
      <c r="AR12" s="341"/>
      <c r="AS12" s="342">
        <v>2050399375.0699999</v>
      </c>
      <c r="AU12" s="342">
        <v>1919076648.8899996</v>
      </c>
      <c r="AW12" s="342">
        <v>1742671591.5999999</v>
      </c>
      <c r="AY12" s="342">
        <v>1742671591.5999999</v>
      </c>
      <c r="BA12" s="342">
        <v>1717884904.6500001</v>
      </c>
      <c r="BC12" s="342">
        <v>1733917895.8999996</v>
      </c>
      <c r="BE12" s="342">
        <v>1561674892.9399998</v>
      </c>
      <c r="BG12" s="342">
        <v>1535832117.6299996</v>
      </c>
      <c r="BI12" s="342">
        <v>1429968049.5899997</v>
      </c>
      <c r="BK12" s="342">
        <v>1277240500.4499998</v>
      </c>
      <c r="BM12" s="342">
        <v>1254929090.7</v>
      </c>
      <c r="BN12" s="341"/>
      <c r="BO12" s="342">
        <v>1230093120.4799998</v>
      </c>
      <c r="BP12" s="341"/>
      <c r="BQ12" s="342">
        <v>1235772556.4299998</v>
      </c>
      <c r="BR12" s="341"/>
      <c r="BS12" s="342">
        <v>1205323513.1199999</v>
      </c>
      <c r="BT12" s="341"/>
      <c r="BU12" s="342">
        <f>+'Balance Sheet - Dec25'!BQ7</f>
        <v>554687925.25999999</v>
      </c>
      <c r="BV12" s="341"/>
      <c r="BW12" s="342">
        <v>1127913885.23</v>
      </c>
      <c r="BX12" s="341"/>
      <c r="BY12" s="342">
        <f>+'Balance Sheet - Dec25'!BU7</f>
        <v>1183153376.28</v>
      </c>
      <c r="BZ12" s="341"/>
      <c r="CA12" s="342">
        <v>826638881.8900001</v>
      </c>
      <c r="CB12" s="341"/>
      <c r="CC12" s="342">
        <v>820247235.07000005</v>
      </c>
      <c r="CD12" s="341"/>
      <c r="CE12" s="342">
        <v>730396142.29000008</v>
      </c>
      <c r="CF12" s="341"/>
      <c r="CG12" s="342">
        <f>+'Balance Sheet - Dec25'!CC7</f>
        <v>728941632.11000001</v>
      </c>
      <c r="CH12" s="341"/>
      <c r="CI12" s="342">
        <v>749572285.17999983</v>
      </c>
      <c r="CJ12" s="341"/>
      <c r="CK12" s="342">
        <v>754744127.38999987</v>
      </c>
      <c r="CL12" s="341"/>
      <c r="CM12" s="342">
        <f>+'Balance Sheet - Dec25'!CI7</f>
        <v>652826985.93999982</v>
      </c>
      <c r="CN12" s="341"/>
      <c r="CO12" s="342">
        <f>+'Balance Sheet - Dec25'!CK7</f>
        <v>649661373.08999979</v>
      </c>
      <c r="CP12" s="341"/>
      <c r="CQ12" s="342">
        <f>+'Balance Sheet - Dec25'!CM7</f>
        <v>643938812.63999999</v>
      </c>
      <c r="CR12" s="341"/>
      <c r="CS12" s="342">
        <f>+'Balance Sheet - Dec25'!CO7</f>
        <v>647834660.06999993</v>
      </c>
      <c r="CT12" s="341"/>
      <c r="CU12" s="342">
        <f>+'Balance Sheet - Dec25'!CQ7</f>
        <v>607660847.62000012</v>
      </c>
      <c r="CV12" s="341"/>
      <c r="CW12" s="342">
        <f>+'Balance Sheet - Dec25'!CS7</f>
        <v>572760289.10000002</v>
      </c>
      <c r="CX12" s="341"/>
      <c r="CY12" s="343">
        <f>+'Balance Sheet - Dec25'!CU7</f>
        <v>499874018.42999995</v>
      </c>
      <c r="CZ12" s="341"/>
      <c r="DA12" s="343">
        <f>+'Balance Sheet - Dec25'!CW7</f>
        <v>513058682.72999996</v>
      </c>
      <c r="DB12" s="341"/>
      <c r="DC12" s="343">
        <f>+'Balance Sheet - Dec25'!CY7</f>
        <v>508406085.56999993</v>
      </c>
      <c r="DD12" s="344"/>
      <c r="DE12" s="343">
        <f>+'Balance Sheet - Dec25'!DA7</f>
        <v>425065807.08999997</v>
      </c>
      <c r="DF12" s="344"/>
      <c r="DG12" s="343">
        <f>+'Balance Sheet - Dec25'!DC7</f>
        <v>425118541.87</v>
      </c>
      <c r="DH12" s="344"/>
      <c r="DI12" s="343">
        <f>+'Balance Sheet - Dec25'!DE7</f>
        <v>391475815.64999998</v>
      </c>
      <c r="DJ12" s="344"/>
      <c r="DK12" s="666">
        <f>+'Balance Sheet - Dec25'!DG7</f>
        <v>357507254.74000007</v>
      </c>
      <c r="DL12" s="659"/>
      <c r="DM12" s="666">
        <f>+'Balance Sheet - Dec25'!DI7</f>
        <v>319403973.40000004</v>
      </c>
      <c r="DN12" s="659"/>
      <c r="DO12" s="666">
        <f>+'Balance Sheet - Dec25'!DK7</f>
        <v>323030991.07999992</v>
      </c>
      <c r="DP12" s="659"/>
      <c r="DQ12" s="666">
        <f>+'Balance Sheet - Dec25'!DM7</f>
        <v>303010334.57000005</v>
      </c>
      <c r="DR12" s="659"/>
      <c r="DS12" s="666">
        <v>301651035.19999999</v>
      </c>
      <c r="DT12" s="659"/>
      <c r="DU12" s="666">
        <v>270147934.22000003</v>
      </c>
      <c r="DV12" s="659"/>
      <c r="DW12" s="666">
        <v>269088456.95999998</v>
      </c>
      <c r="DX12" s="659"/>
      <c r="DY12" s="666">
        <v>284714342.76000005</v>
      </c>
      <c r="DZ12" s="659"/>
      <c r="EA12" s="666">
        <v>307475116.01999998</v>
      </c>
      <c r="EB12" s="659"/>
      <c r="EC12" s="666">
        <v>319553540.14999992</v>
      </c>
      <c r="ED12" s="659"/>
      <c r="EE12" s="666">
        <v>270307397.86000001</v>
      </c>
      <c r="EF12" s="659"/>
      <c r="EG12" s="666">
        <v>267702006.10000002</v>
      </c>
      <c r="EI12" s="666">
        <v>269204600.50000006</v>
      </c>
      <c r="EK12" s="666">
        <v>268562691.57999998</v>
      </c>
      <c r="EM12" s="666">
        <v>267410903.13999996</v>
      </c>
      <c r="EO12" s="666">
        <v>272113908.20999998</v>
      </c>
      <c r="EQ12" s="666">
        <v>277395865.19</v>
      </c>
      <c r="ES12" s="666">
        <v>279803851.04000002</v>
      </c>
      <c r="EU12" s="667">
        <v>277632780.33999997</v>
      </c>
      <c r="EV12" s="667"/>
      <c r="EW12" s="667">
        <v>244127336.88999996</v>
      </c>
      <c r="EX12" s="667"/>
      <c r="EY12" s="667">
        <v>199662304.22</v>
      </c>
      <c r="EZ12" s="667"/>
      <c r="FA12" s="667">
        <v>177021242.72999999</v>
      </c>
      <c r="FB12" s="667"/>
      <c r="FC12" s="667">
        <v>174345072.27000001</v>
      </c>
      <c r="FD12" s="667"/>
      <c r="FE12" s="667">
        <v>176384156.18000001</v>
      </c>
      <c r="FF12" s="667"/>
      <c r="FG12" s="667">
        <v>179945328.55000001</v>
      </c>
      <c r="FH12" s="667"/>
      <c r="FI12" s="667">
        <v>90524982.600000009</v>
      </c>
      <c r="FJ12" s="667"/>
      <c r="FK12" s="667">
        <v>89224776.390000015</v>
      </c>
      <c r="FL12" s="667"/>
      <c r="FM12" s="667">
        <v>87836056.950000003</v>
      </c>
      <c r="FN12" s="667"/>
      <c r="FO12" s="667">
        <v>76859701.910000026</v>
      </c>
      <c r="FP12" s="667"/>
      <c r="FQ12" s="667">
        <v>76851290.109999999</v>
      </c>
      <c r="FR12" s="667"/>
      <c r="FS12" s="667">
        <v>80968553.079999998</v>
      </c>
      <c r="FT12" s="667"/>
      <c r="FU12" s="667">
        <v>65961033.350000009</v>
      </c>
      <c r="FV12" s="667"/>
      <c r="FW12" s="667">
        <v>67506266.989999995</v>
      </c>
      <c r="FY12" s="667">
        <v>46447927.750000007</v>
      </c>
      <c r="FZ12" s="668"/>
      <c r="GA12" s="667">
        <v>41982556.870000005</v>
      </c>
      <c r="GB12" s="667"/>
      <c r="GC12" s="667">
        <v>38595572.32</v>
      </c>
      <c r="GE12" s="335"/>
      <c r="GF12" s="335"/>
      <c r="GG12" s="335"/>
    </row>
    <row r="13" spans="1:194" ht="14.25" customHeight="1">
      <c r="A13" s="222"/>
      <c r="B13" s="334"/>
      <c r="F13" s="222" t="s">
        <v>494</v>
      </c>
      <c r="G13" s="349">
        <f>+G11/G12</f>
        <v>0.38859900096887634</v>
      </c>
      <c r="H13" s="222"/>
      <c r="I13" s="349">
        <f>+I11/I12</f>
        <v>0.27988678582737486</v>
      </c>
      <c r="J13" s="222"/>
      <c r="K13" s="349">
        <f>+K11/K12</f>
        <v>0.410962483072908</v>
      </c>
      <c r="L13" s="222"/>
      <c r="M13" s="349">
        <f>+M11/M12</f>
        <v>0.40302993382001207</v>
      </c>
      <c r="N13" s="222"/>
      <c r="O13" s="349">
        <f>+O11/O12</f>
        <v>0.3813101115418841</v>
      </c>
      <c r="P13" s="222"/>
      <c r="Q13" s="349">
        <f>+Q11/Q12</f>
        <v>0.37206991021679303</v>
      </c>
      <c r="R13" s="222"/>
      <c r="S13" s="349">
        <v>0.39618220717323566</v>
      </c>
      <c r="T13" s="222"/>
      <c r="U13" s="349">
        <v>0.39448474582167486</v>
      </c>
      <c r="V13" s="222"/>
      <c r="W13" s="349">
        <v>0.39172325995666996</v>
      </c>
      <c r="X13" s="222"/>
      <c r="Y13" s="349">
        <f>+Y11/Y12</f>
        <v>0.26993622668577555</v>
      </c>
      <c r="Z13" s="222"/>
      <c r="AA13" s="349">
        <f>+AA11/AA12</f>
        <v>0.25860040007507834</v>
      </c>
      <c r="AB13" s="222"/>
      <c r="AC13" s="349">
        <v>0.28498124094705163</v>
      </c>
      <c r="AD13" s="222"/>
      <c r="AE13" s="349">
        <v>0.28343525389936608</v>
      </c>
      <c r="AF13" s="222"/>
      <c r="AG13" s="349">
        <v>0.27671690222527573</v>
      </c>
      <c r="AH13" s="222"/>
      <c r="AI13" s="349">
        <v>0.27537048436489375</v>
      </c>
      <c r="AJ13" s="222"/>
      <c r="AK13" s="349">
        <v>0.29145788869006023</v>
      </c>
      <c r="AL13" s="222"/>
      <c r="AM13" s="349">
        <v>0.28538035792867361</v>
      </c>
      <c r="AN13" s="222"/>
      <c r="AO13" s="349">
        <v>0.3059859782471876</v>
      </c>
      <c r="AP13" s="222"/>
      <c r="AQ13" s="349">
        <v>0.30453926439026913</v>
      </c>
      <c r="AR13" s="222"/>
      <c r="AS13" s="349">
        <v>0.31285030491101296</v>
      </c>
      <c r="AT13" s="808" t="str">
        <f>IF(AS13-AU13=0,"Investigate","Fine")</f>
        <v>Fine</v>
      </c>
      <c r="AU13" s="349">
        <v>0.33480043086430583</v>
      </c>
      <c r="AV13" s="808" t="str">
        <f>IF(AU13-AW13=0,"Investigate","Fine")</f>
        <v>Fine</v>
      </c>
      <c r="AW13" s="349">
        <f>+AW11/AW12</f>
        <v>0.36574943062266879</v>
      </c>
      <c r="AX13" s="808" t="str">
        <f>IF(AW13-AY13=0,"Investigate","Fine")</f>
        <v>Investigate</v>
      </c>
      <c r="AY13" s="349">
        <v>0.36574943062266879</v>
      </c>
      <c r="AZ13" s="808" t="str">
        <f>IF(AY13-BA13=0,"Investigate","Fine")</f>
        <v>Fine</v>
      </c>
      <c r="BA13" s="349">
        <v>0.37050795947804066</v>
      </c>
      <c r="BB13" s="808" t="str">
        <f>IF(BA13-BC13=0,"Investigate","Fine")</f>
        <v>Fine</v>
      </c>
      <c r="BC13" s="349">
        <v>0.36532757733676041</v>
      </c>
      <c r="BD13" s="808" t="str">
        <f>IF(BC13-BE13=0,"Investigate","Fine")</f>
        <v>Fine</v>
      </c>
      <c r="BE13" s="349">
        <v>0.40303083290600228</v>
      </c>
      <c r="BF13" s="808" t="str">
        <f>IF(BE13-BG13=0,"Investigate","Fine")</f>
        <v>Fine</v>
      </c>
      <c r="BG13" s="349">
        <v>0.40911964863686651</v>
      </c>
      <c r="BH13" s="808" t="str">
        <f>IF(BG13-BI13=0,"Investigate","Fine")</f>
        <v>Fine</v>
      </c>
      <c r="BI13" s="349">
        <v>0.43871210295913404</v>
      </c>
      <c r="BJ13" s="808" t="str">
        <f>IF(BI13-BK13=0,"Investigate","Fine")</f>
        <v>Fine</v>
      </c>
      <c r="BK13" s="349">
        <v>0.49068620908841465</v>
      </c>
      <c r="BL13" s="808" t="str">
        <f>IF(BK13-BM13=0,"Investigate","Fine")</f>
        <v>Fine</v>
      </c>
      <c r="BM13" s="349">
        <v>0.49946944992754239</v>
      </c>
      <c r="BN13" s="222"/>
      <c r="BO13" s="349">
        <v>0.5082158106339596</v>
      </c>
      <c r="BP13" s="222"/>
      <c r="BQ13" s="349">
        <v>0.50406320376583347</v>
      </c>
      <c r="BR13" s="222"/>
      <c r="BS13" s="349">
        <v>0.51440943204123069</v>
      </c>
      <c r="BT13" s="222"/>
      <c r="BU13" s="349">
        <f>+BU11/BU12</f>
        <v>1.1158521287440655</v>
      </c>
      <c r="BV13" s="222"/>
      <c r="BW13" s="349">
        <v>0.54818979718732364</v>
      </c>
      <c r="BX13" s="222"/>
      <c r="BY13" s="349">
        <f>+BY11/BY12</f>
        <v>0.530964239137099</v>
      </c>
      <c r="BZ13" s="222"/>
      <c r="CA13" s="349">
        <v>0.24034476598142629</v>
      </c>
      <c r="CB13" s="222"/>
      <c r="CC13" s="349">
        <v>0.2423827765442369</v>
      </c>
      <c r="CD13" s="222"/>
      <c r="CE13" s="349">
        <v>0.28202763771883665</v>
      </c>
      <c r="CF13" s="222"/>
      <c r="CG13" s="349">
        <f>+CG11/CG12</f>
        <v>0.28170981029659714</v>
      </c>
      <c r="CH13" s="222"/>
      <c r="CI13" s="349">
        <v>0.26997445625995181</v>
      </c>
      <c r="CJ13" s="222"/>
      <c r="CK13" s="349">
        <v>0.26391652536313487</v>
      </c>
      <c r="CL13" s="222"/>
      <c r="CM13" s="349">
        <f>+CM11/CM12</f>
        <v>0.30301166981350974</v>
      </c>
      <c r="CN13" s="222"/>
      <c r="CO13" s="349">
        <f>+CO11/CO12</f>
        <v>0.29965433493924404</v>
      </c>
      <c r="CQ13" s="349">
        <f>+CQ11/CQ12</f>
        <v>0.30382663796409115</v>
      </c>
      <c r="CS13" s="349">
        <f>+CS11/CS12</f>
        <v>0.290854156938192</v>
      </c>
      <c r="CU13" s="349">
        <f>+CU11/CU12</f>
        <v>0.16939453922884615</v>
      </c>
      <c r="CW13" s="349">
        <f>+CW11/CW12</f>
        <v>0.26663145210358125</v>
      </c>
      <c r="CY13" s="350">
        <f>+CY11/CY12</f>
        <v>0.21525963211282242</v>
      </c>
      <c r="DA13" s="350">
        <f>+DA11/DA12</f>
        <v>0.2076835701776332</v>
      </c>
      <c r="DC13" s="350">
        <f>+DC11/DC12</f>
        <v>0.21155731426663066</v>
      </c>
      <c r="DD13" s="157"/>
      <c r="DE13" s="350">
        <f>+DE11/DE12</f>
        <v>0.25444196368187344</v>
      </c>
      <c r="DF13" s="157"/>
      <c r="DG13" s="350">
        <f>+DG11/DG12</f>
        <v>0.25386921660783029</v>
      </c>
      <c r="DH13" s="157"/>
      <c r="DI13" s="350">
        <f>+DI11/DI12</f>
        <v>0.27536043742833954</v>
      </c>
      <c r="DJ13" s="157"/>
      <c r="DK13" s="673">
        <f>+DK11/DK12</f>
        <v>0.29840186215964892</v>
      </c>
      <c r="DL13" s="659"/>
      <c r="DM13" s="673">
        <f>+DM11/DM12</f>
        <v>0.33250235690399205</v>
      </c>
      <c r="DN13" s="659"/>
      <c r="DO13" s="673">
        <f>+DO11/DO12</f>
        <v>0.32616571000739297</v>
      </c>
      <c r="DP13" s="659"/>
      <c r="DQ13" s="673">
        <f>+DQ11/DQ12</f>
        <v>0.34357721309320416</v>
      </c>
      <c r="DR13" s="659"/>
      <c r="DS13" s="673">
        <v>0.34375618622110399</v>
      </c>
      <c r="DT13" s="659"/>
      <c r="DU13" s="673">
        <v>0.38436904276098888</v>
      </c>
      <c r="DV13" s="659"/>
      <c r="DW13" s="673">
        <v>0.38250479218921013</v>
      </c>
      <c r="DX13" s="659"/>
      <c r="DY13" s="673">
        <v>0.3589319252389882</v>
      </c>
      <c r="DZ13" s="659"/>
      <c r="EA13" s="673">
        <v>0.33031593585411867</v>
      </c>
      <c r="EB13" s="659"/>
      <c r="EC13" s="673">
        <v>0.3150483468051794</v>
      </c>
      <c r="ED13" s="659"/>
      <c r="EE13" s="673">
        <v>0.37040183847227243</v>
      </c>
      <c r="EF13" s="659"/>
      <c r="EG13" s="674">
        <v>0.37050875596707</v>
      </c>
      <c r="EI13" s="674">
        <v>0.36910549598872838</v>
      </c>
      <c r="EK13" s="674">
        <v>0.37506914537306263</v>
      </c>
      <c r="EM13" s="674">
        <v>0.38347910868956953</v>
      </c>
      <c r="EO13" s="674">
        <v>0.38354217804058788</v>
      </c>
      <c r="EQ13" s="674">
        <v>0.38384330241213138</v>
      </c>
      <c r="ES13" s="674">
        <v>0.38761786453930996</v>
      </c>
      <c r="EU13" s="674">
        <v>0.38839377860188595</v>
      </c>
      <c r="EV13" s="674"/>
      <c r="EW13" s="674">
        <v>0.44312486286099023</v>
      </c>
      <c r="EX13" s="674"/>
      <c r="EY13" s="674">
        <v>0.54481790879333969</v>
      </c>
      <c r="EZ13" s="674"/>
      <c r="FA13" s="674">
        <v>0.61160838620444147</v>
      </c>
      <c r="FB13" s="674"/>
      <c r="FC13" s="674">
        <v>0.62042110615255186</v>
      </c>
      <c r="FD13" s="674"/>
      <c r="FE13" s="674">
        <v>0.60869603412924855</v>
      </c>
      <c r="FF13" s="674"/>
      <c r="FG13" s="674">
        <v>0.59791488302017382</v>
      </c>
      <c r="FH13" s="674"/>
      <c r="FI13" s="674">
        <v>0.23966802320048164</v>
      </c>
      <c r="FJ13" s="674"/>
      <c r="FK13" s="674">
        <v>0.23629448246353846</v>
      </c>
      <c r="FL13" s="674"/>
      <c r="FM13" s="674">
        <v>0.23319693109243103</v>
      </c>
      <c r="FN13" s="674"/>
      <c r="FO13" s="674">
        <v>0.25660593405754456</v>
      </c>
      <c r="FP13" s="674"/>
      <c r="FQ13" s="674">
        <v>0.26153076703372991</v>
      </c>
      <c r="FR13" s="674"/>
      <c r="FS13" s="674">
        <v>0.23493745134861191</v>
      </c>
      <c r="FT13" s="674"/>
      <c r="FU13" s="674">
        <v>0.29355333196883576</v>
      </c>
      <c r="FV13" s="674"/>
      <c r="FW13" s="674">
        <v>0.28657957790594163</v>
      </c>
      <c r="FX13" s="674"/>
      <c r="FY13" s="674">
        <v>0.4151800548303255</v>
      </c>
      <c r="FZ13" s="675"/>
      <c r="GA13" s="674">
        <v>0.45748896403507683</v>
      </c>
      <c r="GB13" s="675"/>
      <c r="GC13" s="674">
        <v>0.49009607353841667</v>
      </c>
      <c r="GE13" s="335"/>
      <c r="GF13" s="335"/>
      <c r="GG13" s="348" t="s">
        <v>495</v>
      </c>
      <c r="GI13" s="348" t="s">
        <v>495</v>
      </c>
      <c r="GL13" s="351" t="s">
        <v>495</v>
      </c>
    </row>
    <row r="14" spans="1:194" ht="14.25" customHeight="1">
      <c r="A14" s="222"/>
      <c r="B14" s="334"/>
      <c r="F14" s="222"/>
      <c r="G14" s="349"/>
      <c r="H14" s="222"/>
      <c r="I14" s="349"/>
      <c r="J14" s="222"/>
      <c r="K14" s="349"/>
      <c r="L14" s="222"/>
      <c r="M14" s="349"/>
      <c r="N14" s="222"/>
      <c r="O14" s="349"/>
      <c r="P14" s="222"/>
      <c r="Q14" s="349"/>
      <c r="R14" s="222"/>
      <c r="S14" s="349"/>
      <c r="T14" s="222"/>
      <c r="U14" s="349"/>
      <c r="V14" s="222"/>
      <c r="W14" s="349"/>
      <c r="X14" s="222"/>
      <c r="Y14" s="349"/>
      <c r="Z14" s="222"/>
      <c r="AA14" s="349"/>
      <c r="AB14" s="222"/>
      <c r="AC14" s="349"/>
      <c r="AD14" s="222"/>
      <c r="AE14" s="349"/>
      <c r="AF14" s="222"/>
      <c r="AG14" s="349"/>
      <c r="AH14" s="222"/>
      <c r="AI14" s="349"/>
      <c r="AJ14" s="222"/>
      <c r="AK14" s="349"/>
      <c r="AL14" s="222"/>
      <c r="AM14" s="349"/>
      <c r="AN14" s="222"/>
      <c r="AO14" s="349"/>
      <c r="AP14" s="222"/>
      <c r="AQ14" s="349"/>
      <c r="AR14" s="222"/>
      <c r="AS14" s="349"/>
      <c r="AT14" s="807"/>
      <c r="AU14" s="349"/>
      <c r="AV14" s="807"/>
      <c r="AW14" s="349"/>
      <c r="AX14" s="807"/>
      <c r="AY14" s="349"/>
      <c r="AZ14" s="807"/>
      <c r="BA14" s="349"/>
      <c r="BB14" s="807"/>
      <c r="BC14" s="349"/>
      <c r="BD14" s="807"/>
      <c r="BE14" s="349"/>
      <c r="BF14" s="807"/>
      <c r="BG14" s="349"/>
      <c r="BH14" s="807"/>
      <c r="BI14" s="349"/>
      <c r="BJ14" s="807"/>
      <c r="BK14" s="349"/>
      <c r="BL14" s="807"/>
      <c r="BM14" s="349"/>
      <c r="BN14" s="222"/>
      <c r="BO14" s="349"/>
      <c r="BP14" s="222"/>
      <c r="BQ14" s="349"/>
      <c r="BR14" s="222"/>
      <c r="BS14" s="349"/>
      <c r="BT14" s="222"/>
      <c r="BU14" s="349"/>
      <c r="BV14" s="222"/>
      <c r="BW14" s="349"/>
      <c r="BX14" s="222"/>
      <c r="BY14" s="349"/>
      <c r="BZ14" s="222"/>
      <c r="CA14" s="349"/>
      <c r="CB14" s="222"/>
      <c r="CC14" s="349"/>
      <c r="CD14" s="222"/>
      <c r="CE14" s="349"/>
      <c r="CF14" s="222"/>
      <c r="CG14" s="349"/>
      <c r="CH14" s="222"/>
      <c r="CI14" s="349"/>
      <c r="CJ14" s="222"/>
      <c r="CK14" s="349"/>
      <c r="CL14" s="222"/>
      <c r="CM14" s="349"/>
      <c r="CN14" s="222"/>
      <c r="CO14" s="349"/>
      <c r="CQ14" s="349"/>
      <c r="CS14" s="349"/>
      <c r="CU14" s="349"/>
      <c r="CW14" s="349"/>
      <c r="CY14" s="697"/>
      <c r="DA14" s="697"/>
      <c r="DC14" s="697"/>
      <c r="DD14" s="511"/>
      <c r="DE14" s="697"/>
      <c r="DF14" s="511"/>
      <c r="DG14" s="697"/>
      <c r="DH14" s="511"/>
      <c r="DI14" s="697"/>
      <c r="DJ14" s="511"/>
      <c r="DK14" s="698"/>
      <c r="DL14" s="520"/>
      <c r="DM14" s="698"/>
      <c r="DN14" s="520"/>
      <c r="DO14" s="698"/>
      <c r="DP14" s="520"/>
      <c r="DQ14" s="698"/>
      <c r="DR14" s="520"/>
      <c r="DS14" s="698"/>
      <c r="DT14" s="520"/>
      <c r="DU14" s="698"/>
      <c r="DV14" s="520"/>
      <c r="DW14" s="698"/>
      <c r="DX14" s="520"/>
      <c r="DY14" s="698"/>
      <c r="DZ14" s="520"/>
      <c r="EA14" s="698"/>
      <c r="EB14" s="520"/>
      <c r="EC14" s="698"/>
      <c r="ED14" s="520"/>
      <c r="EE14" s="698"/>
      <c r="EF14" s="520"/>
      <c r="EG14" s="674"/>
      <c r="EI14" s="674"/>
      <c r="EK14" s="674"/>
      <c r="EM14" s="674"/>
      <c r="EO14" s="674"/>
      <c r="EQ14" s="674"/>
      <c r="ES14" s="674"/>
      <c r="EU14" s="674"/>
      <c r="EV14" s="674"/>
      <c r="EW14" s="674"/>
      <c r="EX14" s="674"/>
      <c r="EY14" s="674"/>
      <c r="EZ14" s="674"/>
      <c r="FA14" s="674"/>
      <c r="FB14" s="674"/>
      <c r="FC14" s="674"/>
      <c r="FD14" s="674"/>
      <c r="FE14" s="674"/>
      <c r="FF14" s="674"/>
      <c r="FG14" s="674"/>
      <c r="FH14" s="674"/>
      <c r="FI14" s="674"/>
      <c r="FJ14" s="674"/>
      <c r="FK14" s="674"/>
      <c r="FL14" s="674"/>
      <c r="FM14" s="674"/>
      <c r="FN14" s="674"/>
      <c r="FO14" s="674"/>
      <c r="FP14" s="674"/>
      <c r="FQ14" s="674"/>
      <c r="FR14" s="674"/>
      <c r="FS14" s="674"/>
      <c r="FT14" s="674"/>
      <c r="FU14" s="674"/>
      <c r="FV14" s="674"/>
      <c r="FW14" s="674"/>
      <c r="FX14" s="674"/>
      <c r="FY14" s="674"/>
      <c r="FZ14" s="675"/>
      <c r="GA14" s="674"/>
      <c r="GB14" s="675"/>
      <c r="GC14" s="674"/>
      <c r="GE14" s="335"/>
      <c r="GF14" s="335"/>
      <c r="GG14" s="699"/>
      <c r="GI14" s="699"/>
      <c r="GL14" s="700"/>
    </row>
    <row r="15" spans="1:194" ht="14.25" customHeight="1">
      <c r="B15" s="337" t="s">
        <v>213</v>
      </c>
      <c r="C15" s="222" t="s">
        <v>629</v>
      </c>
      <c r="D15" s="222" t="s">
        <v>627</v>
      </c>
      <c r="CY15" s="501"/>
      <c r="DA15" s="501"/>
      <c r="DC15" s="501"/>
      <c r="DD15" s="501"/>
      <c r="DE15" s="501"/>
      <c r="DF15" s="501"/>
      <c r="DG15" s="501"/>
      <c r="DH15" s="501"/>
      <c r="DI15" s="501"/>
      <c r="DJ15" s="501"/>
      <c r="DK15" s="724"/>
      <c r="DL15" s="724"/>
      <c r="DM15" s="724"/>
      <c r="DN15" s="724"/>
      <c r="DO15" s="724"/>
      <c r="DP15" s="724"/>
      <c r="DQ15" s="724"/>
      <c r="DR15" s="724"/>
      <c r="DS15" s="724"/>
      <c r="DT15" s="724"/>
      <c r="DU15" s="724"/>
      <c r="DV15" s="724"/>
      <c r="DW15" s="724"/>
      <c r="DX15" s="724"/>
      <c r="DY15" s="724"/>
      <c r="DZ15" s="724"/>
      <c r="EA15" s="724"/>
      <c r="EB15" s="724"/>
      <c r="EC15" s="724"/>
      <c r="ED15" s="724"/>
      <c r="EE15" s="724"/>
      <c r="EF15" s="724"/>
      <c r="GE15" s="335"/>
      <c r="GF15" s="335"/>
      <c r="GG15" s="335"/>
    </row>
    <row r="16" spans="1:194" ht="15" customHeight="1">
      <c r="E16" s="341" t="s">
        <v>625</v>
      </c>
      <c r="G16" s="342">
        <f>SUM('Liquidity Gap Analysis - Dec25'!C15:E15)</f>
        <v>1313330987.5545897</v>
      </c>
      <c r="I16" s="342">
        <v>1313330987.5545897</v>
      </c>
      <c r="K16" s="342">
        <f>SUM('Liquidity Gap Analysis - Dec25'!A15:E15)</f>
        <v>1313330987.5545897</v>
      </c>
      <c r="M16" s="342">
        <f>SUM('Liquidity Gap Analysis - Dec25'!C15:G15)</f>
        <v>1997802924.0814581</v>
      </c>
      <c r="O16" s="342">
        <f>SUM('Liquidity Gap Analysis - Dec25'!C15:G15)</f>
        <v>1997802924.0814581</v>
      </c>
      <c r="Q16" s="342">
        <f>SUM('Liquidity Gap Analysis - Dec25'!C15:G15)</f>
        <v>1997802924.0814581</v>
      </c>
      <c r="S16" s="342">
        <v>2089190597.30071</v>
      </c>
      <c r="U16" s="342">
        <v>2103485793.6074998</v>
      </c>
      <c r="W16" s="342">
        <v>2136568848.115</v>
      </c>
      <c r="Y16" s="342">
        <f>SUM('Liquidity Gap Analysis - Dec25'!C15:G15)</f>
        <v>1997802924.0814581</v>
      </c>
      <c r="AA16" s="342">
        <f>SUM('Liquidity Gap Analysis - Dec25'!C15:G15)</f>
        <v>1997802924.0814581</v>
      </c>
      <c r="AC16" s="342">
        <v>2167003897.6633368</v>
      </c>
      <c r="AE16" s="342">
        <v>2135290900.0274999</v>
      </c>
      <c r="AG16" s="342">
        <v>2240434821.71</v>
      </c>
      <c r="AI16" s="342">
        <v>2245967582.2814283</v>
      </c>
      <c r="AK16" s="342">
        <v>2125080148.1100001</v>
      </c>
      <c r="AM16" s="342">
        <v>2168099204.2299995</v>
      </c>
      <c r="AO16" s="342">
        <v>2009310724.46</v>
      </c>
      <c r="AQ16" s="342">
        <v>2011214443.72</v>
      </c>
      <c r="AS16" s="342">
        <v>1956413181.1100001</v>
      </c>
      <c r="AU16" s="342">
        <v>1820145024.97</v>
      </c>
      <c r="AW16" s="342">
        <v>1162994274.9358335</v>
      </c>
      <c r="AY16" s="342">
        <v>1008199461.0383329</v>
      </c>
      <c r="BA16" s="342">
        <v>1060189874.5749998</v>
      </c>
      <c r="BC16" s="342">
        <v>1636759291.1800001</v>
      </c>
      <c r="BE16" s="342">
        <v>1464117906.3</v>
      </c>
      <c r="BG16" s="342">
        <v>1446703722.6799991</v>
      </c>
      <c r="BI16" s="342">
        <v>1344715399.5299997</v>
      </c>
      <c r="BK16" s="342">
        <v>1194661038.8399982</v>
      </c>
      <c r="BM16" s="342">
        <v>1173638481.8899984</v>
      </c>
      <c r="BN16" s="341"/>
      <c r="BO16" s="342">
        <v>1149198856.879998</v>
      </c>
      <c r="BP16" s="341"/>
      <c r="BQ16" s="342">
        <v>1155836101.4799995</v>
      </c>
      <c r="BR16" s="341"/>
      <c r="BS16" s="342">
        <v>1130999736.24</v>
      </c>
      <c r="BT16" s="341"/>
      <c r="BU16" s="342">
        <v>1164637043.7200007</v>
      </c>
      <c r="BW16" s="725">
        <v>1068770719.49</v>
      </c>
      <c r="BY16" s="725">
        <v>1133316644</v>
      </c>
      <c r="CA16" s="198">
        <v>782567865</v>
      </c>
      <c r="CC16" s="198">
        <v>778168731</v>
      </c>
      <c r="CE16" s="198">
        <v>692305323</v>
      </c>
      <c r="CG16" s="198">
        <v>694163363</v>
      </c>
      <c r="CI16" s="198">
        <v>718998206</v>
      </c>
      <c r="CK16" s="198">
        <v>724118895</v>
      </c>
      <c r="CM16" s="198">
        <v>624472045</v>
      </c>
      <c r="CO16" s="198">
        <v>622171733</v>
      </c>
      <c r="CQ16" s="198">
        <v>622031866</v>
      </c>
      <c r="CS16" s="198">
        <v>624953742</v>
      </c>
    </row>
    <row r="17" spans="1:194" ht="15" customHeight="1">
      <c r="E17" s="341" t="s">
        <v>626</v>
      </c>
      <c r="G17" s="342">
        <f>SUM('Liquidity Gap Analysis - Dec25'!C17:E20)</f>
        <v>528017813.13129282</v>
      </c>
      <c r="I17" s="342">
        <f>SUM('Liquidity Gap Analysis - Dec25'!E17:G20)</f>
        <v>530077731.15284878</v>
      </c>
      <c r="K17" s="342">
        <f>SUM('Liquidity Gap Analysis - Dec25'!A17:E20)</f>
        <v>528017813.13129282</v>
      </c>
      <c r="M17" s="342">
        <f>SUM('Liquidity Gap Analysis - Dec25'!C17:G20)</f>
        <v>834238147.43302917</v>
      </c>
      <c r="O17" s="342">
        <f>SUM('Liquidity Gap Analysis - Dec25'!C17:G20)</f>
        <v>834238147.43302917</v>
      </c>
      <c r="Q17" s="342">
        <f>SUM('Liquidity Gap Analysis - Dec25'!C17:G20)</f>
        <v>834238147.43302917</v>
      </c>
      <c r="S17" s="342">
        <v>792441053.71701145</v>
      </c>
      <c r="U17" s="342">
        <v>807913590.78125417</v>
      </c>
      <c r="W17" s="342">
        <v>792607662.78482533</v>
      </c>
      <c r="Y17" s="342">
        <f>SUM('Liquidity Gap Analysis - Dec25'!C17:G20)</f>
        <v>834238147.43302917</v>
      </c>
      <c r="AA17" s="342">
        <f>SUM('Liquidity Gap Analysis - Dec25'!C17:G20)</f>
        <v>834238147.43302917</v>
      </c>
      <c r="AC17" s="342">
        <v>835299738.6866163</v>
      </c>
      <c r="AE17" s="342">
        <v>868893137.39877284</v>
      </c>
      <c r="AG17" s="342">
        <v>888868908.23294222</v>
      </c>
      <c r="AI17" s="342">
        <v>764846551.14789021</v>
      </c>
      <c r="AK17" s="342">
        <v>711491379.52578413</v>
      </c>
      <c r="AM17" s="342">
        <v>580413920.66093791</v>
      </c>
      <c r="AO17" s="342">
        <v>539587553.84625566</v>
      </c>
      <c r="AQ17" s="342">
        <v>510176675.27416432</v>
      </c>
      <c r="AS17" s="342">
        <v>537189720.06935215</v>
      </c>
      <c r="AU17" s="342">
        <v>492304483.98555988</v>
      </c>
      <c r="AW17" s="342">
        <v>1059604257.3228581</v>
      </c>
      <c r="AY17" s="342">
        <v>332207824.07282805</v>
      </c>
      <c r="BA17" s="342">
        <v>313884411.66418332</v>
      </c>
      <c r="BC17" s="342">
        <v>317168157.48868507</v>
      </c>
      <c r="BE17" s="342">
        <v>294411799.05631644</v>
      </c>
      <c r="BG17" s="342">
        <v>282994981.66531986</v>
      </c>
      <c r="BI17" s="342">
        <v>343505229.75518203</v>
      </c>
      <c r="BK17" s="342">
        <v>261403998.567734</v>
      </c>
      <c r="BM17" s="342">
        <v>312052907.50751626</v>
      </c>
      <c r="BN17" s="341"/>
      <c r="BO17" s="342">
        <v>349204330.53177595</v>
      </c>
      <c r="BP17" s="341"/>
      <c r="BQ17" s="342">
        <v>290121795.03928816</v>
      </c>
      <c r="BR17" s="341"/>
      <c r="BS17" s="342">
        <v>286219201.39134336</v>
      </c>
      <c r="BT17" s="341"/>
      <c r="BU17" s="342">
        <v>311134247.64197469</v>
      </c>
      <c r="BW17" s="725">
        <v>331710493.75844944</v>
      </c>
      <c r="BY17" s="725">
        <v>299002781</v>
      </c>
      <c r="CA17" s="198">
        <v>340712884</v>
      </c>
      <c r="CC17" s="198">
        <v>335851631</v>
      </c>
      <c r="CE17" s="198">
        <v>298616119</v>
      </c>
      <c r="CG17" s="198">
        <v>244218097</v>
      </c>
      <c r="CI17" s="198">
        <v>242471243</v>
      </c>
      <c r="CK17" s="198">
        <v>251098364</v>
      </c>
      <c r="CM17" s="198">
        <v>191567913</v>
      </c>
      <c r="CO17" s="198">
        <v>200718520</v>
      </c>
      <c r="CQ17" s="198">
        <v>189609050</v>
      </c>
      <c r="CS17" s="198">
        <v>197216880</v>
      </c>
    </row>
    <row r="18" spans="1:194" ht="15" customHeight="1">
      <c r="E18" s="222" t="s">
        <v>624</v>
      </c>
      <c r="G18" s="761">
        <f>G16/G17</f>
        <v>2.4872853810862381</v>
      </c>
      <c r="I18" s="761">
        <f>I16/I17</f>
        <v>2.4776196213681132</v>
      </c>
      <c r="K18" s="761">
        <f>K16/K17</f>
        <v>2.4872853810862381</v>
      </c>
      <c r="M18" s="761">
        <f>M16/M17</f>
        <v>2.394763330145889</v>
      </c>
      <c r="O18" s="761">
        <f>O16/O17</f>
        <v>2.394763330145889</v>
      </c>
      <c r="Q18" s="761">
        <f>Q16/Q17</f>
        <v>2.394763330145889</v>
      </c>
      <c r="S18" s="1061">
        <v>2.6363987422170845</v>
      </c>
      <c r="U18" s="1061">
        <v>2.6036024367078965</v>
      </c>
      <c r="W18" s="761">
        <v>2.6956197226357488</v>
      </c>
      <c r="Y18" s="761">
        <f>Y16/Y17</f>
        <v>2.394763330145889</v>
      </c>
      <c r="AA18" s="761">
        <f>AA16/AA17</f>
        <v>2.394763330145889</v>
      </c>
      <c r="AC18" s="761">
        <v>2.5942829828614884</v>
      </c>
      <c r="AE18" s="761">
        <v>2.4574839046605592</v>
      </c>
      <c r="AG18" s="761">
        <v>2.5205458318526972</v>
      </c>
      <c r="AI18" s="761">
        <v>2.9364943581306018</v>
      </c>
      <c r="AK18" s="761">
        <v>2.9867967613695989</v>
      </c>
      <c r="AM18" s="761">
        <v>3.7354362585947425</v>
      </c>
      <c r="AO18" s="761">
        <v>3.7237899765058549</v>
      </c>
      <c r="AQ18" s="761">
        <v>3.9421920703042561</v>
      </c>
      <c r="AS18" s="761">
        <v>3.6419408414171137</v>
      </c>
      <c r="AT18" s="808" t="str">
        <f>IF(AS18-AU18=0,"Investigate","Fine")</f>
        <v>Fine</v>
      </c>
      <c r="AU18" s="761">
        <v>3.6971936762277955</v>
      </c>
      <c r="AV18" s="808" t="str">
        <f>IF(AU18-AW18=0,"Investigate","Fine")</f>
        <v>Fine</v>
      </c>
      <c r="AW18" s="761">
        <f>AW16/AW17</f>
        <v>1.0975741810194264</v>
      </c>
      <c r="AX18" s="808" t="str">
        <f>IF(AW18-AY18=0,"Investigate","Fine")</f>
        <v>Fine</v>
      </c>
      <c r="AY18" s="761">
        <v>3.0348456236759525</v>
      </c>
      <c r="AZ18" s="808" t="str">
        <f>IF(AY18-BA18=0,"Investigate","Fine")</f>
        <v>Fine</v>
      </c>
      <c r="BA18" s="761">
        <v>3.3776442383805576</v>
      </c>
      <c r="BB18" s="808" t="str">
        <f>IF(BA18-BC18=0,"Investigate","Fine")</f>
        <v>Fine</v>
      </c>
      <c r="BC18" s="761">
        <v>5.1605410333109853</v>
      </c>
      <c r="BD18" s="808" t="str">
        <f>IF(BC18-BE18=0,"Investigate","Fine")</f>
        <v>Fine</v>
      </c>
      <c r="BE18" s="761">
        <v>4.9730272733394658</v>
      </c>
      <c r="BF18" s="808" t="str">
        <f>IF(BE18-BG18=0,"Investigate","Fine")</f>
        <v>Fine</v>
      </c>
      <c r="BG18" s="761">
        <v>5.1121179399248975</v>
      </c>
      <c r="BH18" s="808" t="str">
        <f>IF(BG18-BI18=0,"Investigate","Fine")</f>
        <v>Fine</v>
      </c>
      <c r="BI18" s="761">
        <v>3.9146868316630448</v>
      </c>
      <c r="BJ18" s="808" t="str">
        <f>IF(BI18-BK18=0,"Investigate","Fine")</f>
        <v>Fine</v>
      </c>
      <c r="BK18" s="761">
        <v>4.5701712498113993</v>
      </c>
      <c r="BL18" s="808" t="str">
        <f>IF(BK18-BM18=0,"Investigate","Fine")</f>
        <v>Fine</v>
      </c>
      <c r="BM18" s="761">
        <v>3.7610240239845534</v>
      </c>
      <c r="BN18" s="222"/>
      <c r="BO18" s="761">
        <v>3.2909066595192935</v>
      </c>
      <c r="BP18" s="222"/>
      <c r="BQ18" s="761">
        <v>3.9839685306079011</v>
      </c>
      <c r="BR18" s="222"/>
      <c r="BS18" s="761">
        <v>3.9515159386305481</v>
      </c>
      <c r="BT18" s="222"/>
      <c r="BU18" s="761">
        <f>BU16/BU17</f>
        <v>3.7431978399888663</v>
      </c>
      <c r="BV18" s="222"/>
      <c r="BW18" s="761">
        <v>3.2219985185885482</v>
      </c>
      <c r="BX18" s="222"/>
      <c r="BY18" s="761">
        <f>BY16/BY17</f>
        <v>3.7903214151041627</v>
      </c>
      <c r="BZ18" s="222"/>
      <c r="CA18" s="761">
        <f>CA16/CA17</f>
        <v>2.2968543361571263</v>
      </c>
      <c r="CB18" s="222"/>
      <c r="CC18" s="761">
        <f>CC16/CC17</f>
        <v>2.317001494627251</v>
      </c>
      <c r="CD18" s="222"/>
      <c r="CE18" s="761">
        <f>CE16/CE17</f>
        <v>2.3183789452437429</v>
      </c>
      <c r="CF18" s="222"/>
      <c r="CG18" s="761">
        <f>CG16/CG17</f>
        <v>2.8423911721824613</v>
      </c>
      <c r="CH18" s="222"/>
      <c r="CI18" s="761">
        <f>CI16/CI17</f>
        <v>2.9652926965858795</v>
      </c>
      <c r="CJ18" s="222"/>
      <c r="CK18" s="761">
        <f>CK16/CK17</f>
        <v>2.8838057065158735</v>
      </c>
      <c r="CL18" s="222"/>
      <c r="CM18" s="761">
        <f>CM16/CM17</f>
        <v>3.2597945826136341</v>
      </c>
      <c r="CN18" s="222"/>
      <c r="CO18" s="761">
        <f>CO16/CO17</f>
        <v>3.0997226015815582</v>
      </c>
      <c r="CP18" s="222"/>
      <c r="CQ18" s="761">
        <f>CQ16/CQ17</f>
        <v>3.2806021969942889</v>
      </c>
      <c r="CR18" s="222"/>
      <c r="CS18" s="761">
        <f>CS16/CS17</f>
        <v>3.1688653729843002</v>
      </c>
    </row>
    <row r="20" spans="1:194" ht="14.25" customHeight="1">
      <c r="A20" s="336"/>
      <c r="B20" s="337" t="s">
        <v>630</v>
      </c>
      <c r="C20" s="222" t="s">
        <v>557</v>
      </c>
      <c r="D20" s="222" t="s">
        <v>628</v>
      </c>
      <c r="CY20" s="157"/>
      <c r="DA20" s="157"/>
      <c r="DC20" s="157"/>
      <c r="DD20" s="157"/>
      <c r="DE20" s="157"/>
      <c r="DF20" s="157"/>
      <c r="DG20" s="157"/>
      <c r="DH20" s="157"/>
      <c r="DI20" s="157"/>
      <c r="DJ20" s="157"/>
      <c r="DK20" s="659"/>
      <c r="DL20" s="659"/>
      <c r="DM20" s="659"/>
      <c r="DN20" s="659"/>
      <c r="DO20" s="659"/>
      <c r="DP20" s="659"/>
      <c r="DQ20" s="659"/>
      <c r="DR20" s="659"/>
      <c r="DS20" s="659"/>
      <c r="DT20" s="659"/>
      <c r="DU20" s="659"/>
      <c r="DV20" s="659"/>
      <c r="DW20" s="659"/>
      <c r="DX20" s="659"/>
      <c r="DY20" s="659"/>
      <c r="DZ20" s="659"/>
      <c r="EA20" s="659"/>
      <c r="EB20" s="659"/>
      <c r="EC20" s="659"/>
      <c r="ED20" s="659"/>
      <c r="EE20" s="659"/>
      <c r="EF20" s="659"/>
      <c r="GE20" s="335"/>
      <c r="GF20" s="335"/>
      <c r="GG20" s="335"/>
      <c r="GJ20" s="348" t="s">
        <v>495</v>
      </c>
    </row>
    <row r="21" spans="1:194" ht="14.25" customHeight="1">
      <c r="B21" s="334"/>
      <c r="CY21" s="157"/>
      <c r="DA21" s="157"/>
      <c r="DC21" s="157"/>
      <c r="DD21" s="157"/>
      <c r="DE21" s="157"/>
      <c r="DF21" s="157"/>
      <c r="DG21" s="157"/>
      <c r="DH21" s="157"/>
      <c r="DI21" s="157"/>
      <c r="DJ21" s="157"/>
      <c r="DK21" s="659"/>
      <c r="DL21" s="659"/>
      <c r="DM21" s="659"/>
      <c r="DN21" s="659"/>
      <c r="DO21" s="659"/>
      <c r="DP21" s="659"/>
      <c r="DQ21" s="659"/>
      <c r="DR21" s="659"/>
      <c r="DS21" s="659"/>
      <c r="DT21" s="659"/>
      <c r="DU21" s="659"/>
      <c r="DV21" s="659"/>
      <c r="DW21" s="659"/>
      <c r="DX21" s="659"/>
      <c r="DY21" s="659"/>
      <c r="DZ21" s="659"/>
      <c r="EA21" s="659"/>
      <c r="EB21" s="659"/>
      <c r="EC21" s="659"/>
      <c r="ED21" s="659"/>
      <c r="EE21" s="659"/>
      <c r="EF21" s="659"/>
      <c r="GE21" s="335"/>
      <c r="GF21" s="335"/>
      <c r="GG21" s="335"/>
    </row>
    <row r="22" spans="1:194" ht="14.25" customHeight="1">
      <c r="B22" s="334"/>
      <c r="D22" s="341"/>
      <c r="E22" s="341" t="s">
        <v>559</v>
      </c>
      <c r="G22" s="342">
        <f>SUM('Liquidity Gap Analysis - Dec25'!C15:D15)</f>
        <v>833291812.92475986</v>
      </c>
      <c r="I22" s="342">
        <v>833291812.92475986</v>
      </c>
      <c r="K22" s="342">
        <f>SUM('Liquidity Gap Analysis - Dec25'!C15:D15)</f>
        <v>833291812.92475986</v>
      </c>
      <c r="M22" s="342">
        <f>SUM('Liquidity Gap Analysis - Dec25'!C15:D15)</f>
        <v>833291812.92475986</v>
      </c>
      <c r="O22" s="342">
        <f>SUM('Liquidity Gap Analysis - Dec25'!C15:D15)</f>
        <v>833291812.92475986</v>
      </c>
      <c r="Q22" s="342">
        <f>SUM('Liquidity Gap Analysis - Dec25'!C15:D15)</f>
        <v>833291812.92475986</v>
      </c>
      <c r="S22" s="342">
        <v>1018585137.144048</v>
      </c>
      <c r="U22" s="342">
        <v>862384493.68083286</v>
      </c>
      <c r="W22" s="342">
        <v>920634402.27333307</v>
      </c>
      <c r="Y22" s="342">
        <f>SUM('Liquidity Gap Analysis - Dec25'!C15:D15)</f>
        <v>833291812.92475986</v>
      </c>
      <c r="AA22" s="342">
        <f>SUM('Liquidity Gap Analysis - Dec25'!C15:D15)</f>
        <v>833291812.92475986</v>
      </c>
      <c r="AC22" s="342">
        <v>796919266.67750001</v>
      </c>
      <c r="AE22" s="342">
        <v>794144178.084167</v>
      </c>
      <c r="AG22" s="342">
        <v>795873401.26278424</v>
      </c>
      <c r="AI22" s="342">
        <v>823245757.40309513</v>
      </c>
      <c r="AK22" s="342">
        <v>724231867.36948752</v>
      </c>
      <c r="AM22" s="342">
        <v>797642773.26083302</v>
      </c>
      <c r="AO22" s="342">
        <v>661853090.78916645</v>
      </c>
      <c r="AQ22" s="342">
        <v>731755160.32499599</v>
      </c>
      <c r="AS22" s="342">
        <v>718112318.29083276</v>
      </c>
      <c r="AU22" s="342">
        <v>624587830.96916676</v>
      </c>
      <c r="AW22" s="342">
        <v>958558914.30333281</v>
      </c>
      <c r="AY22" s="342">
        <v>521661899.21416652</v>
      </c>
      <c r="BA22" s="342">
        <v>604900221.06749988</v>
      </c>
      <c r="BC22" s="342">
        <v>691697928.59666586</v>
      </c>
      <c r="BE22" s="342">
        <v>553733055.98416615</v>
      </c>
      <c r="BG22" s="342">
        <v>623425104.14333296</v>
      </c>
      <c r="BI22" s="342">
        <v>568069305.6583333</v>
      </c>
      <c r="BK22" s="342">
        <v>458306554.61749959</v>
      </c>
      <c r="BM22" s="342">
        <v>496809340.15333283</v>
      </c>
      <c r="BN22" s="341"/>
      <c r="BO22" s="342">
        <v>508448930.77416599</v>
      </c>
      <c r="BP22" s="341"/>
      <c r="BQ22" s="342">
        <v>557365461.2049998</v>
      </c>
      <c r="BR22" s="341"/>
      <c r="BS22" s="342">
        <v>567826594.89999998</v>
      </c>
      <c r="BT22" s="341"/>
      <c r="BU22" s="342">
        <v>631473010.35583305</v>
      </c>
      <c r="BW22" s="167">
        <v>584028163.19499993</v>
      </c>
      <c r="BY22" s="167">
        <v>677900725</v>
      </c>
      <c r="CA22" s="167">
        <v>347071767.900056</v>
      </c>
      <c r="CC22" s="167">
        <v>339638993.56083298</v>
      </c>
      <c r="CE22" s="167">
        <v>295143098.16163599</v>
      </c>
      <c r="CG22" s="167">
        <v>305376045.31999999</v>
      </c>
      <c r="CI22" s="167">
        <v>442604171.81583405</v>
      </c>
      <c r="CK22" s="167">
        <v>454028542.41583407</v>
      </c>
      <c r="CM22" s="167">
        <v>360494191.53333306</v>
      </c>
      <c r="CO22" s="167">
        <v>299808049.56583399</v>
      </c>
      <c r="CQ22" s="167">
        <v>318015767.01333302</v>
      </c>
      <c r="CS22" s="167">
        <v>331043486.06999999</v>
      </c>
      <c r="CU22" s="167">
        <v>299475087.52750015</v>
      </c>
      <c r="CW22" s="167">
        <v>289610958.3258335</v>
      </c>
      <c r="CY22" s="369">
        <v>209970297.17250001</v>
      </c>
      <c r="DA22" s="369">
        <v>221973675.7808333</v>
      </c>
      <c r="DC22" s="368">
        <v>209177841.63177377</v>
      </c>
      <c r="DD22" s="157"/>
      <c r="DE22" s="368">
        <v>162093394.85251194</v>
      </c>
      <c r="DF22" s="157"/>
      <c r="DG22" s="368">
        <v>198072824.46683329</v>
      </c>
      <c r="DH22" s="157"/>
      <c r="DI22" s="368">
        <v>197183827.97353679</v>
      </c>
      <c r="DJ22" s="157"/>
      <c r="DK22" s="659"/>
      <c r="DL22" s="659"/>
      <c r="DM22" s="659"/>
      <c r="DN22" s="659"/>
      <c r="DO22" s="659"/>
      <c r="DP22" s="659"/>
      <c r="DQ22" s="659"/>
      <c r="DR22" s="659"/>
      <c r="DS22" s="659"/>
      <c r="DT22" s="659"/>
      <c r="DU22" s="659"/>
      <c r="DV22" s="659"/>
      <c r="DW22" s="659"/>
      <c r="DX22" s="659"/>
      <c r="DY22" s="659"/>
      <c r="DZ22" s="659"/>
      <c r="EA22" s="659"/>
      <c r="EB22" s="659"/>
      <c r="EC22" s="659"/>
      <c r="ED22" s="659"/>
      <c r="EE22" s="659"/>
      <c r="EF22" s="659"/>
      <c r="GE22" s="335"/>
      <c r="GF22" s="335"/>
      <c r="GG22" s="335"/>
    </row>
    <row r="23" spans="1:194" ht="14.25" customHeight="1">
      <c r="B23" s="334"/>
      <c r="D23" s="341"/>
      <c r="E23" s="341" t="s">
        <v>560</v>
      </c>
      <c r="G23" s="342">
        <f>G5</f>
        <v>1524807246.4500003</v>
      </c>
      <c r="I23" s="342">
        <f>I5</f>
        <v>1449631699.1400003</v>
      </c>
      <c r="K23" s="342">
        <f>K5</f>
        <v>1397455000.5</v>
      </c>
      <c r="M23" s="342">
        <f>M5</f>
        <v>1432993513.2600002</v>
      </c>
      <c r="O23" s="342">
        <f>O5</f>
        <v>1562735841.0900002</v>
      </c>
      <c r="Q23" s="342">
        <f>Q5</f>
        <v>1601378777.9399998</v>
      </c>
      <c r="S23" s="342">
        <v>1613141662.2699997</v>
      </c>
      <c r="U23" s="342">
        <v>1620300663.0299997</v>
      </c>
      <c r="W23" s="342">
        <v>1660324692.1599998</v>
      </c>
      <c r="Y23" s="342">
        <f>Y5</f>
        <v>1498544537.48</v>
      </c>
      <c r="AA23" s="342">
        <f>AA5</f>
        <v>1606989988.97</v>
      </c>
      <c r="AC23" s="342">
        <v>1589580862.9899995</v>
      </c>
      <c r="AE23" s="342">
        <v>1612270658.6499999</v>
      </c>
      <c r="AG23" s="342">
        <v>1668495519.73</v>
      </c>
      <c r="AI23" s="342">
        <v>1681343398.1099999</v>
      </c>
      <c r="AK23" s="342">
        <v>1560434104.9699998</v>
      </c>
      <c r="AM23" s="342">
        <v>1608322712.6699998</v>
      </c>
      <c r="AO23" s="342">
        <v>1454856900.5999999</v>
      </c>
      <c r="AQ23" s="342">
        <v>1460585069.6399999</v>
      </c>
      <c r="AS23" s="342">
        <v>1408931305.3899999</v>
      </c>
      <c r="AU23" s="342">
        <v>1276568959.9800003</v>
      </c>
      <c r="AW23" s="342">
        <f>AW5</f>
        <v>1105290449.21</v>
      </c>
      <c r="AY23" s="342">
        <v>1105290449.21</v>
      </c>
      <c r="BA23" s="342">
        <v>1081394873.78</v>
      </c>
      <c r="BC23" s="342">
        <v>1100469871.6900001</v>
      </c>
      <c r="BE23" s="342">
        <v>932271760.11000001</v>
      </c>
      <c r="BG23" s="342">
        <v>907493020.87999988</v>
      </c>
      <c r="BI23" s="342">
        <v>802623759.15999997</v>
      </c>
      <c r="BK23" s="342">
        <v>650516201.18999982</v>
      </c>
      <c r="BM23" s="342">
        <v>628130348.07000005</v>
      </c>
      <c r="BN23" s="341"/>
      <c r="BO23" s="342">
        <v>604940348.09999979</v>
      </c>
      <c r="BP23" s="341"/>
      <c r="BQ23" s="342">
        <v>612865082.50999987</v>
      </c>
      <c r="BR23" s="341"/>
      <c r="BS23" s="342">
        <v>585293729.30999994</v>
      </c>
      <c r="BT23" s="341"/>
      <c r="BU23" s="342">
        <v>620287153.9000001</v>
      </c>
      <c r="BW23" s="574">
        <v>509603001.24100006</v>
      </c>
      <c r="BY23" s="564">
        <v>554941244.06099999</v>
      </c>
      <c r="CA23" s="564">
        <v>627960553.27100015</v>
      </c>
      <c r="CC23" s="574">
        <v>621433432.78100014</v>
      </c>
      <c r="CE23" s="574">
        <v>524404243.68100011</v>
      </c>
      <c r="CG23" s="564">
        <v>523591623.21100003</v>
      </c>
      <c r="CI23" s="574">
        <v>547206915.06099987</v>
      </c>
      <c r="CK23" s="562">
        <v>555554679.75099993</v>
      </c>
      <c r="CM23" s="368">
        <f>'Balance Sheet - Dec25'!CI7-'Balance Sheet - Dec25'!CI25</f>
        <v>455012790.83099985</v>
      </c>
      <c r="CO23" s="368">
        <f>'Balance Sheet - Dec25'!CK7-'Balance Sheet - Dec25'!CK25</f>
        <v>454987526.40099978</v>
      </c>
      <c r="CQ23" s="368">
        <f>'Balance Sheet - Dec25'!CM7-'Balance Sheet - Dec25'!CM25</f>
        <v>448293048.14099997</v>
      </c>
      <c r="CS23" s="368">
        <f>'Balance Sheet - Dec25'!CO7-'Balance Sheet - Dec25'!CO25</f>
        <v>459409256.17999995</v>
      </c>
      <c r="CU23" s="368">
        <f>'Balance Sheet - Dec25'!CQ7-'Balance Sheet - Dec25'!CQ25</f>
        <v>504726418.3300001</v>
      </c>
      <c r="CW23" s="368">
        <f>'Balance Sheet - Dec25'!CS7-'Balance Sheet - Dec25'!CS25</f>
        <v>420044381.50999999</v>
      </c>
      <c r="CY23" s="368">
        <f>'Balance Sheet - Dec25'!CU7-'Balance Sheet - Dec25'!CU25</f>
        <v>392271321.11999995</v>
      </c>
      <c r="DA23" s="368">
        <f>'Balance Sheet - Dec25'!CW7-'Balance Sheet - Dec25'!CW25</f>
        <v>406504823.78999996</v>
      </c>
      <c r="DC23" s="368">
        <f>'Balance Sheet - Dec25'!CY7-'Balance Sheet - Dec25'!CY25</f>
        <v>400849059.54999995</v>
      </c>
      <c r="DD23" s="157"/>
      <c r="DE23" s="368">
        <f>'Balance Sheet - Dec25'!DA7-'Balance Sheet - Dec25'!DA25</f>
        <v>316911228.44</v>
      </c>
      <c r="DF23" s="157"/>
      <c r="DG23" s="368">
        <f>'Balance Sheet - Dec25'!DC7-'Balance Sheet - Dec25'!DC25</f>
        <v>317194030.68000001</v>
      </c>
      <c r="DH23" s="157"/>
      <c r="DI23" s="368">
        <f>'Balance Sheet - Dec25'!DE7-'Balance Sheet - Dec25'!DE25</f>
        <v>283678863.80999994</v>
      </c>
      <c r="DJ23" s="157"/>
      <c r="DK23" s="659"/>
      <c r="DL23" s="659"/>
      <c r="DM23" s="659"/>
      <c r="DN23" s="659"/>
      <c r="DO23" s="659"/>
      <c r="DP23" s="659"/>
      <c r="DQ23" s="659"/>
      <c r="DR23" s="659"/>
      <c r="DS23" s="659"/>
      <c r="DT23" s="659"/>
      <c r="DU23" s="659"/>
      <c r="DV23" s="659"/>
      <c r="DW23" s="659"/>
      <c r="DX23" s="659"/>
      <c r="DY23" s="659"/>
      <c r="DZ23" s="659"/>
      <c r="EA23" s="659"/>
      <c r="EB23" s="659"/>
      <c r="EC23" s="659"/>
      <c r="ED23" s="659"/>
      <c r="EE23" s="659"/>
      <c r="EF23" s="659"/>
      <c r="GE23" s="335"/>
      <c r="GF23" s="335"/>
      <c r="GG23" s="335"/>
    </row>
    <row r="24" spans="1:194" ht="14.25" customHeight="1">
      <c r="B24" s="334"/>
      <c r="E24" s="222" t="s">
        <v>558</v>
      </c>
      <c r="G24" s="563">
        <f>G22/G23</f>
        <v>0.54648993495066278</v>
      </c>
      <c r="I24" s="563">
        <f>I22/I23</f>
        <v>0.57483001607864503</v>
      </c>
      <c r="K24" s="563">
        <f>K22/K23</f>
        <v>0.59629241201084371</v>
      </c>
      <c r="M24" s="563">
        <f>M22/M23</f>
        <v>0.58150424633050568</v>
      </c>
      <c r="O24" s="563">
        <f>O22/O23</f>
        <v>0.53322627600551042</v>
      </c>
      <c r="Q24" s="563">
        <f>Q22/Q23</f>
        <v>0.52035897090924321</v>
      </c>
      <c r="S24" s="563">
        <v>0.63142944043160065</v>
      </c>
      <c r="U24" s="563">
        <v>0.53223732690953418</v>
      </c>
      <c r="W24" s="563">
        <v>0.55449058043919919</v>
      </c>
      <c r="Y24" s="563">
        <f>Y22/Y23</f>
        <v>0.55606743215390164</v>
      </c>
      <c r="AA24" s="563">
        <f>AA22/AA23</f>
        <v>0.51854200626281322</v>
      </c>
      <c r="AC24" s="563">
        <v>0.50133924308732303</v>
      </c>
      <c r="AE24" s="563">
        <v>0.49256256933257503</v>
      </c>
      <c r="AG24" s="563">
        <v>0.47700062232805662</v>
      </c>
      <c r="AI24" s="563">
        <v>0.4896357034074697</v>
      </c>
      <c r="AK24" s="563">
        <v>0.46412204466872459</v>
      </c>
      <c r="AM24" s="563">
        <v>0.4959469682155111</v>
      </c>
      <c r="AO24" s="563">
        <v>0.45492659141679881</v>
      </c>
      <c r="AQ24" s="563">
        <v>0.5010013969986401</v>
      </c>
      <c r="AS24" s="563">
        <v>0.50968582750885461</v>
      </c>
      <c r="AT24" s="808" t="str">
        <f>IF(AS24-AU24=0,"Investigate","Fine")</f>
        <v>Fine</v>
      </c>
      <c r="AU24" s="563">
        <v>0.48927073315252162</v>
      </c>
      <c r="AV24" s="808" t="str">
        <f>IF(AU24-AW24=0,"Investigate","Fine")</f>
        <v>Fine</v>
      </c>
      <c r="AW24" s="563">
        <f>AW22/AW23</f>
        <v>0.86724617496555523</v>
      </c>
      <c r="AX24" s="808" t="str">
        <f>IF(AW24-AY24=0,"Investigate","Fine")</f>
        <v>Fine</v>
      </c>
      <c r="AY24" s="563">
        <v>0.47196815966972422</v>
      </c>
      <c r="AZ24" s="808" t="str">
        <f>IF(AY24-BA24=0,"Investigate","Fine")</f>
        <v>Fine</v>
      </c>
      <c r="BA24" s="563">
        <v>0.55937034263264074</v>
      </c>
      <c r="BB24" s="808" t="str">
        <f>IF(BA24-BC24=0,"Investigate","Fine")</f>
        <v>Fine</v>
      </c>
      <c r="BC24" s="563">
        <v>0.62854781070418586</v>
      </c>
      <c r="BD24" s="808" t="str">
        <f>IF(BC24-BE24=0,"Investigate","Fine")</f>
        <v>Fine</v>
      </c>
      <c r="BE24" s="563">
        <v>0.59396098828396393</v>
      </c>
      <c r="BF24" s="808" t="str">
        <f>IF(BE24-BG24=0,"Investigate","Fine")</f>
        <v>Fine</v>
      </c>
      <c r="BG24" s="563">
        <v>0.68697509490353426</v>
      </c>
      <c r="BH24" s="808" t="str">
        <f>IF(BG24-BI24=0,"Investigate","Fine")</f>
        <v>Fine</v>
      </c>
      <c r="BI24" s="548">
        <v>0.70776537471661227</v>
      </c>
      <c r="BJ24" s="808" t="str">
        <f>IF(BI24-BK24=0,"Investigate","Fine")</f>
        <v>Fine</v>
      </c>
      <c r="BK24" s="548">
        <v>0.70452750258811692</v>
      </c>
      <c r="BL24" s="808" t="str">
        <f>IF(BK24-BM24=0,"Investigate","Fine")</f>
        <v>Fine</v>
      </c>
      <c r="BM24" s="548">
        <v>0.79093350875313451</v>
      </c>
      <c r="BO24" s="548">
        <v>0.84049432703754245</v>
      </c>
      <c r="BQ24" s="548">
        <v>0.90944235054524503</v>
      </c>
      <c r="BS24" s="548">
        <v>0.97015663497609672</v>
      </c>
      <c r="BU24" s="548">
        <f>BU22/BU23</f>
        <v>1.0180333517879629</v>
      </c>
      <c r="BW24" s="563">
        <v>1.1460453760530405</v>
      </c>
      <c r="BY24" s="548">
        <f>BY22/BY23</f>
        <v>1.2215720713767746</v>
      </c>
      <c r="BZ24" s="327"/>
      <c r="CA24" s="548">
        <v>0.55269676748353824</v>
      </c>
      <c r="CC24" s="563">
        <v>0.54654123136069732</v>
      </c>
      <c r="CE24" s="563">
        <v>0.56281599876063215</v>
      </c>
      <c r="CG24" s="548">
        <f>CG22/CG23</f>
        <v>0.5832332523718351</v>
      </c>
      <c r="CI24" s="563">
        <v>0.80884243169056946</v>
      </c>
      <c r="CK24" s="563">
        <v>0.81725266470499369</v>
      </c>
      <c r="CM24" s="285">
        <f>CM22/CM23</f>
        <v>0.7922726543026507</v>
      </c>
      <c r="CO24" s="285">
        <f>CO22/CO23</f>
        <v>0.65893685468115548</v>
      </c>
      <c r="CQ24" s="285">
        <f>CQ22/CQ23</f>
        <v>0.70939259114566655</v>
      </c>
      <c r="CS24" s="285">
        <f>CS22/CS23</f>
        <v>0.72058514628685388</v>
      </c>
      <c r="CU24" s="285">
        <f>CU22/CU23</f>
        <v>0.59334141557000375</v>
      </c>
      <c r="CW24" s="285">
        <f>CW22/CW23</f>
        <v>0.68947704355602413</v>
      </c>
      <c r="CY24" s="285">
        <f>CY22/CY23</f>
        <v>0.53526802972238663</v>
      </c>
      <c r="DA24" s="285">
        <f>DA22/DA23</f>
        <v>0.54605422319786467</v>
      </c>
      <c r="DC24" s="285">
        <f>DC22/DC23</f>
        <v>0.52183692751231703</v>
      </c>
      <c r="DD24" s="157"/>
      <c r="DE24" s="285">
        <f>DE22/DE23</f>
        <v>0.51147886318329261</v>
      </c>
      <c r="DF24" s="157"/>
      <c r="DG24" s="285">
        <f>DG22/DG23</f>
        <v>0.62445319050363313</v>
      </c>
      <c r="DH24" s="157"/>
      <c r="DI24" s="285">
        <f>DI22/DI23</f>
        <v>0.69509524017836211</v>
      </c>
      <c r="DJ24" s="157"/>
      <c r="DK24" s="659"/>
      <c r="DL24" s="659"/>
      <c r="DM24" s="659"/>
      <c r="DN24" s="659"/>
      <c r="DO24" s="659"/>
      <c r="DP24" s="659"/>
      <c r="DQ24" s="659"/>
      <c r="DR24" s="659"/>
      <c r="DS24" s="659"/>
      <c r="DT24" s="659"/>
      <c r="DU24" s="659"/>
      <c r="DV24" s="659"/>
      <c r="DW24" s="659"/>
      <c r="DX24" s="659"/>
      <c r="DY24" s="659"/>
      <c r="DZ24" s="659"/>
      <c r="EA24" s="659"/>
      <c r="EB24" s="659"/>
      <c r="EC24" s="659"/>
      <c r="ED24" s="659"/>
      <c r="EE24" s="659"/>
      <c r="EF24" s="659"/>
      <c r="GE24" s="335"/>
      <c r="GF24" s="335"/>
      <c r="GG24" s="335"/>
    </row>
    <row r="26" spans="1:194" ht="14.25" customHeight="1">
      <c r="A26" s="336"/>
      <c r="B26" s="337" t="s">
        <v>631</v>
      </c>
      <c r="C26" s="222" t="s">
        <v>554</v>
      </c>
      <c r="D26" s="222" t="s">
        <v>632</v>
      </c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807"/>
      <c r="AU26" s="222"/>
      <c r="AV26" s="807"/>
      <c r="AW26" s="222"/>
      <c r="AX26" s="807"/>
      <c r="AY26" s="222"/>
      <c r="AZ26" s="807"/>
      <c r="BA26" s="222"/>
      <c r="BB26" s="807"/>
      <c r="BC26" s="222"/>
      <c r="BD26" s="807"/>
      <c r="BE26" s="222"/>
      <c r="BF26" s="807"/>
      <c r="BG26" s="222"/>
      <c r="BH26" s="807"/>
      <c r="BI26" s="222"/>
      <c r="BJ26" s="807"/>
      <c r="BK26" s="222"/>
      <c r="BL26" s="807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222"/>
      <c r="CO26" s="222"/>
      <c r="CP26" s="222"/>
      <c r="CQ26" s="222"/>
      <c r="CR26" s="222"/>
      <c r="CS26" s="222"/>
      <c r="CT26" s="222"/>
      <c r="CU26" s="222"/>
      <c r="CV26" s="222"/>
      <c r="CW26" s="222"/>
      <c r="CX26" s="222"/>
      <c r="CY26" s="362"/>
      <c r="CZ26" s="222"/>
      <c r="DA26" s="362"/>
      <c r="DB26" s="222"/>
      <c r="DC26" s="362"/>
      <c r="DD26" s="212"/>
      <c r="DE26" s="362"/>
      <c r="DF26" s="212"/>
      <c r="DG26" s="362"/>
      <c r="DH26" s="212"/>
      <c r="DI26" s="362"/>
      <c r="DJ26" s="212"/>
      <c r="DK26" s="694"/>
      <c r="DL26" s="694"/>
      <c r="DM26" s="694"/>
      <c r="DN26" s="677"/>
      <c r="DO26" s="694"/>
      <c r="DP26" s="677"/>
      <c r="DQ26" s="694"/>
      <c r="DR26" s="677"/>
      <c r="DS26" s="694"/>
      <c r="DT26" s="677"/>
      <c r="DU26" s="694"/>
      <c r="DV26" s="677"/>
      <c r="DW26" s="694"/>
      <c r="DX26" s="677"/>
      <c r="DY26" s="694"/>
      <c r="DZ26" s="677"/>
      <c r="EA26" s="659"/>
      <c r="EB26" s="677"/>
      <c r="EF26" s="677"/>
      <c r="EH26" s="678"/>
      <c r="EI26" s="686"/>
      <c r="EJ26" s="686"/>
      <c r="EK26" s="686"/>
      <c r="EL26" s="678"/>
      <c r="EM26" s="686"/>
      <c r="EN26" s="678"/>
      <c r="EO26" s="686"/>
      <c r="EP26" s="678"/>
      <c r="EQ26" s="686"/>
      <c r="ER26" s="678"/>
      <c r="ES26" s="686"/>
      <c r="ET26" s="678"/>
      <c r="EU26" s="686"/>
      <c r="GE26" s="335"/>
      <c r="GF26" s="335"/>
      <c r="GG26" s="335"/>
    </row>
    <row r="27" spans="1:194" ht="15" customHeight="1">
      <c r="G27" s="167"/>
      <c r="I27" s="167"/>
      <c r="K27" s="167"/>
      <c r="M27" s="167"/>
      <c r="O27" s="167"/>
      <c r="Q27" s="167"/>
      <c r="S27" s="167"/>
      <c r="U27" s="167"/>
      <c r="W27" s="167"/>
    </row>
    <row r="28" spans="1:194" ht="14.25" customHeight="1">
      <c r="B28" s="340"/>
      <c r="C28" s="341"/>
      <c r="D28" s="341"/>
      <c r="E28" s="341" t="s">
        <v>555</v>
      </c>
      <c r="F28" s="341"/>
      <c r="G28" s="365">
        <f>-('Notes - Dec25'!C5-'Notes - Dec25'!AA5)</f>
        <v>270035716.72000003</v>
      </c>
      <c r="H28" s="341"/>
      <c r="I28" s="365">
        <f>-('Notes - Dec25'!E5-'Notes - Dec25'!AC5)</f>
        <v>258340355.00000003</v>
      </c>
      <c r="J28" s="341"/>
      <c r="K28" s="365">
        <f>-('Notes - Dec25'!G5-'Notes - Dec25'!AE5)</f>
        <v>245103121.00000003</v>
      </c>
      <c r="L28" s="341"/>
      <c r="M28" s="365">
        <f>-('Notes - Dec25'!I5-'Notes - Dec25'!AG5)</f>
        <v>208850617.00000003</v>
      </c>
      <c r="N28" s="341"/>
      <c r="O28" s="365">
        <f>-('Notes - Dec25'!K5-'Notes - Dec25'!AI5)</f>
        <v>201827733.72000003</v>
      </c>
      <c r="P28" s="341"/>
      <c r="Q28" s="365">
        <f>-('Notes - Dec25'!M5-'Notes - Dec25'!AK5)</f>
        <v>191423876.29000002</v>
      </c>
      <c r="R28" s="341"/>
      <c r="S28" s="365">
        <v>185387586.92000002</v>
      </c>
      <c r="T28" s="341"/>
      <c r="U28" s="365">
        <v>175218442.46000001</v>
      </c>
      <c r="V28" s="341"/>
      <c r="W28" s="365">
        <v>172408511.08000001</v>
      </c>
      <c r="X28" s="341"/>
      <c r="Y28" s="365">
        <f>-('Notes - Dec25'!U5-'Notes - Dec25'!AS5)</f>
        <v>94458892.25</v>
      </c>
      <c r="Z28" s="341"/>
      <c r="AA28" s="365">
        <f>-('Notes - Dec25'!W5-'Notes - Dec25'!AU5)</f>
        <v>95883452.909999982</v>
      </c>
      <c r="AB28" s="341"/>
      <c r="AC28" s="365">
        <v>95947531.039999992</v>
      </c>
      <c r="AD28" s="341"/>
      <c r="AE28" s="365">
        <v>96880043.280000001</v>
      </c>
      <c r="AF28" s="341"/>
      <c r="AG28" s="365">
        <v>97700884.359999985</v>
      </c>
      <c r="AH28" s="341"/>
      <c r="AI28" s="365">
        <v>96436473.019999981</v>
      </c>
      <c r="AJ28" s="341"/>
      <c r="AK28" s="365">
        <v>94558332.019999981</v>
      </c>
      <c r="AL28" s="341"/>
      <c r="AM28" s="365">
        <v>90327761.299999982</v>
      </c>
      <c r="AN28" s="341"/>
      <c r="AO28" s="365">
        <v>87035410.729999989</v>
      </c>
      <c r="AP28" s="341"/>
      <c r="AQ28" s="365">
        <v>81898883.099999994</v>
      </c>
      <c r="AR28" s="341"/>
      <c r="AS28" s="365">
        <v>77009688.560000002</v>
      </c>
      <c r="AU28" s="365">
        <v>72692096.769999981</v>
      </c>
      <c r="AW28" s="365">
        <v>67292788.769999981</v>
      </c>
      <c r="AY28" s="365">
        <v>62338043.110000007</v>
      </c>
      <c r="BA28" s="365">
        <v>52954319.979999997</v>
      </c>
      <c r="BC28" s="365">
        <v>53082652.57</v>
      </c>
      <c r="BE28" s="365">
        <v>49993352.660000004</v>
      </c>
      <c r="BG28" s="365">
        <v>46682914.000000007</v>
      </c>
      <c r="BI28" s="365">
        <v>42985755.000000007</v>
      </c>
      <c r="BK28" s="365">
        <v>39861048.000000007</v>
      </c>
      <c r="BM28" s="365">
        <v>35814511.000000007</v>
      </c>
      <c r="BN28" s="341"/>
      <c r="BO28" s="365">
        <v>34355416.470000006</v>
      </c>
      <c r="BP28" s="341"/>
      <c r="BQ28" s="365">
        <v>32364254.470000006</v>
      </c>
      <c r="BR28" s="341"/>
      <c r="BS28" s="365">
        <v>31027065.260000005</v>
      </c>
      <c r="BT28" s="341"/>
      <c r="BU28" s="365">
        <v>30416169.260000005</v>
      </c>
      <c r="BV28" s="341"/>
      <c r="BW28" s="365">
        <v>29309838.259999998</v>
      </c>
      <c r="BX28" s="341"/>
      <c r="BY28" s="365">
        <v>26103136.059999995</v>
      </c>
      <c r="BZ28" s="341"/>
      <c r="CA28" s="365">
        <v>24431396.959999997</v>
      </c>
      <c r="CB28" s="341"/>
      <c r="CC28" s="365">
        <v>23385182.149999999</v>
      </c>
      <c r="CD28" s="341"/>
      <c r="CE28" s="365">
        <v>22348629</v>
      </c>
      <c r="CF28" s="341"/>
      <c r="CG28" s="365">
        <v>21421152.5</v>
      </c>
      <c r="CH28" s="341"/>
      <c r="CI28" s="365">
        <v>20544702.119999997</v>
      </c>
      <c r="CJ28" s="341"/>
      <c r="CK28" s="365">
        <v>19491418.77</v>
      </c>
      <c r="CL28" s="341"/>
      <c r="CM28" s="365">
        <v>18468156.43</v>
      </c>
      <c r="CN28" s="341"/>
      <c r="CO28" s="365">
        <v>17480779.43</v>
      </c>
      <c r="CP28" s="341"/>
      <c r="CQ28" s="365">
        <v>16332546.490000002</v>
      </c>
      <c r="CR28" s="341"/>
      <c r="CS28" s="365">
        <v>15512418</v>
      </c>
      <c r="CT28" s="341"/>
      <c r="CU28" s="365">
        <v>14734288.150000002</v>
      </c>
      <c r="CV28" s="341"/>
      <c r="CW28" s="365">
        <v>18001711.210000005</v>
      </c>
      <c r="CX28" s="341"/>
      <c r="CY28" s="368">
        <v>15817410.400000002</v>
      </c>
      <c r="CZ28" s="341"/>
      <c r="DA28" s="368">
        <v>15461818.08</v>
      </c>
      <c r="DB28" s="341"/>
      <c r="DC28" s="368">
        <v>15264665.259999998</v>
      </c>
      <c r="DD28" s="344"/>
      <c r="DE28" s="368">
        <v>15969026.319999998</v>
      </c>
      <c r="DF28" s="344"/>
      <c r="DG28" s="368">
        <v>15839679.420000002</v>
      </c>
      <c r="DH28" s="344"/>
      <c r="DI28" s="368">
        <v>15668275.579999998</v>
      </c>
      <c r="DJ28" s="344"/>
      <c r="DK28" s="673"/>
      <c r="DL28" s="673"/>
      <c r="DM28" s="673"/>
      <c r="DN28" s="659"/>
      <c r="DO28" s="673"/>
      <c r="DP28" s="659"/>
      <c r="DQ28" s="673"/>
      <c r="DR28" s="659"/>
      <c r="DS28" s="673"/>
      <c r="DT28" s="659"/>
      <c r="DU28" s="673"/>
      <c r="DV28" s="659"/>
      <c r="DW28" s="666"/>
      <c r="DX28" s="659"/>
      <c r="DY28" s="666"/>
      <c r="DZ28" s="659"/>
      <c r="EA28" s="659"/>
      <c r="EB28" s="659"/>
      <c r="EF28" s="659"/>
      <c r="EI28" s="672"/>
      <c r="EJ28" s="672"/>
      <c r="EK28" s="672"/>
      <c r="EM28" s="672"/>
      <c r="EO28" s="667"/>
      <c r="EQ28" s="666"/>
      <c r="ES28" s="666"/>
      <c r="EU28" s="667"/>
      <c r="GE28" s="335"/>
      <c r="GF28" s="335"/>
      <c r="GG28" s="335"/>
    </row>
    <row r="29" spans="1:194" ht="14.25" customHeight="1">
      <c r="B29" s="340"/>
      <c r="C29" s="341"/>
      <c r="D29" s="341"/>
      <c r="E29" s="341" t="s">
        <v>644</v>
      </c>
      <c r="F29" s="341"/>
      <c r="G29" s="574">
        <f>G54</f>
        <v>1787240556.1200001</v>
      </c>
      <c r="H29" s="341"/>
      <c r="I29" s="574">
        <f>I54</f>
        <v>1837456371.4499998</v>
      </c>
      <c r="J29" s="341"/>
      <c r="K29" s="574">
        <f>K54</f>
        <v>1766309761.7599998</v>
      </c>
      <c r="L29" s="341"/>
      <c r="M29" s="574">
        <f>M54</f>
        <v>1802684598.6199999</v>
      </c>
      <c r="N29" s="341"/>
      <c r="O29" s="574">
        <f>O54</f>
        <v>1816293431.21</v>
      </c>
      <c r="P29" s="341"/>
      <c r="Q29" s="574">
        <f>Q54</f>
        <v>1847614116.8899999</v>
      </c>
      <c r="R29" s="341"/>
      <c r="S29" s="574">
        <v>1767592727.6099999</v>
      </c>
      <c r="T29" s="341"/>
      <c r="U29" s="574">
        <v>1807222176.29</v>
      </c>
      <c r="V29" s="341"/>
      <c r="W29" s="574">
        <v>1816086436.0599999</v>
      </c>
      <c r="X29" s="341"/>
      <c r="Y29" s="574">
        <f>Y54</f>
        <v>1993050439.52</v>
      </c>
      <c r="Z29" s="341"/>
      <c r="AA29" s="574">
        <f>AA54</f>
        <v>2054642720.5799999</v>
      </c>
      <c r="AB29" s="341"/>
      <c r="AC29" s="574">
        <v>1988690111.1500001</v>
      </c>
      <c r="AD29" s="341"/>
      <c r="AE29" s="574">
        <v>1987334403</v>
      </c>
      <c r="AF29" s="341"/>
      <c r="AG29" s="574">
        <v>2046376473.3099999</v>
      </c>
      <c r="AH29" s="341"/>
      <c r="AI29" s="574">
        <v>2018986644.1900001</v>
      </c>
      <c r="AJ29" s="341"/>
      <c r="AK29" s="574">
        <v>1959026394.99</v>
      </c>
      <c r="AL29" s="341"/>
      <c r="AM29" s="574">
        <v>1915410618.3799999</v>
      </c>
      <c r="AN29" s="341"/>
      <c r="AO29" s="574">
        <v>1880488738.23</v>
      </c>
      <c r="AP29" s="341"/>
      <c r="AQ29" s="574">
        <v>1814743675.04</v>
      </c>
      <c r="AR29" s="341"/>
      <c r="AS29" s="574">
        <v>1758661475.4200001</v>
      </c>
      <c r="AU29" s="574">
        <v>1710620051.1299999</v>
      </c>
      <c r="AW29" s="574">
        <v>1665698639.0699999</v>
      </c>
      <c r="AY29" s="574">
        <v>1596708804.3599999</v>
      </c>
      <c r="BA29" s="574">
        <v>1467078109.5500002</v>
      </c>
      <c r="BC29" s="574">
        <v>1366752615.95</v>
      </c>
      <c r="BE29" s="574">
        <v>1321752464.75</v>
      </c>
      <c r="BG29" s="574">
        <v>1203150265.05</v>
      </c>
      <c r="BI29" s="564">
        <v>1135485701.3899999</v>
      </c>
      <c r="BK29" s="564">
        <v>1080087940.51</v>
      </c>
      <c r="BM29" s="564">
        <v>995242016.29000008</v>
      </c>
      <c r="BN29" s="341"/>
      <c r="BO29" s="564">
        <v>946438697.37</v>
      </c>
      <c r="BP29" s="341"/>
      <c r="BQ29" s="564">
        <v>890745986.65999997</v>
      </c>
      <c r="BR29" s="341"/>
      <c r="BS29" s="564">
        <v>839619815.02999997</v>
      </c>
      <c r="BT29" s="341"/>
      <c r="BU29" s="564">
        <f>BU54</f>
        <v>799448982.04000008</v>
      </c>
      <c r="BV29" s="341"/>
      <c r="BW29" s="574">
        <v>740014530.67000008</v>
      </c>
      <c r="BX29" s="341"/>
      <c r="BY29" s="368">
        <f>BY54</f>
        <v>699151217.23000002</v>
      </c>
      <c r="BZ29" s="341"/>
      <c r="CA29" s="368">
        <f>CA54</f>
        <v>671100884.07000005</v>
      </c>
      <c r="CB29" s="341"/>
      <c r="CC29" s="368">
        <f>CC54</f>
        <v>687598311.49000001</v>
      </c>
      <c r="CD29" s="341"/>
      <c r="CE29" s="368">
        <f>CE54</f>
        <v>622508015.80000007</v>
      </c>
      <c r="CF29" s="341"/>
      <c r="CG29" s="368">
        <f>CG54</f>
        <v>611656792.63</v>
      </c>
      <c r="CH29" s="341"/>
      <c r="CI29" s="368">
        <f>CI54</f>
        <v>577080258.5</v>
      </c>
      <c r="CJ29" s="341"/>
      <c r="CK29" s="368">
        <f>CK54</f>
        <v>554384904.85000002</v>
      </c>
      <c r="CL29" s="341"/>
      <c r="CM29" s="368">
        <f>CM54</f>
        <v>534282453.36999995</v>
      </c>
      <c r="CN29" s="341"/>
      <c r="CO29" s="368">
        <f>CO54</f>
        <v>501290360.73999995</v>
      </c>
      <c r="CP29" s="341"/>
      <c r="CQ29" s="368">
        <f>CQ54</f>
        <v>474159895.56999999</v>
      </c>
      <c r="CR29" s="341"/>
      <c r="CS29" s="368">
        <f>CS54</f>
        <v>460135605.05000001</v>
      </c>
      <c r="CT29" s="341"/>
      <c r="CU29" s="368">
        <f>CU54</f>
        <v>443078623.78000003</v>
      </c>
      <c r="CV29" s="341"/>
      <c r="CW29" s="368">
        <f>CW54</f>
        <v>405533652.20000005</v>
      </c>
      <c r="CX29" s="341"/>
      <c r="CY29" s="368">
        <f>CY54</f>
        <v>398299074.82999998</v>
      </c>
      <c r="CZ29" s="341"/>
      <c r="DA29" s="368">
        <f>DA54</f>
        <v>403341685</v>
      </c>
      <c r="DB29" s="341"/>
      <c r="DC29" s="368">
        <f>DC54</f>
        <v>366464489.05000001</v>
      </c>
      <c r="DD29" s="368"/>
      <c r="DE29" s="368">
        <f>DE54</f>
        <v>339890226.5</v>
      </c>
      <c r="DF29" s="368"/>
      <c r="DG29" s="368">
        <f>DG54</f>
        <v>312726447.78999996</v>
      </c>
      <c r="DH29" s="368"/>
      <c r="DI29" s="368">
        <f>DI54</f>
        <v>281371174.50999999</v>
      </c>
      <c r="DJ29" s="368"/>
      <c r="DK29" s="673"/>
      <c r="DL29" s="673"/>
      <c r="DM29" s="673"/>
      <c r="DN29" s="695"/>
      <c r="DO29" s="673"/>
      <c r="DP29" s="695"/>
      <c r="DQ29" s="673"/>
      <c r="DR29" s="659"/>
      <c r="DS29" s="673"/>
      <c r="DT29" s="659"/>
      <c r="DU29" s="673"/>
      <c r="DV29" s="659"/>
      <c r="DW29" s="666"/>
      <c r="DX29" s="659"/>
      <c r="DY29" s="666"/>
      <c r="DZ29" s="659"/>
      <c r="EA29" s="659"/>
      <c r="EB29" s="659"/>
      <c r="EF29" s="659"/>
      <c r="EI29" s="672"/>
      <c r="EJ29" s="672"/>
      <c r="EK29" s="672"/>
      <c r="EM29" s="672"/>
      <c r="EO29" s="666"/>
      <c r="EQ29" s="666"/>
      <c r="ES29" s="666"/>
      <c r="EU29" s="667"/>
      <c r="GE29" s="335"/>
      <c r="GF29" s="335"/>
      <c r="GG29" s="335"/>
    </row>
    <row r="30" spans="1:194" ht="14.25" customHeight="1">
      <c r="B30" s="334"/>
      <c r="C30" s="222"/>
      <c r="D30" s="222"/>
      <c r="E30" s="222" t="s">
        <v>556</v>
      </c>
      <c r="F30" s="222"/>
      <c r="G30" s="559">
        <f>+G28/G29</f>
        <v>0.15109086227666663</v>
      </c>
      <c r="H30" s="222"/>
      <c r="I30" s="559">
        <f>+I28/I29</f>
        <v>0.14059672872457635</v>
      </c>
      <c r="J30" s="222"/>
      <c r="K30" s="559">
        <f>+K28/K29</f>
        <v>0.13876564932516283</v>
      </c>
      <c r="L30" s="222"/>
      <c r="M30" s="559">
        <f>+M28/M29</f>
        <v>0.11585532885779376</v>
      </c>
      <c r="N30" s="222"/>
      <c r="O30" s="559">
        <f>+O28/O29</f>
        <v>0.11112066489473786</v>
      </c>
      <c r="P30" s="222"/>
      <c r="Q30" s="559">
        <f>+Q28/Q29</f>
        <v>0.10360598273205156</v>
      </c>
      <c r="R30" s="222"/>
      <c r="S30" s="559">
        <v>0.10488139265579949</v>
      </c>
      <c r="T30" s="222"/>
      <c r="U30" s="559">
        <v>9.6954566383034013E-2</v>
      </c>
      <c r="V30" s="222"/>
      <c r="W30" s="559">
        <v>9.493408884988995E-2</v>
      </c>
      <c r="X30" s="222"/>
      <c r="Y30" s="559">
        <f>+Y28/Y29</f>
        <v>4.7394130312501864E-2</v>
      </c>
      <c r="Z30" s="222"/>
      <c r="AA30" s="559">
        <f>+AA28/AA29</f>
        <v>4.6666727966667258E-2</v>
      </c>
      <c r="AB30" s="222"/>
      <c r="AC30" s="559">
        <v>4.824659734669088E-2</v>
      </c>
      <c r="AD30" s="222"/>
      <c r="AE30" s="559">
        <v>4.8748737572173954E-2</v>
      </c>
      <c r="AF30" s="222"/>
      <c r="AG30" s="559">
        <v>4.7743357898348722E-2</v>
      </c>
      <c r="AH30" s="222"/>
      <c r="AI30" s="559">
        <v>4.7764789973976998E-2</v>
      </c>
      <c r="AJ30" s="222"/>
      <c r="AK30" s="559">
        <v>4.8268023474223105E-2</v>
      </c>
      <c r="AL30" s="222"/>
      <c r="AM30" s="559">
        <v>4.7158431948339435E-2</v>
      </c>
      <c r="AN30" s="222"/>
      <c r="AO30" s="559">
        <v>4.6283399076306943E-2</v>
      </c>
      <c r="AP30" s="222"/>
      <c r="AQ30" s="559">
        <v>4.5129725055079645E-2</v>
      </c>
      <c r="AR30" s="222"/>
      <c r="AS30" s="559">
        <v>4.3788807360784825E-2</v>
      </c>
      <c r="AT30" s="808" t="str">
        <f>IF(AS30-AU30=0,"Investigate","Fine")</f>
        <v>Fine</v>
      </c>
      <c r="AU30" s="559">
        <v>4.2494589445494398E-2</v>
      </c>
      <c r="AV30" s="808" t="str">
        <f>IF(AU30-AW30=0,"Investigate","Fine")</f>
        <v>Fine</v>
      </c>
      <c r="AW30" s="559">
        <f>+AW28/AW29</f>
        <v>4.0399137750134193E-2</v>
      </c>
      <c r="AX30" s="808" t="str">
        <f>IF(AW30-AY30=0,"Investigate","Fine")</f>
        <v>Fine</v>
      </c>
      <c r="AY30" s="559">
        <v>3.9041585378485233E-2</v>
      </c>
      <c r="AZ30" s="808" t="str">
        <f>IF(AY30-BA30=0,"Investigate","Fine")</f>
        <v>Fine</v>
      </c>
      <c r="BA30" s="559">
        <v>3.6095092439381284E-2</v>
      </c>
      <c r="BB30" s="808" t="str">
        <f>IF(BA30-BC30=0,"Investigate","Fine")</f>
        <v>Fine</v>
      </c>
      <c r="BC30" s="559">
        <v>3.8838522751319854E-2</v>
      </c>
      <c r="BD30" s="808" t="str">
        <f>IF(BC30-BE30=0,"Investigate","Fine")</f>
        <v>Fine</v>
      </c>
      <c r="BE30" s="559">
        <v>3.7823536549603402E-2</v>
      </c>
      <c r="BF30" s="808" t="str">
        <f>IF(BE30-BG30=0,"Investigate","Fine")</f>
        <v>Fine</v>
      </c>
      <c r="BG30" s="559">
        <v>3.8800568271545016E-2</v>
      </c>
      <c r="BH30" s="808" t="str">
        <f>IF(BG30-BI30=0,"Investigate","Fine")</f>
        <v>Fine</v>
      </c>
      <c r="BI30" s="356">
        <v>3.7856711843556622E-2</v>
      </c>
      <c r="BJ30" s="808" t="str">
        <f>IF(BI30-BK30=0,"Investigate","Fine")</f>
        <v>Fine</v>
      </c>
      <c r="BK30" s="356">
        <v>3.6905372706206002E-2</v>
      </c>
      <c r="BL30" s="808" t="str">
        <f>IF(BK30-BM30=0,"Investigate","Fine")</f>
        <v>Fine</v>
      </c>
      <c r="BM30" s="356">
        <v>3.5985730519604735E-2</v>
      </c>
      <c r="BN30" s="222"/>
      <c r="BO30" s="356">
        <v>3.6299674311149943E-2</v>
      </c>
      <c r="BP30" s="222"/>
      <c r="BQ30" s="356">
        <v>3.6333876273027234E-2</v>
      </c>
      <c r="BR30" s="222"/>
      <c r="BS30" s="356">
        <v>3.6953707743178257E-2</v>
      </c>
      <c r="BT30" s="222"/>
      <c r="BU30" s="356">
        <f>+BU28/BU29</f>
        <v>3.8046416898781098E-2</v>
      </c>
      <c r="BV30" s="222"/>
      <c r="BW30" s="559">
        <v>3.9607111813687264E-2</v>
      </c>
      <c r="BX30" s="222"/>
      <c r="BY30" s="356">
        <f>+BY28/BY29</f>
        <v>3.7335465371024071E-2</v>
      </c>
      <c r="BZ30" s="222"/>
      <c r="CA30" s="356">
        <v>4.4809000163773302E-2</v>
      </c>
      <c r="CB30" s="222"/>
      <c r="CC30" s="559">
        <v>4.4756272733794532E-2</v>
      </c>
      <c r="CD30" s="222"/>
      <c r="CE30" s="559">
        <v>4.4803656810797066E-2</v>
      </c>
      <c r="CF30" s="222"/>
      <c r="CG30" s="356">
        <f>+CG28/CG29</f>
        <v>3.502152311248502E-2</v>
      </c>
      <c r="CH30" s="222"/>
      <c r="CI30" s="573">
        <v>4.5170223546964663E-2</v>
      </c>
      <c r="CJ30" s="222"/>
      <c r="CK30" s="559">
        <v>4.5035734720952354E-2</v>
      </c>
      <c r="CL30" s="222"/>
      <c r="CM30" s="356">
        <f>+CM28/CM29</f>
        <v>3.4566279153492016E-2</v>
      </c>
      <c r="CN30" s="222"/>
      <c r="CO30" s="356">
        <f>+CO28/CO29</f>
        <v>3.4871565063000702E-2</v>
      </c>
      <c r="CP30" s="222"/>
      <c r="CQ30" s="356">
        <f>+CQ28/CQ29</f>
        <v>3.4445229642136269E-2</v>
      </c>
      <c r="CR30" s="222"/>
      <c r="CS30" s="356">
        <f>+CS28/CS29</f>
        <v>3.3712709535516958E-2</v>
      </c>
      <c r="CT30" s="222"/>
      <c r="CU30" s="356">
        <f>+CU28/CU29</f>
        <v>3.3254342139773269E-2</v>
      </c>
      <c r="CV30" s="222"/>
      <c r="CW30" s="356">
        <f>+CW28/CW29</f>
        <v>4.4390178502675695E-2</v>
      </c>
      <c r="CX30" s="222"/>
      <c r="CY30" s="356">
        <f>+CY28/CY29</f>
        <v>3.9712395532806873E-2</v>
      </c>
      <c r="CZ30" s="222"/>
      <c r="DA30" s="356">
        <f>+DA28/DA29</f>
        <v>3.8334292375458288E-2</v>
      </c>
      <c r="DB30" s="222"/>
      <c r="DC30" s="356">
        <f>+DC28/DC29</f>
        <v>4.1653872929328505E-2</v>
      </c>
      <c r="DD30" s="212"/>
      <c r="DE30" s="356">
        <f>+DE28/DE29</f>
        <v>4.6982893519593442E-2</v>
      </c>
      <c r="DF30" s="212"/>
      <c r="DG30" s="356">
        <f>+DG28/DG29</f>
        <v>5.0650271289611429E-2</v>
      </c>
      <c r="DH30" s="212"/>
      <c r="DI30" s="356">
        <f>+DI28/DI29</f>
        <v>5.5685432622179086E-2</v>
      </c>
      <c r="DJ30" s="212"/>
      <c r="DK30" s="673"/>
      <c r="DL30" s="673"/>
      <c r="DM30" s="673"/>
      <c r="DN30" s="677"/>
      <c r="DO30" s="673"/>
      <c r="DP30" s="677"/>
      <c r="DQ30" s="673"/>
      <c r="DR30" s="659"/>
      <c r="DS30" s="673"/>
      <c r="DT30" s="677"/>
      <c r="DU30" s="673"/>
      <c r="DV30" s="677"/>
      <c r="DW30" s="684"/>
      <c r="DX30" s="677"/>
      <c r="DY30" s="684"/>
      <c r="DZ30" s="677"/>
      <c r="EA30" s="659"/>
      <c r="EB30" s="677"/>
      <c r="EF30" s="677"/>
      <c r="EH30" s="678"/>
      <c r="EI30" s="672"/>
      <c r="EJ30" s="672"/>
      <c r="EK30" s="672"/>
      <c r="EL30" s="678"/>
      <c r="EM30" s="672"/>
      <c r="EN30" s="678"/>
      <c r="EO30" s="674"/>
      <c r="EP30" s="678"/>
      <c r="EQ30" s="674"/>
      <c r="ER30" s="678"/>
      <c r="ES30" s="674"/>
      <c r="ET30" s="678"/>
      <c r="EU30" s="674"/>
      <c r="GE30" s="335"/>
      <c r="GF30" s="335"/>
      <c r="GG30" s="335"/>
    </row>
    <row r="31" spans="1:194" ht="14.25" customHeight="1">
      <c r="B31" s="334"/>
      <c r="F31" s="222"/>
      <c r="H31" s="222"/>
      <c r="J31" s="222"/>
      <c r="L31" s="222"/>
      <c r="N31" s="222"/>
      <c r="P31" s="222"/>
      <c r="R31" s="222"/>
      <c r="T31" s="222"/>
      <c r="V31" s="222"/>
      <c r="X31" s="222"/>
      <c r="Z31" s="222"/>
      <c r="AB31" s="222"/>
      <c r="AD31" s="222"/>
      <c r="AF31" s="222"/>
      <c r="AH31" s="222"/>
      <c r="AJ31" s="222"/>
      <c r="AL31" s="222"/>
      <c r="AN31" s="222"/>
      <c r="AP31" s="222"/>
      <c r="AR31" s="222"/>
      <c r="AT31" s="807"/>
      <c r="AV31" s="807"/>
      <c r="AX31" s="807"/>
      <c r="AZ31" s="807"/>
      <c r="BB31" s="807"/>
      <c r="BD31" s="807"/>
      <c r="BF31" s="807"/>
      <c r="BH31" s="807"/>
      <c r="BJ31" s="807"/>
      <c r="BL31" s="807"/>
      <c r="BN31" s="222"/>
      <c r="BP31" s="222"/>
      <c r="BR31" s="222"/>
      <c r="BT31" s="222"/>
      <c r="BV31" s="222"/>
      <c r="BX31" s="222"/>
      <c r="BZ31" s="222"/>
      <c r="CB31" s="222"/>
      <c r="CD31" s="222"/>
      <c r="CF31" s="222"/>
      <c r="CH31" s="222"/>
      <c r="CJ31" s="222"/>
      <c r="CL31" s="222"/>
      <c r="CN31" s="222"/>
      <c r="CY31" s="657"/>
      <c r="DA31" s="657"/>
      <c r="DC31" s="657"/>
      <c r="DD31" s="410"/>
      <c r="DE31" s="657"/>
      <c r="DF31" s="410"/>
      <c r="DG31" s="657"/>
      <c r="DH31" s="410"/>
      <c r="DI31" s="657"/>
      <c r="DJ31" s="410"/>
      <c r="DK31" s="701"/>
      <c r="DL31" s="696"/>
      <c r="DM31" s="701"/>
      <c r="DN31" s="696"/>
      <c r="DO31" s="701"/>
      <c r="DP31" s="696"/>
      <c r="DQ31" s="701"/>
      <c r="DR31" s="696"/>
      <c r="DS31" s="701"/>
      <c r="DT31" s="696"/>
      <c r="DU31" s="701"/>
      <c r="DV31" s="696"/>
      <c r="DW31" s="701"/>
      <c r="DX31" s="696"/>
      <c r="DY31" s="701"/>
      <c r="DZ31" s="696"/>
      <c r="EA31" s="701"/>
      <c r="EB31" s="696"/>
      <c r="EC31" s="701"/>
      <c r="ED31" s="696"/>
      <c r="EE31" s="701"/>
      <c r="EF31" s="696"/>
      <c r="EG31" s="670"/>
      <c r="EI31" s="670"/>
      <c r="EK31" s="670"/>
      <c r="EM31" s="670"/>
      <c r="EO31" s="670"/>
      <c r="EQ31" s="670"/>
      <c r="ES31" s="670"/>
      <c r="EU31" s="670"/>
      <c r="EV31" s="670"/>
      <c r="EW31" s="670"/>
      <c r="EX31" s="670"/>
      <c r="EY31" s="670"/>
      <c r="EZ31" s="670"/>
      <c r="FA31" s="670"/>
      <c r="FB31" s="670"/>
      <c r="FC31" s="670"/>
      <c r="FD31" s="670"/>
      <c r="FE31" s="670"/>
      <c r="FF31" s="670"/>
      <c r="FG31" s="670"/>
      <c r="FH31" s="670"/>
      <c r="FI31" s="670"/>
      <c r="FJ31" s="670"/>
      <c r="FK31" s="670"/>
      <c r="FL31" s="670"/>
      <c r="FM31" s="670"/>
      <c r="FN31" s="670"/>
      <c r="FO31" s="670"/>
      <c r="FP31" s="670"/>
      <c r="FQ31" s="670"/>
      <c r="FR31" s="670"/>
      <c r="FS31" s="670"/>
      <c r="FT31" s="670"/>
      <c r="FU31" s="670"/>
      <c r="FV31" s="670"/>
      <c r="FW31" s="670"/>
      <c r="FY31" s="670"/>
      <c r="FZ31" s="671"/>
      <c r="GA31" s="670"/>
      <c r="GB31" s="672"/>
      <c r="GC31" s="670"/>
      <c r="GE31" s="335"/>
      <c r="GF31" s="335"/>
      <c r="GG31" s="335"/>
    </row>
    <row r="32" spans="1:194" ht="14.25" customHeight="1">
      <c r="B32" s="336" t="s">
        <v>633</v>
      </c>
      <c r="C32" s="222" t="s">
        <v>498</v>
      </c>
      <c r="D32" s="222" t="s">
        <v>816</v>
      </c>
      <c r="E32" s="222"/>
      <c r="F32" s="222"/>
      <c r="G32" s="184"/>
      <c r="H32" s="222"/>
      <c r="I32" s="184"/>
      <c r="J32" s="222"/>
      <c r="K32" s="184"/>
      <c r="L32" s="222"/>
      <c r="M32" s="184"/>
      <c r="N32" s="222"/>
      <c r="O32" s="184"/>
      <c r="P32" s="222"/>
      <c r="Q32" s="184"/>
      <c r="R32" s="222"/>
      <c r="S32" s="184"/>
      <c r="T32" s="222"/>
      <c r="U32" s="184"/>
      <c r="V32" s="222"/>
      <c r="W32" s="184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807"/>
      <c r="AU32" s="222"/>
      <c r="AV32" s="807"/>
      <c r="AW32" s="222"/>
      <c r="AX32" s="807"/>
      <c r="AY32" s="222"/>
      <c r="AZ32" s="807"/>
      <c r="BA32" s="222"/>
      <c r="BB32" s="807"/>
      <c r="BC32" s="222"/>
      <c r="BD32" s="807"/>
      <c r="BE32" s="222"/>
      <c r="BF32" s="807"/>
      <c r="BG32" s="222"/>
      <c r="BH32" s="807"/>
      <c r="BI32" s="222"/>
      <c r="BJ32" s="807"/>
      <c r="BK32" s="222"/>
      <c r="BL32" s="807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2"/>
      <c r="CR32" s="222"/>
      <c r="CS32" s="222"/>
      <c r="CT32" s="222"/>
      <c r="CU32" s="222"/>
      <c r="CV32" s="222"/>
      <c r="CW32" s="222"/>
      <c r="CX32" s="222"/>
      <c r="CY32" s="352"/>
      <c r="CZ32" s="222"/>
      <c r="DA32" s="352"/>
      <c r="DB32" s="222"/>
      <c r="DC32" s="352"/>
      <c r="DD32" s="212"/>
      <c r="DE32" s="352"/>
      <c r="DF32" s="212"/>
      <c r="DG32" s="352"/>
      <c r="DH32" s="212"/>
      <c r="DI32" s="352"/>
      <c r="DJ32" s="212"/>
      <c r="DK32" s="676"/>
      <c r="DL32" s="677"/>
      <c r="DM32" s="676"/>
      <c r="DN32" s="677"/>
      <c r="DO32" s="676"/>
      <c r="DP32" s="677"/>
      <c r="DQ32" s="676"/>
      <c r="DR32" s="677"/>
      <c r="DS32" s="676"/>
      <c r="DT32" s="677"/>
      <c r="DU32" s="676"/>
      <c r="DV32" s="677"/>
      <c r="DW32" s="676"/>
      <c r="DX32" s="677"/>
      <c r="DY32" s="676"/>
      <c r="DZ32" s="677"/>
      <c r="EA32" s="676"/>
      <c r="EB32" s="677"/>
      <c r="EC32" s="676"/>
      <c r="ED32" s="677"/>
      <c r="EE32" s="676"/>
      <c r="EF32" s="677"/>
      <c r="EG32" s="661"/>
      <c r="EH32" s="678"/>
      <c r="EI32" s="661"/>
      <c r="EJ32" s="678"/>
      <c r="EK32" s="661"/>
      <c r="EL32" s="678"/>
      <c r="EM32" s="661"/>
      <c r="EN32" s="678"/>
      <c r="EO32" s="661"/>
      <c r="EP32" s="678"/>
      <c r="EQ32" s="661"/>
      <c r="ER32" s="678"/>
      <c r="ES32" s="661"/>
      <c r="ET32" s="678"/>
      <c r="EU32" s="661"/>
      <c r="EV32" s="661"/>
      <c r="EW32" s="661"/>
      <c r="EX32" s="661"/>
      <c r="EY32" s="661"/>
      <c r="EZ32" s="661"/>
      <c r="FA32" s="661"/>
      <c r="FB32" s="661"/>
      <c r="FC32" s="661"/>
      <c r="FD32" s="661"/>
      <c r="FE32" s="661"/>
      <c r="FF32" s="661"/>
      <c r="FG32" s="661"/>
      <c r="FH32" s="661"/>
      <c r="FI32" s="661"/>
      <c r="FJ32" s="661"/>
      <c r="FK32" s="661"/>
      <c r="FL32" s="661"/>
      <c r="FM32" s="661"/>
      <c r="FN32" s="661"/>
      <c r="FO32" s="661"/>
      <c r="FP32" s="661"/>
      <c r="FQ32" s="661"/>
      <c r="FR32" s="661"/>
      <c r="FS32" s="661"/>
      <c r="FT32" s="661"/>
      <c r="FU32" s="661"/>
      <c r="FV32" s="661"/>
      <c r="FW32" s="661"/>
      <c r="FX32" s="678"/>
      <c r="FY32" s="661"/>
      <c r="FZ32" s="679"/>
      <c r="GA32" s="679"/>
      <c r="GB32" s="678"/>
      <c r="GC32" s="680"/>
      <c r="GD32" s="222"/>
      <c r="GE32" s="288"/>
      <c r="GF32" s="288"/>
      <c r="GG32" s="288"/>
      <c r="GH32" s="222"/>
      <c r="GI32" s="222"/>
      <c r="GJ32" s="222"/>
      <c r="GK32" s="222"/>
      <c r="GL32" s="222"/>
    </row>
    <row r="33" spans="2:194" ht="7.5" customHeight="1">
      <c r="B33" s="334"/>
      <c r="CY33" s="224"/>
      <c r="DA33" s="224"/>
      <c r="DC33" s="224"/>
      <c r="DD33" s="157"/>
      <c r="DE33" s="224"/>
      <c r="DF33" s="157"/>
      <c r="DG33" s="224"/>
      <c r="DH33" s="157"/>
      <c r="DI33" s="224"/>
      <c r="DJ33" s="157"/>
      <c r="DK33" s="681"/>
      <c r="DL33" s="659"/>
      <c r="DM33" s="681"/>
      <c r="DN33" s="659"/>
      <c r="DO33" s="681"/>
      <c r="DP33" s="659"/>
      <c r="DQ33" s="681"/>
      <c r="DR33" s="659"/>
      <c r="DS33" s="681"/>
      <c r="DT33" s="659"/>
      <c r="DU33" s="681"/>
      <c r="DV33" s="659"/>
      <c r="DW33" s="681"/>
      <c r="DX33" s="659"/>
      <c r="DY33" s="681"/>
      <c r="DZ33" s="659"/>
      <c r="EA33" s="681"/>
      <c r="EB33" s="659"/>
      <c r="EC33" s="681"/>
      <c r="ED33" s="659"/>
      <c r="EE33" s="681"/>
      <c r="EF33" s="659"/>
      <c r="EG33" s="662"/>
      <c r="EI33" s="662"/>
      <c r="EK33" s="662"/>
      <c r="EM33" s="662"/>
      <c r="EO33" s="662"/>
      <c r="EQ33" s="662"/>
      <c r="ES33" s="662"/>
      <c r="EU33" s="662"/>
      <c r="EV33" s="662"/>
      <c r="EW33" s="662"/>
      <c r="EX33" s="662"/>
      <c r="EY33" s="662"/>
      <c r="EZ33" s="662"/>
      <c r="FA33" s="662"/>
      <c r="FB33" s="662"/>
      <c r="FC33" s="662"/>
      <c r="FD33" s="662"/>
      <c r="FE33" s="662"/>
      <c r="FF33" s="662"/>
      <c r="FG33" s="662"/>
      <c r="FH33" s="662"/>
      <c r="FI33" s="662"/>
      <c r="FJ33" s="662"/>
      <c r="FK33" s="662"/>
      <c r="FL33" s="662"/>
      <c r="FM33" s="662"/>
      <c r="FN33" s="662"/>
      <c r="FO33" s="662"/>
      <c r="FP33" s="662"/>
      <c r="FQ33" s="662"/>
      <c r="FR33" s="662"/>
      <c r="FS33" s="662"/>
      <c r="FT33" s="662"/>
      <c r="FU33" s="662"/>
      <c r="FV33" s="662"/>
      <c r="FW33" s="662"/>
      <c r="FY33" s="662"/>
      <c r="FZ33" s="682"/>
      <c r="GA33" s="682"/>
      <c r="GC33" s="683"/>
      <c r="GE33" s="335"/>
      <c r="GF33" s="335"/>
      <c r="GG33" s="335"/>
    </row>
    <row r="34" spans="2:194" ht="14.25" customHeight="1">
      <c r="B34" s="340"/>
      <c r="C34" s="341"/>
      <c r="D34" s="341"/>
      <c r="E34" s="341" t="s">
        <v>499</v>
      </c>
      <c r="F34" s="341"/>
      <c r="G34" s="1058">
        <f>139444344-G35</f>
        <v>136627319</v>
      </c>
      <c r="H34" s="341"/>
      <c r="I34" s="1058">
        <f>144330413-I35</f>
        <v>141523560</v>
      </c>
      <c r="J34" s="341"/>
      <c r="K34" s="1058">
        <f>143998506-K35</f>
        <v>140707469</v>
      </c>
      <c r="L34" s="341"/>
      <c r="M34" s="1058">
        <f>144876924-M35</f>
        <v>142170709</v>
      </c>
      <c r="N34" s="341"/>
      <c r="O34" s="1058">
        <v>144314067</v>
      </c>
      <c r="P34" s="341"/>
      <c r="Q34" s="1058">
        <v>150271333</v>
      </c>
      <c r="R34" s="341"/>
      <c r="S34" s="1058">
        <v>146343998</v>
      </c>
      <c r="T34" s="341"/>
      <c r="U34" s="1058">
        <v>149936550</v>
      </c>
      <c r="V34" s="341"/>
      <c r="W34" s="1058">
        <v>144076670.44</v>
      </c>
      <c r="X34" s="341"/>
      <c r="Y34" s="342">
        <v>216815649</v>
      </c>
      <c r="Z34" s="341"/>
      <c r="AA34" s="342">
        <v>188822382</v>
      </c>
      <c r="AB34" s="341"/>
      <c r="AC34" s="342">
        <v>191754474</v>
      </c>
      <c r="AD34" s="341"/>
      <c r="AE34" s="342">
        <v>174275472</v>
      </c>
      <c r="AF34" s="341"/>
      <c r="AG34" s="342">
        <v>158337133</v>
      </c>
      <c r="AH34" s="341"/>
      <c r="AI34" s="342">
        <v>137868501</v>
      </c>
      <c r="AJ34" s="341"/>
      <c r="AK34" s="342">
        <v>130842699</v>
      </c>
      <c r="AL34" s="341"/>
      <c r="AM34" s="342">
        <v>113740392</v>
      </c>
      <c r="AN34" s="341"/>
      <c r="AO34" s="342">
        <v>114055290.59999999</v>
      </c>
      <c r="AP34" s="341"/>
      <c r="AQ34" s="342">
        <v>100766231</v>
      </c>
      <c r="AR34" s="341"/>
      <c r="AS34" s="342">
        <v>86377625</v>
      </c>
      <c r="AU34" s="342">
        <v>75696753</v>
      </c>
      <c r="AW34" s="342">
        <v>72471405</v>
      </c>
      <c r="AY34" s="342">
        <v>60617529</v>
      </c>
      <c r="BA34" s="342">
        <v>61008138</v>
      </c>
      <c r="BC34" s="342">
        <v>56124981</v>
      </c>
      <c r="BE34" s="342">
        <v>51308878</v>
      </c>
      <c r="BG34" s="342">
        <v>47588775</v>
      </c>
      <c r="BI34" s="342">
        <v>45412784</v>
      </c>
      <c r="BK34" s="342">
        <v>48383275</v>
      </c>
      <c r="BM34" s="342">
        <v>41379962</v>
      </c>
      <c r="BN34" s="341"/>
      <c r="BO34" s="342">
        <v>40003013</v>
      </c>
      <c r="BP34" s="341"/>
      <c r="BQ34" s="342">
        <v>37945251</v>
      </c>
      <c r="BR34" s="341"/>
      <c r="BS34" s="342">
        <v>35202596</v>
      </c>
      <c r="BT34" s="341"/>
      <c r="BU34" s="342">
        <v>33135477</v>
      </c>
      <c r="BV34" s="341"/>
      <c r="BW34" s="342">
        <v>30628984</v>
      </c>
      <c r="BX34" s="341"/>
      <c r="BY34" s="342">
        <v>32940057</v>
      </c>
      <c r="BZ34" s="341"/>
      <c r="CA34" s="342">
        <v>32391439</v>
      </c>
      <c r="CB34" s="341"/>
      <c r="CC34" s="342">
        <v>33316049</v>
      </c>
      <c r="CD34" s="341"/>
      <c r="CE34" s="342">
        <v>30167910</v>
      </c>
      <c r="CF34" s="341"/>
      <c r="CG34" s="342">
        <v>30923909</v>
      </c>
      <c r="CH34" s="341"/>
      <c r="CI34" s="342">
        <v>30916998</v>
      </c>
      <c r="CJ34" s="341"/>
      <c r="CK34" s="342">
        <v>29562124</v>
      </c>
      <c r="CL34" s="341"/>
      <c r="CM34" s="342">
        <v>25693841</v>
      </c>
      <c r="CN34" s="341"/>
      <c r="CO34" s="495">
        <v>25320985</v>
      </c>
      <c r="CP34" s="353"/>
      <c r="CQ34" s="342">
        <f>27192618-CQ35</f>
        <v>24740004</v>
      </c>
      <c r="CR34" s="353"/>
      <c r="CS34" s="342">
        <v>22167380</v>
      </c>
      <c r="CT34" s="353"/>
      <c r="CU34" s="342">
        <v>20119088</v>
      </c>
      <c r="CV34" s="353"/>
      <c r="CW34" s="342">
        <v>13846258.59</v>
      </c>
      <c r="CX34" s="353"/>
      <c r="CY34" s="343">
        <v>15821900.019299999</v>
      </c>
      <c r="CZ34" s="353"/>
      <c r="DA34" s="342">
        <v>13145032.330699997</v>
      </c>
      <c r="DB34" s="353"/>
      <c r="DC34" s="343">
        <v>10415077.17</v>
      </c>
      <c r="DD34" s="354"/>
      <c r="DE34" s="342">
        <v>8357650.7999999989</v>
      </c>
      <c r="DF34" s="354"/>
      <c r="DG34" s="343">
        <v>7864768.0800000001</v>
      </c>
      <c r="DH34" s="354"/>
      <c r="DI34" s="343">
        <v>5481489.9800000004</v>
      </c>
      <c r="DJ34" s="354"/>
      <c r="DK34" s="666">
        <v>5790770.25</v>
      </c>
      <c r="DL34" s="677"/>
      <c r="DM34" s="666">
        <v>6028664.2400000002</v>
      </c>
      <c r="DN34" s="677"/>
      <c r="DO34" s="666">
        <v>5829292.7000000002</v>
      </c>
      <c r="DP34" s="677"/>
      <c r="DQ34" s="666">
        <v>5169310.46</v>
      </c>
      <c r="DR34" s="677"/>
      <c r="DS34" s="666">
        <v>3048799.98</v>
      </c>
      <c r="DT34" s="677"/>
      <c r="DU34" s="666">
        <v>3834769.05</v>
      </c>
      <c r="DV34" s="677"/>
      <c r="DW34" s="666">
        <v>3157184.77</v>
      </c>
      <c r="DX34" s="677"/>
      <c r="DY34" s="667">
        <v>1576980.06</v>
      </c>
      <c r="DZ34" s="677"/>
      <c r="EA34" s="667">
        <v>1082713.3500000001</v>
      </c>
      <c r="EB34" s="677"/>
      <c r="EC34" s="666">
        <v>2775351.06</v>
      </c>
      <c r="ED34" s="677"/>
      <c r="EE34" s="667">
        <v>2606389.89</v>
      </c>
      <c r="EF34" s="677"/>
      <c r="EG34" s="667">
        <v>2241391.5099999998</v>
      </c>
      <c r="EH34" s="678"/>
      <c r="EI34" s="666">
        <v>2512759.5299999998</v>
      </c>
      <c r="EJ34" s="678"/>
      <c r="EK34" s="667">
        <v>2245592.15</v>
      </c>
      <c r="EL34" s="678"/>
      <c r="EM34" s="667">
        <v>1697943.32</v>
      </c>
      <c r="EN34" s="678"/>
      <c r="EO34" s="667">
        <v>1707017.7699999996</v>
      </c>
      <c r="EP34" s="678"/>
      <c r="EQ34" s="667">
        <v>900726.56</v>
      </c>
      <c r="ER34" s="678"/>
      <c r="ES34" s="667">
        <v>1473623.98</v>
      </c>
      <c r="ET34" s="678"/>
      <c r="EU34" s="667">
        <v>1257038.97</v>
      </c>
      <c r="EV34" s="667"/>
      <c r="EW34" s="667">
        <v>1278244.56</v>
      </c>
      <c r="EX34" s="667"/>
      <c r="EY34" s="667">
        <v>1836110.74</v>
      </c>
      <c r="EZ34" s="667"/>
      <c r="FA34" s="667">
        <v>2351978.73</v>
      </c>
      <c r="FB34" s="667"/>
      <c r="FC34" s="667">
        <v>2021530.24</v>
      </c>
      <c r="FD34" s="667"/>
      <c r="FE34" s="667">
        <v>1658830.18</v>
      </c>
      <c r="FF34" s="667"/>
      <c r="FG34" s="667">
        <v>1029512.44</v>
      </c>
      <c r="FH34" s="667"/>
      <c r="FI34" s="667">
        <v>1239345.8</v>
      </c>
      <c r="FJ34" s="667"/>
      <c r="FK34" s="667">
        <v>1254865.74</v>
      </c>
      <c r="FL34" s="667"/>
      <c r="FM34" s="667">
        <v>1392937.51</v>
      </c>
      <c r="FN34" s="667"/>
      <c r="FO34" s="667">
        <v>1036763.13</v>
      </c>
      <c r="FP34" s="667"/>
      <c r="FQ34" s="667">
        <v>1130164</v>
      </c>
      <c r="FR34" s="667"/>
      <c r="FS34" s="667">
        <v>1221976</v>
      </c>
      <c r="FT34" s="667"/>
      <c r="FU34" s="667">
        <v>935471.97</v>
      </c>
      <c r="FV34" s="667"/>
      <c r="FW34" s="667">
        <v>1124923.2249999999</v>
      </c>
      <c r="FX34" s="678"/>
      <c r="FY34" s="667">
        <v>1236359.3950000003</v>
      </c>
      <c r="FZ34" s="667"/>
      <c r="GA34" s="667">
        <v>1050360.95</v>
      </c>
      <c r="GB34" s="667"/>
      <c r="GC34" s="667">
        <v>1204984.6299999999</v>
      </c>
      <c r="GD34" s="341"/>
      <c r="GE34" s="345"/>
      <c r="GF34" s="345"/>
      <c r="GG34" s="345"/>
      <c r="GH34" s="341"/>
      <c r="GI34" s="341"/>
      <c r="GJ34" s="341"/>
      <c r="GK34" s="341"/>
      <c r="GL34" s="341"/>
    </row>
    <row r="35" spans="2:194" ht="14.25" customHeight="1">
      <c r="B35" s="340"/>
      <c r="C35" s="341"/>
      <c r="D35" s="341"/>
      <c r="E35" s="341" t="s">
        <v>500</v>
      </c>
      <c r="F35" s="341"/>
      <c r="G35" s="342">
        <v>2817025</v>
      </c>
      <c r="H35" s="341"/>
      <c r="I35" s="342">
        <v>2806853</v>
      </c>
      <c r="J35" s="341"/>
      <c r="K35" s="342">
        <v>3291037</v>
      </c>
      <c r="L35" s="341"/>
      <c r="M35" s="342">
        <v>2706215</v>
      </c>
      <c r="N35" s="341"/>
      <c r="O35" s="342">
        <v>3531315</v>
      </c>
      <c r="P35" s="341"/>
      <c r="Q35" s="342">
        <v>4970547</v>
      </c>
      <c r="R35" s="341"/>
      <c r="S35" s="342">
        <v>6412865</v>
      </c>
      <c r="T35" s="341"/>
      <c r="U35" s="342">
        <v>6830558</v>
      </c>
      <c r="V35" s="341"/>
      <c r="W35" s="342">
        <v>7491563</v>
      </c>
      <c r="X35" s="341"/>
      <c r="Y35" s="342">
        <v>8135236</v>
      </c>
      <c r="Z35" s="341"/>
      <c r="AA35" s="342">
        <v>8338162</v>
      </c>
      <c r="AB35" s="341"/>
      <c r="AC35" s="342">
        <v>6184966</v>
      </c>
      <c r="AD35" s="341"/>
      <c r="AE35" s="342">
        <v>4843356</v>
      </c>
      <c r="AF35" s="341"/>
      <c r="AG35" s="342">
        <v>5335629</v>
      </c>
      <c r="AH35" s="341"/>
      <c r="AI35" s="342">
        <v>2472453</v>
      </c>
      <c r="AJ35" s="341"/>
      <c r="AK35" s="342">
        <v>4581134</v>
      </c>
      <c r="AL35" s="341"/>
      <c r="AM35" s="342">
        <v>4847327</v>
      </c>
      <c r="AN35" s="341"/>
      <c r="AO35" s="342">
        <v>2633323.2399999998</v>
      </c>
      <c r="AP35" s="341"/>
      <c r="AQ35" s="342">
        <v>2242501</v>
      </c>
      <c r="AR35" s="341"/>
      <c r="AS35" s="342">
        <v>1464112</v>
      </c>
      <c r="AU35" s="342">
        <v>1253832</v>
      </c>
      <c r="AW35" s="342">
        <v>2021944</v>
      </c>
      <c r="AY35" s="342">
        <v>2401493</v>
      </c>
      <c r="BA35" s="342">
        <v>2206749</v>
      </c>
      <c r="BC35" s="342">
        <v>2396542</v>
      </c>
      <c r="BE35" s="342">
        <v>2451011</v>
      </c>
      <c r="BG35" s="342">
        <v>2655968</v>
      </c>
      <c r="BI35" s="342">
        <v>1047587</v>
      </c>
      <c r="BK35" s="342">
        <v>1216734</v>
      </c>
      <c r="BM35" s="342">
        <v>1004269</v>
      </c>
      <c r="BN35" s="341"/>
      <c r="BO35" s="342">
        <v>307318</v>
      </c>
      <c r="BP35" s="341"/>
      <c r="BQ35" s="342">
        <v>1144455</v>
      </c>
      <c r="BR35" s="341"/>
      <c r="BS35" s="342">
        <v>1777329</v>
      </c>
      <c r="BT35" s="341"/>
      <c r="BU35" s="342">
        <v>2708590</v>
      </c>
      <c r="BV35" s="341"/>
      <c r="BW35" s="342">
        <v>993131</v>
      </c>
      <c r="BX35" s="341"/>
      <c r="BY35" s="342">
        <v>1102643</v>
      </c>
      <c r="BZ35" s="341"/>
      <c r="CA35" s="342">
        <v>1184213</v>
      </c>
      <c r="CB35" s="341"/>
      <c r="CC35" s="342">
        <v>1270216</v>
      </c>
      <c r="CD35" s="341"/>
      <c r="CE35" s="342">
        <v>1820156</v>
      </c>
      <c r="CF35" s="341"/>
      <c r="CG35" s="495">
        <v>1922656</v>
      </c>
      <c r="CH35" s="341"/>
      <c r="CI35" s="495">
        <v>944292</v>
      </c>
      <c r="CJ35" s="341"/>
      <c r="CK35" s="495">
        <v>1654509</v>
      </c>
      <c r="CL35" s="341"/>
      <c r="CM35" s="495">
        <v>3375589</v>
      </c>
      <c r="CN35" s="341"/>
      <c r="CO35" s="495">
        <v>3670227</v>
      </c>
      <c r="CP35" s="353"/>
      <c r="CQ35" s="342">
        <v>2452614</v>
      </c>
      <c r="CR35" s="353"/>
      <c r="CS35" s="342">
        <v>3350467</v>
      </c>
      <c r="CT35" s="353"/>
      <c r="CU35" s="342">
        <v>3358988</v>
      </c>
      <c r="CV35" s="353"/>
      <c r="CW35" s="342">
        <f>819225+2437964</f>
        <v>3257189</v>
      </c>
      <c r="CX35" s="353"/>
      <c r="CY35" s="343">
        <v>3189951.17</v>
      </c>
      <c r="CZ35" s="353"/>
      <c r="DA35" s="342">
        <v>3083036.26</v>
      </c>
      <c r="DB35" s="353"/>
      <c r="DC35" s="343">
        <v>5166028.53</v>
      </c>
      <c r="DD35" s="354"/>
      <c r="DE35" s="342">
        <v>6060610.7599999998</v>
      </c>
      <c r="DF35" s="354"/>
      <c r="DG35" s="343">
        <v>5313092.9800000004</v>
      </c>
      <c r="DH35" s="354"/>
      <c r="DI35" s="343">
        <v>6302493.0300000003</v>
      </c>
      <c r="DJ35" s="354"/>
      <c r="DK35" s="666">
        <v>5422405.1900000004</v>
      </c>
      <c r="DL35" s="677"/>
      <c r="DM35" s="666">
        <v>5326633.82</v>
      </c>
      <c r="DN35" s="677"/>
      <c r="DO35" s="666">
        <v>4631802.5999999996</v>
      </c>
      <c r="DP35" s="677"/>
      <c r="DQ35" s="666">
        <v>4664066.59</v>
      </c>
      <c r="DR35" s="677"/>
      <c r="DS35" s="666">
        <v>5764429.25</v>
      </c>
      <c r="DT35" s="677"/>
      <c r="DU35" s="666">
        <v>8407566.9000000004</v>
      </c>
      <c r="DV35" s="677"/>
      <c r="DW35" s="666">
        <v>10992965.720000001</v>
      </c>
      <c r="DX35" s="677"/>
      <c r="DY35" s="667">
        <v>13254157.220000001</v>
      </c>
      <c r="DZ35" s="677"/>
      <c r="EA35" s="667">
        <v>14627070.76</v>
      </c>
      <c r="EB35" s="677"/>
      <c r="EC35" s="666">
        <v>15748524.18</v>
      </c>
      <c r="ED35" s="677"/>
      <c r="EE35" s="667">
        <v>16777794</v>
      </c>
      <c r="EF35" s="677"/>
      <c r="EG35" s="667">
        <v>16002553.23</v>
      </c>
      <c r="EH35" s="678"/>
      <c r="EI35" s="666">
        <v>15558513.939999999</v>
      </c>
      <c r="EJ35" s="678"/>
      <c r="EK35" s="667">
        <v>16563740.689999999</v>
      </c>
      <c r="EL35" s="678"/>
      <c r="EM35" s="667">
        <v>12122326.189999999</v>
      </c>
      <c r="EN35" s="678"/>
      <c r="EO35" s="667">
        <v>5312994.78</v>
      </c>
      <c r="EP35" s="678"/>
      <c r="EQ35" s="666">
        <v>3131008.78</v>
      </c>
      <c r="ER35" s="678"/>
      <c r="ES35" s="667">
        <v>3343063.34</v>
      </c>
      <c r="ET35" s="678"/>
      <c r="EU35" s="667">
        <v>3295749.34</v>
      </c>
      <c r="EV35" s="667"/>
      <c r="EW35" s="667">
        <v>2807071.31</v>
      </c>
      <c r="EX35" s="667"/>
      <c r="EY35" s="667">
        <v>1936568.25</v>
      </c>
      <c r="EZ35" s="667"/>
      <c r="FA35" s="667">
        <v>641400.13</v>
      </c>
      <c r="FB35" s="667"/>
      <c r="FC35" s="667">
        <v>821443.15</v>
      </c>
      <c r="FD35" s="667"/>
      <c r="FE35" s="667">
        <v>1333100.68</v>
      </c>
      <c r="FF35" s="667"/>
      <c r="FG35" s="667">
        <v>1793051.04</v>
      </c>
      <c r="FH35" s="667"/>
      <c r="FI35" s="667">
        <v>791671.32</v>
      </c>
      <c r="FJ35" s="667"/>
      <c r="FK35" s="667">
        <v>965398.32</v>
      </c>
      <c r="FL35" s="667"/>
      <c r="FM35" s="667">
        <v>1077167.42</v>
      </c>
      <c r="FN35" s="667"/>
      <c r="FO35" s="667">
        <v>1310997.47</v>
      </c>
      <c r="FP35" s="667"/>
      <c r="FQ35" s="667">
        <v>1479587.53</v>
      </c>
      <c r="FR35" s="667"/>
      <c r="FS35" s="667">
        <v>1250916.6100000001</v>
      </c>
      <c r="FT35" s="667"/>
      <c r="FU35" s="667">
        <v>1692584.67</v>
      </c>
      <c r="FV35" s="667"/>
      <c r="FW35" s="667">
        <v>1009403.8699999998</v>
      </c>
      <c r="FX35" s="678"/>
      <c r="FY35" s="667">
        <v>729275.66999999993</v>
      </c>
      <c r="FZ35" s="667"/>
      <c r="GA35" s="667">
        <v>944929.53</v>
      </c>
      <c r="GB35" s="667"/>
      <c r="GC35" s="667">
        <v>714359.0199999999</v>
      </c>
      <c r="GD35" s="341"/>
      <c r="GE35" s="345"/>
      <c r="GF35" s="345"/>
      <c r="GG35" s="345"/>
      <c r="GH35" s="341"/>
      <c r="GI35" s="341"/>
      <c r="GJ35" s="341"/>
      <c r="GK35" s="341"/>
      <c r="GL35" s="341"/>
    </row>
    <row r="36" spans="2:194" ht="14.25" customHeight="1">
      <c r="B36" s="340"/>
      <c r="C36" s="341"/>
      <c r="D36" s="341"/>
      <c r="E36" s="341" t="s">
        <v>501</v>
      </c>
      <c r="F36" s="341"/>
      <c r="G36" s="342">
        <f>+'Notes - Dec25'!C6</f>
        <v>1787240556.1200001</v>
      </c>
      <c r="H36" s="341"/>
      <c r="I36" s="342">
        <f>+'Notes - Dec25'!E6</f>
        <v>1837456371.4499998</v>
      </c>
      <c r="J36" s="341"/>
      <c r="K36" s="342">
        <f>+'Notes - Dec25'!G6</f>
        <v>1766309761.7599998</v>
      </c>
      <c r="L36" s="341"/>
      <c r="M36" s="342">
        <f>+'Notes - Dec25'!I6</f>
        <v>1802684598.6199999</v>
      </c>
      <c r="N36" s="341"/>
      <c r="O36" s="342">
        <f>+'Notes - Dec25'!K6</f>
        <v>1816293431.21</v>
      </c>
      <c r="P36" s="341"/>
      <c r="Q36" s="342">
        <f>+'Notes - Dec25'!M6</f>
        <v>1847614116.8899999</v>
      </c>
      <c r="R36" s="341"/>
      <c r="S36" s="342">
        <v>1767592727.6099999</v>
      </c>
      <c r="T36" s="341"/>
      <c r="U36" s="342">
        <v>1807222176.29</v>
      </c>
      <c r="V36" s="341"/>
      <c r="W36" s="342">
        <v>1816086436.0599999</v>
      </c>
      <c r="X36" s="341"/>
      <c r="Y36" s="342">
        <f>+'Notes - Dec25'!U6</f>
        <v>1993050439.52</v>
      </c>
      <c r="Z36" s="341"/>
      <c r="AA36" s="342">
        <f>+'Notes - Dec25'!W6</f>
        <v>2054642720.5799999</v>
      </c>
      <c r="AB36" s="341"/>
      <c r="AC36" s="342">
        <v>1988690111.1500001</v>
      </c>
      <c r="AD36" s="341"/>
      <c r="AE36" s="342">
        <v>1987334403</v>
      </c>
      <c r="AF36" s="341"/>
      <c r="AG36" s="342">
        <v>2046376473.3099999</v>
      </c>
      <c r="AH36" s="341"/>
      <c r="AI36" s="342">
        <v>2018986644.1900001</v>
      </c>
      <c r="AJ36" s="341"/>
      <c r="AK36" s="342">
        <v>1959026394.99</v>
      </c>
      <c r="AL36" s="341"/>
      <c r="AM36" s="342">
        <v>1915410618.3799999</v>
      </c>
      <c r="AN36" s="341"/>
      <c r="AO36" s="342">
        <v>1880488738.23</v>
      </c>
      <c r="AP36" s="341"/>
      <c r="AQ36" s="342">
        <v>1814743675.04</v>
      </c>
      <c r="AR36" s="341"/>
      <c r="AS36" s="342">
        <v>1758661475.4200001</v>
      </c>
      <c r="AU36" s="342">
        <v>1710620051.1299999</v>
      </c>
      <c r="AW36" s="342">
        <v>1665698639.0699999</v>
      </c>
      <c r="AY36" s="342">
        <v>1596708804.3599999</v>
      </c>
      <c r="BA36" s="342">
        <v>1467078109.5500002</v>
      </c>
      <c r="BC36" s="342">
        <v>1366752615.95</v>
      </c>
      <c r="BE36" s="342">
        <v>1321752464.75</v>
      </c>
      <c r="BG36" s="342">
        <v>1203150265.05</v>
      </c>
      <c r="BI36" s="342">
        <v>1135485701.3899999</v>
      </c>
      <c r="BK36" s="342">
        <v>1080087940.51</v>
      </c>
      <c r="BM36" s="342">
        <v>995242016.29000008</v>
      </c>
      <c r="BN36" s="341"/>
      <c r="BO36" s="342">
        <v>946438697.37</v>
      </c>
      <c r="BP36" s="341"/>
      <c r="BQ36" s="342">
        <v>890745986.65999997</v>
      </c>
      <c r="BR36" s="341"/>
      <c r="BS36" s="342">
        <v>839619815.02999997</v>
      </c>
      <c r="BT36" s="341"/>
      <c r="BU36" s="342">
        <f>+'Notes - Dec25'!BQ6</f>
        <v>799448982.04000008</v>
      </c>
      <c r="BV36" s="341"/>
      <c r="BW36" s="342">
        <v>740014530.67000008</v>
      </c>
      <c r="BX36" s="341"/>
      <c r="BY36" s="342">
        <f>+'Notes - Dec25'!BU6</f>
        <v>699151217.23000002</v>
      </c>
      <c r="BZ36" s="341"/>
      <c r="CA36" s="342">
        <v>671100884.07000005</v>
      </c>
      <c r="CB36" s="341"/>
      <c r="CC36" s="342">
        <v>687598311.49000001</v>
      </c>
      <c r="CD36" s="341"/>
      <c r="CE36" s="342">
        <v>622508015.80000007</v>
      </c>
      <c r="CF36" s="341"/>
      <c r="CG36" s="342">
        <f>+'Notes - Dec25'!CC6</f>
        <v>611656792.63</v>
      </c>
      <c r="CH36" s="341"/>
      <c r="CI36" s="342">
        <v>577080258.5</v>
      </c>
      <c r="CJ36" s="341"/>
      <c r="CK36" s="342">
        <v>554384904.85000002</v>
      </c>
      <c r="CL36" s="341"/>
      <c r="CM36" s="342">
        <f>+'Notes - Dec25'!CI6</f>
        <v>534282453.36999995</v>
      </c>
      <c r="CN36" s="341"/>
      <c r="CO36" s="342">
        <f>+'Notes - Dec25'!CK6</f>
        <v>501290360.73999995</v>
      </c>
      <c r="CP36" s="353"/>
      <c r="CQ36" s="342">
        <f>+'Notes - Dec25'!CM6</f>
        <v>474159895.56999999</v>
      </c>
      <c r="CR36" s="353"/>
      <c r="CS36" s="342">
        <f>+'Notes - Dec25'!CO6</f>
        <v>460135605.05000001</v>
      </c>
      <c r="CT36" s="353"/>
      <c r="CU36" s="342">
        <f>+'Notes - Dec25'!CQ6</f>
        <v>443078623.78000003</v>
      </c>
      <c r="CV36" s="353"/>
      <c r="CW36" s="342">
        <f>+'Notes - Dec25'!CS6</f>
        <v>405533652.20000005</v>
      </c>
      <c r="CX36" s="353"/>
      <c r="CY36" s="343">
        <f>+'Notes - Dec25'!CU6</f>
        <v>398299074.82999998</v>
      </c>
      <c r="CZ36" s="353"/>
      <c r="DA36" s="343">
        <f>+'Notes - Dec25'!CW6</f>
        <v>403341685</v>
      </c>
      <c r="DB36" s="353"/>
      <c r="DC36" s="343">
        <f>+'Notes - Dec25'!CY6</f>
        <v>366464489.05000001</v>
      </c>
      <c r="DD36" s="354"/>
      <c r="DE36" s="343">
        <f>+'Notes - Dec25'!DA6</f>
        <v>339890226.5</v>
      </c>
      <c r="DF36" s="354"/>
      <c r="DG36" s="343">
        <f>+'Notes - Dec25'!DC6</f>
        <v>312726447.78999996</v>
      </c>
      <c r="DH36" s="354"/>
      <c r="DI36" s="343">
        <f>+'Notes - Dec25'!DE6</f>
        <v>281371174.50999999</v>
      </c>
      <c r="DJ36" s="354"/>
      <c r="DK36" s="666">
        <f>+'Notes - Dec25'!DG6</f>
        <v>272213398.19</v>
      </c>
      <c r="DL36" s="677"/>
      <c r="DM36" s="666">
        <f>+'Notes - Dec25'!DI6</f>
        <v>261369802.23000002</v>
      </c>
      <c r="DN36" s="677"/>
      <c r="DO36" s="666">
        <f>+'Notes - Dec25'!DK6</f>
        <v>236127135.19999999</v>
      </c>
      <c r="DP36" s="677"/>
      <c r="DQ36" s="666">
        <f>+'Notes - Dec25'!DM6</f>
        <v>229971342.01999998</v>
      </c>
      <c r="DR36" s="677"/>
      <c r="DS36" s="666">
        <v>204577921.79999998</v>
      </c>
      <c r="DT36" s="677"/>
      <c r="DU36" s="666">
        <v>190007986.09999999</v>
      </c>
      <c r="DV36" s="677"/>
      <c r="DW36" s="666">
        <v>185054356.81</v>
      </c>
      <c r="DX36" s="677"/>
      <c r="DY36" s="666">
        <v>187318073.23000002</v>
      </c>
      <c r="DZ36" s="677"/>
      <c r="EA36" s="666">
        <v>165779406.13</v>
      </c>
      <c r="EB36" s="677"/>
      <c r="EC36" s="666">
        <v>155907221.01999998</v>
      </c>
      <c r="ED36" s="677"/>
      <c r="EE36" s="666">
        <v>151609422.61000001</v>
      </c>
      <c r="EF36" s="677"/>
      <c r="EG36" s="666">
        <v>148133811.94</v>
      </c>
      <c r="EH36" s="678"/>
      <c r="EI36" s="666">
        <v>154491542.22</v>
      </c>
      <c r="EJ36" s="678"/>
      <c r="EK36" s="666">
        <v>155230368.17999998</v>
      </c>
      <c r="EL36" s="678"/>
      <c r="EM36" s="666">
        <v>157007510.38</v>
      </c>
      <c r="EN36" s="678"/>
      <c r="EO36" s="666">
        <v>170694058.31999999</v>
      </c>
      <c r="EP36" s="678"/>
      <c r="EQ36" s="666">
        <v>177491632.03999999</v>
      </c>
      <c r="ER36" s="678"/>
      <c r="ES36" s="666">
        <v>156918966.34</v>
      </c>
      <c r="ET36" s="678"/>
      <c r="EU36" s="667">
        <v>149743285.30000001</v>
      </c>
      <c r="EV36" s="667"/>
      <c r="EW36" s="667">
        <v>142514685.14999998</v>
      </c>
      <c r="EX36" s="667"/>
      <c r="EY36" s="667">
        <v>118062243.31999999</v>
      </c>
      <c r="EZ36" s="667"/>
      <c r="FA36" s="667">
        <v>106502597.01000001</v>
      </c>
      <c r="FB36" s="667"/>
      <c r="FC36" s="667">
        <v>94839587.5</v>
      </c>
      <c r="FD36" s="667"/>
      <c r="FE36" s="667">
        <v>86591224.709999993</v>
      </c>
      <c r="FF36" s="667"/>
      <c r="FG36" s="667">
        <v>78398626.870000005</v>
      </c>
      <c r="FH36" s="667"/>
      <c r="FI36" s="667">
        <v>74746815.159999996</v>
      </c>
      <c r="FJ36" s="667"/>
      <c r="FK36" s="667">
        <v>66438066.230000004</v>
      </c>
      <c r="FL36" s="667"/>
      <c r="FM36" s="667">
        <v>63754583.75</v>
      </c>
      <c r="FN36" s="667"/>
      <c r="FO36" s="667">
        <v>63973401.009999998</v>
      </c>
      <c r="FP36" s="667"/>
      <c r="FQ36" s="667">
        <v>56629493.480000004</v>
      </c>
      <c r="FR36" s="667"/>
      <c r="FS36" s="667">
        <v>51117560.649999999</v>
      </c>
      <c r="FT36" s="667"/>
      <c r="FU36" s="667">
        <v>49752452.380000003</v>
      </c>
      <c r="FV36" s="667"/>
      <c r="FW36" s="667">
        <v>43518780.57</v>
      </c>
      <c r="FX36" s="678"/>
      <c r="FY36" s="667">
        <v>37006353.640000001</v>
      </c>
      <c r="FZ36" s="667"/>
      <c r="GA36" s="667">
        <v>34224536.5</v>
      </c>
      <c r="GB36" s="667"/>
      <c r="GC36" s="667">
        <v>30252650.75</v>
      </c>
      <c r="GD36" s="341"/>
      <c r="GE36" s="345"/>
      <c r="GF36" s="345"/>
      <c r="GG36" s="345"/>
      <c r="GH36" s="341"/>
      <c r="GI36" s="341"/>
      <c r="GJ36" s="341"/>
      <c r="GK36" s="341"/>
      <c r="GL36" s="341"/>
    </row>
    <row r="37" spans="2:194" ht="14.25" customHeight="1">
      <c r="B37" s="334"/>
      <c r="C37" s="222"/>
      <c r="D37" s="222"/>
      <c r="E37" s="222"/>
      <c r="F37" s="222" t="s">
        <v>502</v>
      </c>
      <c r="G37" s="355">
        <f>+(G34+G35)/G36</f>
        <v>7.8022146220051047E-2</v>
      </c>
      <c r="H37" s="222"/>
      <c r="I37" s="355">
        <f>+(I34+I35)/I36</f>
        <v>7.8549028560663953E-2</v>
      </c>
      <c r="J37" s="222"/>
      <c r="K37" s="355">
        <f>+(K34+K35)/K36</f>
        <v>8.1525058128261663E-2</v>
      </c>
      <c r="L37" s="222"/>
      <c r="M37" s="355">
        <f>+(M34+M35)/M36</f>
        <v>8.0367316673647132E-2</v>
      </c>
      <c r="N37" s="222"/>
      <c r="O37" s="355">
        <f>+(O34+O35)/O36</f>
        <v>8.1399502668193097E-2</v>
      </c>
      <c r="P37" s="222"/>
      <c r="Q37" s="355">
        <f>+(Q34+Q35)/Q36</f>
        <v>8.4022891241657752E-2</v>
      </c>
      <c r="R37" s="222"/>
      <c r="S37" s="355">
        <v>8.6420848317556628E-2</v>
      </c>
      <c r="T37" s="222"/>
      <c r="U37" s="355">
        <v>8.6744789908357128E-2</v>
      </c>
      <c r="V37" s="222"/>
      <c r="W37" s="355">
        <f>+(W34+W35)/W36</f>
        <v>8.3458711232284363E-2</v>
      </c>
      <c r="X37" s="222"/>
      <c r="Y37" s="355">
        <f>+(Y34+Y35)/Y36</f>
        <v>0.11286763271991072</v>
      </c>
      <c r="Z37" s="222"/>
      <c r="AA37" s="355">
        <f>+(AA34+AA35)/AA36</f>
        <v>9.5958553779288719E-2</v>
      </c>
      <c r="AB37" s="222"/>
      <c r="AC37" s="355">
        <v>9.9532571158377978E-2</v>
      </c>
      <c r="AD37" s="222"/>
      <c r="AE37" s="355">
        <v>9.0130190334152843E-2</v>
      </c>
      <c r="AF37" s="222"/>
      <c r="AG37" s="355">
        <v>7.9981745360500761E-2</v>
      </c>
      <c r="AH37" s="222"/>
      <c r="AI37" s="355">
        <v>6.9510590574661066E-2</v>
      </c>
      <c r="AJ37" s="222"/>
      <c r="AK37" s="355">
        <v>6.9128130864562085E-2</v>
      </c>
      <c r="AL37" s="222"/>
      <c r="AM37" s="355">
        <v>6.1912426433293005E-2</v>
      </c>
      <c r="AN37" s="222"/>
      <c r="AO37" s="355">
        <v>6.2052280063018363E-2</v>
      </c>
      <c r="AP37" s="222"/>
      <c r="AQ37" s="355">
        <v>5.6762138596642038E-2</v>
      </c>
      <c r="AR37" s="222"/>
      <c r="AS37" s="355">
        <v>4.9948064609206165E-2</v>
      </c>
      <c r="AT37" s="808" t="str">
        <f>IF(AS37-AU37=0,"Investigate","Fine")</f>
        <v>Fine</v>
      </c>
      <c r="AU37" s="355">
        <v>4.4984030760757215E-2</v>
      </c>
      <c r="AV37" s="808" t="str">
        <f>IF(AU37-AW37=0,"Investigate","Fine")</f>
        <v>Fine</v>
      </c>
      <c r="AW37" s="355">
        <f>+(AW34+AW35)/AW36</f>
        <v>4.4721984669202498E-2</v>
      </c>
      <c r="AX37" s="808" t="str">
        <f>IF(AW37-AY37=0,"Investigate","Fine")</f>
        <v>Fine</v>
      </c>
      <c r="AY37" s="355">
        <v>3.9468074471637658E-2</v>
      </c>
      <c r="AZ37" s="808" t="str">
        <f>IF(AY37-BA37=0,"Investigate","Fine")</f>
        <v>Fine</v>
      </c>
      <c r="BA37" s="355">
        <v>4.3088971601784737E-2</v>
      </c>
      <c r="BB37" s="808" t="str">
        <f>IF(BA37-BC37=0,"Investigate","Fine")</f>
        <v>Fine</v>
      </c>
      <c r="BC37" s="355">
        <v>4.2817933777520495E-2</v>
      </c>
      <c r="BD37" s="808" t="str">
        <f>IF(BC37-BE37=0,"Investigate","Fine")</f>
        <v>Fine</v>
      </c>
      <c r="BE37" s="355">
        <v>4.0673189900325472E-2</v>
      </c>
      <c r="BF37" s="808" t="str">
        <f>IF(BE37-BG37=0,"Investigate","Fine")</f>
        <v>Fine</v>
      </c>
      <c r="BG37" s="355">
        <v>4.1760987350912444E-2</v>
      </c>
      <c r="BH37" s="808" t="str">
        <f>IF(BG37-BI37=0,"Investigate","Fine")</f>
        <v>Fine</v>
      </c>
      <c r="BI37" s="355">
        <v>4.0916738047098028E-2</v>
      </c>
      <c r="BJ37" s="808" t="str">
        <f>IF(BI37-BK37=0,"Investigate","Fine")</f>
        <v>Fine</v>
      </c>
      <c r="BK37" s="355">
        <v>4.5922194980326958E-2</v>
      </c>
      <c r="BL37" s="808" t="str">
        <f>IF(BK37-BM37=0,"Investigate","Fine")</f>
        <v>Fine</v>
      </c>
      <c r="BM37" s="355">
        <v>4.2586858579380764E-2</v>
      </c>
      <c r="BN37" s="222"/>
      <c r="BO37" s="355">
        <v>4.259159215701544E-2</v>
      </c>
      <c r="BP37" s="222"/>
      <c r="BQ37" s="355">
        <v>4.3884234771097139E-2</v>
      </c>
      <c r="BR37" s="222"/>
      <c r="BS37" s="355">
        <v>4.4043654446957868E-2</v>
      </c>
      <c r="BT37" s="222"/>
      <c r="BU37" s="355">
        <f>+(BU34+BU35)/BU36</f>
        <v>4.4835965527824713E-2</v>
      </c>
      <c r="BV37" s="222"/>
      <c r="BW37" s="355">
        <v>4.2731748755486902E-2</v>
      </c>
      <c r="BX37" s="222"/>
      <c r="BY37" s="355">
        <f>+(BY34+BY35)/BY36</f>
        <v>4.8691469257359475E-2</v>
      </c>
      <c r="BZ37" s="222"/>
      <c r="CA37" s="355">
        <v>5.0030707449489585E-2</v>
      </c>
      <c r="CB37" s="222"/>
      <c r="CC37" s="355">
        <v>5.0300101704806179E-2</v>
      </c>
      <c r="CD37" s="222"/>
      <c r="CE37" s="355">
        <v>5.1385789721745775E-2</v>
      </c>
      <c r="CF37" s="222"/>
      <c r="CG37" s="355">
        <f>+(CG34+CG35)/CG36</f>
        <v>5.370097315320646E-2</v>
      </c>
      <c r="CH37" s="222"/>
      <c r="CI37" s="355">
        <v>5.5211193816986207E-2</v>
      </c>
      <c r="CJ37" s="222"/>
      <c r="CK37" s="355">
        <v>5.6308591245727166E-2</v>
      </c>
      <c r="CL37" s="222"/>
      <c r="CM37" s="355">
        <f>+(CM34+CM35)/CM36</f>
        <v>5.4408356135680375E-2</v>
      </c>
      <c r="CN37" s="222"/>
      <c r="CO37" s="355">
        <f>+(CO34+CO35)/CO36</f>
        <v>5.7833172688984996E-2</v>
      </c>
      <c r="CP37" s="222"/>
      <c r="CQ37" s="355">
        <f>+(CQ34+CQ35)/CQ36</f>
        <v>5.7349046711997954E-2</v>
      </c>
      <c r="CR37" s="222"/>
      <c r="CS37" s="355">
        <f>+(CS34+CS35)/CS36</f>
        <v>5.5457231998439105E-2</v>
      </c>
      <c r="CT37" s="222"/>
      <c r="CU37" s="355">
        <f>+(CU34+CU35)/CU36</f>
        <v>5.2988509803753185E-2</v>
      </c>
      <c r="CV37" s="222"/>
      <c r="CW37" s="355">
        <f>+(CW34+CW35)/CW36</f>
        <v>4.2175162276212201E-2</v>
      </c>
      <c r="CX37" s="222"/>
      <c r="CY37" s="356">
        <f>+(CY34+CY35)/CY36</f>
        <v>4.7732601933395263E-2</v>
      </c>
      <c r="CZ37" s="222"/>
      <c r="DA37" s="356">
        <f>+(DA34+DA35)/DA36</f>
        <v>4.0234047692590952E-2</v>
      </c>
      <c r="DB37" s="222"/>
      <c r="DC37" s="356">
        <f>+(DC34+DC35)/DC36</f>
        <v>4.2517368436956873E-2</v>
      </c>
      <c r="DD37" s="212"/>
      <c r="DE37" s="356">
        <f>+(DE34+DE35)/DE36</f>
        <v>4.242034761773298E-2</v>
      </c>
      <c r="DF37" s="212"/>
      <c r="DG37" s="356">
        <f>+(DG34+DG35)/DG36</f>
        <v>4.2138620360146553E-2</v>
      </c>
      <c r="DH37" s="212"/>
      <c r="DI37" s="356">
        <f>+(DI34+DI35)/DI36</f>
        <v>4.1880562323135896E-2</v>
      </c>
      <c r="DJ37" s="212"/>
      <c r="DK37" s="684">
        <f>+(DK34+DK35)/DK36</f>
        <v>4.119259196850189E-2</v>
      </c>
      <c r="DL37" s="677"/>
      <c r="DM37" s="684">
        <f>+(DM34+DM35)/DM36</f>
        <v>4.3445332869814751E-2</v>
      </c>
      <c r="DN37" s="677"/>
      <c r="DO37" s="684">
        <f>+(DO34+DO35)/DO36</f>
        <v>4.4302808701504971E-2</v>
      </c>
      <c r="DP37" s="677"/>
      <c r="DQ37" s="684">
        <f>+(DQ34+DQ35)/DQ36</f>
        <v>4.2759141046125736E-2</v>
      </c>
      <c r="DR37" s="677"/>
      <c r="DS37" s="684">
        <v>4.3080060411484739E-2</v>
      </c>
      <c r="DT37" s="677"/>
      <c r="DU37" s="684">
        <v>6.4430638949864644E-2</v>
      </c>
      <c r="DV37" s="677"/>
      <c r="DW37" s="684">
        <v>7.6464833003247357E-2</v>
      </c>
      <c r="DX37" s="677"/>
      <c r="DY37" s="684">
        <v>7.9176221622723336E-2</v>
      </c>
      <c r="DZ37" s="677"/>
      <c r="EA37" s="684">
        <v>9.4763182452715422E-2</v>
      </c>
      <c r="EB37" s="677"/>
      <c r="EC37" s="684">
        <v>0.11881345276254864</v>
      </c>
      <c r="ED37" s="677"/>
      <c r="EE37" s="684">
        <v>0.12785606300911695</v>
      </c>
      <c r="EF37" s="677"/>
      <c r="EG37" s="685">
        <v>0.12315854497411782</v>
      </c>
      <c r="EH37" s="678"/>
      <c r="EI37" s="685">
        <v>0.11697257474629927</v>
      </c>
      <c r="EJ37" s="678"/>
      <c r="EK37" s="685">
        <v>0.12117044532284638</v>
      </c>
      <c r="EL37" s="678"/>
      <c r="EM37" s="685">
        <v>8.8022983592003126E-2</v>
      </c>
      <c r="EN37" s="678"/>
      <c r="EO37" s="685">
        <v>4.1126285349895361E-2</v>
      </c>
      <c r="EP37" s="678"/>
      <c r="EQ37" s="685">
        <v>2.2715072782086971E-2</v>
      </c>
      <c r="ER37" s="678"/>
      <c r="ES37" s="685">
        <v>3.0695380120995513E-2</v>
      </c>
      <c r="ET37" s="678"/>
      <c r="EU37" s="685">
        <v>3.0403956350221729E-2</v>
      </c>
      <c r="EV37" s="685"/>
      <c r="EW37" s="685">
        <v>2.8665929168633475E-2</v>
      </c>
      <c r="EX37" s="685"/>
      <c r="EY37" s="685">
        <v>3.1955000039889131E-2</v>
      </c>
      <c r="EZ37" s="685"/>
      <c r="FA37" s="685">
        <v>2.810615838521701E-2</v>
      </c>
      <c r="FB37" s="685"/>
      <c r="FC37" s="685">
        <v>2.9976652840249859E-2</v>
      </c>
      <c r="FD37" s="685"/>
      <c r="FE37" s="685">
        <v>3.455235643126868E-2</v>
      </c>
      <c r="FF37" s="685"/>
      <c r="FG37" s="685">
        <v>3.6002715770524309E-2</v>
      </c>
      <c r="FH37" s="685"/>
      <c r="FI37" s="685">
        <v>2.7171955295385995E-2</v>
      </c>
      <c r="FJ37" s="685"/>
      <c r="FK37" s="685">
        <v>3.3418553338288512E-2</v>
      </c>
      <c r="FL37" s="685"/>
      <c r="FM37" s="685">
        <v>3.8743958233434468E-2</v>
      </c>
      <c r="FN37" s="685"/>
      <c r="FO37" s="685">
        <v>3.6699011822632507E-2</v>
      </c>
      <c r="FP37" s="685"/>
      <c r="FQ37" s="685">
        <v>4.6084670189071947E-2</v>
      </c>
      <c r="FR37" s="685"/>
      <c r="FS37" s="685">
        <v>4.8376577022753539E-2</v>
      </c>
      <c r="FT37" s="685"/>
      <c r="FU37" s="685">
        <v>5.2822655251793228E-2</v>
      </c>
      <c r="FV37" s="685"/>
      <c r="FW37" s="685">
        <v>4.9043816647549039E-2</v>
      </c>
      <c r="FX37" s="685"/>
      <c r="FY37" s="685">
        <v>5.3116150921590777E-2</v>
      </c>
      <c r="FZ37" s="685"/>
      <c r="GA37" s="685">
        <v>5.8300000059898549E-2</v>
      </c>
      <c r="GB37" s="686"/>
      <c r="GC37" s="685">
        <v>6.3443817398381189E-2</v>
      </c>
      <c r="GD37" s="222"/>
      <c r="GE37" s="357" t="s">
        <v>495</v>
      </c>
      <c r="GF37" s="357" t="s">
        <v>495</v>
      </c>
      <c r="GG37" s="351" t="s">
        <v>495</v>
      </c>
      <c r="GH37" s="222"/>
      <c r="GI37" s="351" t="s">
        <v>495</v>
      </c>
      <c r="GJ37" s="222"/>
      <c r="GK37" s="222"/>
      <c r="GL37" s="351" t="s">
        <v>495</v>
      </c>
    </row>
    <row r="38" spans="2:194" ht="14.25" customHeight="1">
      <c r="B38" s="334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807"/>
      <c r="AU38" s="222"/>
      <c r="AV38" s="807"/>
      <c r="AW38" s="222"/>
      <c r="AX38" s="807"/>
      <c r="AY38" s="222"/>
      <c r="AZ38" s="807"/>
      <c r="BA38" s="222"/>
      <c r="BB38" s="807"/>
      <c r="BC38" s="222"/>
      <c r="BD38" s="807"/>
      <c r="BE38" s="222"/>
      <c r="BF38" s="807"/>
      <c r="BG38" s="222"/>
      <c r="BH38" s="807"/>
      <c r="BI38" s="222"/>
      <c r="BJ38" s="807"/>
      <c r="BK38" s="222"/>
      <c r="BL38" s="807"/>
      <c r="BM38" s="222"/>
      <c r="BN38" s="222"/>
      <c r="BO38" s="222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  <c r="CA38" s="222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2"/>
      <c r="CR38" s="222"/>
      <c r="CS38" s="222"/>
      <c r="CT38" s="222"/>
      <c r="CU38" s="222"/>
      <c r="CV38" s="222"/>
      <c r="CW38" s="222"/>
      <c r="CX38" s="222"/>
      <c r="CY38" s="356"/>
      <c r="CZ38" s="222"/>
      <c r="DA38" s="356"/>
      <c r="DB38" s="222"/>
      <c r="DC38" s="356"/>
      <c r="DD38" s="212"/>
      <c r="DE38" s="356"/>
      <c r="DF38" s="212"/>
      <c r="DG38" s="356"/>
      <c r="DH38" s="212"/>
      <c r="DI38" s="356"/>
      <c r="DJ38" s="212"/>
      <c r="DK38" s="684"/>
      <c r="DL38" s="677"/>
      <c r="DM38" s="684"/>
      <c r="DN38" s="677"/>
      <c r="DO38" s="684"/>
      <c r="DP38" s="677"/>
      <c r="DQ38" s="684"/>
      <c r="DR38" s="677"/>
      <c r="DS38" s="684"/>
      <c r="DT38" s="677"/>
      <c r="DU38" s="684"/>
      <c r="DV38" s="677"/>
      <c r="DW38" s="684"/>
      <c r="DX38" s="677"/>
      <c r="DY38" s="684"/>
      <c r="DZ38" s="677"/>
      <c r="EA38" s="684"/>
      <c r="EB38" s="677"/>
      <c r="EC38" s="684"/>
      <c r="ED38" s="677"/>
      <c r="EE38" s="684"/>
      <c r="EF38" s="677"/>
      <c r="EG38" s="685"/>
      <c r="EH38" s="678"/>
      <c r="EI38" s="685"/>
      <c r="EJ38" s="678"/>
      <c r="EK38" s="685"/>
      <c r="EL38" s="678"/>
      <c r="EM38" s="685"/>
      <c r="EN38" s="678"/>
      <c r="EO38" s="685"/>
      <c r="EP38" s="678"/>
      <c r="EQ38" s="685"/>
      <c r="ER38" s="678"/>
      <c r="ES38" s="685"/>
      <c r="ET38" s="678"/>
      <c r="EU38" s="685"/>
      <c r="EV38" s="685"/>
      <c r="EW38" s="685"/>
      <c r="EX38" s="685"/>
      <c r="EY38" s="685"/>
      <c r="EZ38" s="685"/>
      <c r="FA38" s="685"/>
      <c r="FB38" s="685"/>
      <c r="FC38" s="685"/>
      <c r="FD38" s="685"/>
      <c r="FE38" s="685"/>
      <c r="FF38" s="685"/>
      <c r="FG38" s="685"/>
      <c r="FH38" s="685"/>
      <c r="FI38" s="685"/>
      <c r="FJ38" s="685"/>
      <c r="FK38" s="685"/>
      <c r="FL38" s="685"/>
      <c r="FM38" s="685"/>
      <c r="FN38" s="685"/>
      <c r="FO38" s="685"/>
      <c r="FP38" s="685"/>
      <c r="FQ38" s="685"/>
      <c r="FR38" s="685"/>
      <c r="FS38" s="685"/>
      <c r="FT38" s="685"/>
      <c r="FU38" s="685"/>
      <c r="FV38" s="685"/>
      <c r="FW38" s="685"/>
      <c r="FX38" s="685"/>
      <c r="FY38" s="685"/>
      <c r="FZ38" s="685"/>
      <c r="GA38" s="685"/>
      <c r="GB38" s="686"/>
      <c r="GC38" s="685"/>
      <c r="GD38" s="222"/>
      <c r="GE38" s="357"/>
      <c r="GF38" s="357"/>
      <c r="GG38" s="351"/>
      <c r="GH38" s="222"/>
      <c r="GI38" s="351"/>
      <c r="GJ38" s="222"/>
      <c r="GK38" s="222"/>
      <c r="GL38" s="351"/>
    </row>
    <row r="39" spans="2:194" ht="14.25" customHeight="1">
      <c r="B39" s="337" t="s">
        <v>634</v>
      </c>
      <c r="C39" s="222" t="s">
        <v>616</v>
      </c>
      <c r="D39" s="222"/>
      <c r="E39" s="341"/>
      <c r="F39" s="222"/>
      <c r="H39" s="222"/>
      <c r="J39" s="222"/>
      <c r="L39" s="222"/>
      <c r="N39" s="222"/>
      <c r="P39" s="222"/>
      <c r="R39" s="222"/>
      <c r="T39" s="222"/>
      <c r="V39" s="222"/>
      <c r="X39" s="222"/>
      <c r="Z39" s="222"/>
      <c r="AB39" s="222"/>
      <c r="AD39" s="222"/>
      <c r="AF39" s="222"/>
      <c r="AH39" s="222"/>
      <c r="AJ39" s="222"/>
      <c r="AL39" s="222"/>
      <c r="AN39" s="222"/>
      <c r="AP39" s="222"/>
      <c r="AR39" s="222"/>
      <c r="AT39" s="807"/>
      <c r="AV39" s="807"/>
      <c r="AX39" s="807"/>
      <c r="AZ39" s="807"/>
      <c r="BB39" s="807"/>
      <c r="BD39" s="807"/>
      <c r="BF39" s="807"/>
      <c r="BH39" s="807"/>
      <c r="BJ39" s="807"/>
      <c r="BL39" s="807"/>
      <c r="BN39" s="222"/>
      <c r="BP39" s="222"/>
      <c r="BR39" s="222"/>
      <c r="BT39" s="222"/>
      <c r="BV39" s="222"/>
      <c r="BX39" s="222"/>
      <c r="BZ39" s="222"/>
      <c r="CB39" s="222"/>
      <c r="CD39" s="222"/>
      <c r="CF39" s="222"/>
      <c r="CH39" s="222"/>
      <c r="CJ39" s="222"/>
      <c r="CL39" s="222"/>
      <c r="CN39" s="222"/>
      <c r="CY39" s="356"/>
      <c r="DA39" s="356"/>
      <c r="DC39" s="356"/>
      <c r="DD39" s="157"/>
      <c r="DE39" s="356"/>
      <c r="DF39" s="157"/>
      <c r="DG39" s="356"/>
      <c r="DH39" s="157"/>
      <c r="DI39" s="356"/>
      <c r="DJ39" s="157"/>
      <c r="DK39" s="684"/>
      <c r="DL39" s="659"/>
      <c r="DM39" s="684"/>
      <c r="DN39" s="659"/>
      <c r="DO39" s="684"/>
      <c r="DP39" s="659"/>
      <c r="DQ39" s="684"/>
      <c r="DR39" s="659"/>
      <c r="DS39" s="684"/>
      <c r="DT39" s="659"/>
      <c r="DU39" s="684"/>
      <c r="DV39" s="659"/>
      <c r="DW39" s="684"/>
      <c r="DX39" s="659"/>
      <c r="DY39" s="684"/>
      <c r="DZ39" s="659"/>
      <c r="EA39" s="684"/>
      <c r="EB39" s="659"/>
      <c r="EC39" s="684"/>
      <c r="ED39" s="659"/>
      <c r="EE39" s="684"/>
      <c r="EF39" s="659"/>
      <c r="EG39" s="685"/>
      <c r="EI39" s="685"/>
      <c r="EK39" s="685"/>
      <c r="EM39" s="685"/>
      <c r="EO39" s="685"/>
      <c r="EQ39" s="685"/>
      <c r="ES39" s="685"/>
      <c r="EU39" s="685"/>
      <c r="EV39" s="672"/>
      <c r="EW39" s="672"/>
      <c r="EX39" s="672"/>
      <c r="EY39" s="672"/>
      <c r="EZ39" s="672"/>
      <c r="FA39" s="672"/>
      <c r="FB39" s="672"/>
      <c r="FC39" s="672"/>
      <c r="FD39" s="672"/>
      <c r="FE39" s="672"/>
      <c r="FF39" s="672"/>
      <c r="FG39" s="672"/>
      <c r="FH39" s="672"/>
      <c r="FI39" s="672"/>
      <c r="FJ39" s="672"/>
      <c r="FK39" s="672"/>
      <c r="FL39" s="672"/>
      <c r="FM39" s="672"/>
      <c r="FN39" s="672"/>
      <c r="FO39" s="672"/>
      <c r="FP39" s="672"/>
      <c r="FQ39" s="672"/>
      <c r="FR39" s="672"/>
      <c r="FS39" s="672"/>
      <c r="FT39" s="672"/>
      <c r="FU39" s="672"/>
      <c r="FV39" s="672"/>
      <c r="FW39" s="672"/>
      <c r="FY39" s="672"/>
      <c r="FZ39" s="672"/>
      <c r="GA39" s="672"/>
      <c r="GB39" s="672"/>
      <c r="GC39" s="672"/>
      <c r="GE39" s="335"/>
      <c r="GF39" s="335"/>
      <c r="GG39" s="335"/>
      <c r="GJ39" s="351" t="s">
        <v>495</v>
      </c>
    </row>
    <row r="40" spans="2:194" ht="14.25" customHeight="1">
      <c r="B40" s="334"/>
      <c r="C40" s="339"/>
      <c r="E40" t="s">
        <v>531</v>
      </c>
      <c r="F40" s="222"/>
      <c r="G40" s="732">
        <f>G28/G36</f>
        <v>0.15109086227666663</v>
      </c>
      <c r="H40" s="222"/>
      <c r="I40" s="732">
        <f>I28/I36</f>
        <v>0.14059672872457635</v>
      </c>
      <c r="J40" s="222"/>
      <c r="K40" s="732">
        <f>K28/K36</f>
        <v>0.13876564932516283</v>
      </c>
      <c r="L40" s="222"/>
      <c r="M40" s="732">
        <f>M28/M36</f>
        <v>0.11585532885779376</v>
      </c>
      <c r="N40" s="222"/>
      <c r="O40" s="732">
        <f>O28/O36</f>
        <v>0.11112066489473786</v>
      </c>
      <c r="P40" s="222"/>
      <c r="Q40" s="732">
        <f>Q28/Q36</f>
        <v>0.10360598273205156</v>
      </c>
      <c r="R40" s="222"/>
      <c r="S40" s="732">
        <v>0.10488139265579949</v>
      </c>
      <c r="T40" s="222"/>
      <c r="U40" s="732">
        <v>9.6954566383034013E-2</v>
      </c>
      <c r="V40" s="222"/>
      <c r="W40" s="732">
        <v>9.493408884988995E-2</v>
      </c>
      <c r="X40" s="222"/>
      <c r="Y40" s="732">
        <f>Y28/Y36</f>
        <v>4.7394130312501864E-2</v>
      </c>
      <c r="Z40" s="222"/>
      <c r="AA40" s="732">
        <f>AA28/AA36</f>
        <v>4.6666727966667258E-2</v>
      </c>
      <c r="AB40" s="222"/>
      <c r="AC40" s="732">
        <v>4.824659734669088E-2</v>
      </c>
      <c r="AD40" s="222"/>
      <c r="AE40" s="732">
        <v>4.8748737572173954E-2</v>
      </c>
      <c r="AF40" s="222"/>
      <c r="AG40" s="732">
        <v>4.7743357898348722E-2</v>
      </c>
      <c r="AH40" s="222"/>
      <c r="AI40" s="732">
        <v>4.7764789973976998E-2</v>
      </c>
      <c r="AJ40" s="222"/>
      <c r="AK40" s="732">
        <v>4.8268023474223105E-2</v>
      </c>
      <c r="AL40" s="222"/>
      <c r="AM40" s="732">
        <v>4.7158431948339435E-2</v>
      </c>
      <c r="AN40" s="222"/>
      <c r="AO40" s="732">
        <v>4.6283399076306943E-2</v>
      </c>
      <c r="AP40" s="222"/>
      <c r="AQ40" s="732">
        <v>4.5129725055079645E-2</v>
      </c>
      <c r="AR40" s="222"/>
      <c r="AS40" s="732">
        <v>4.3788807360784825E-2</v>
      </c>
      <c r="AT40" s="807"/>
      <c r="AU40" s="732">
        <v>4.2494589445494398E-2</v>
      </c>
      <c r="AV40" s="807"/>
      <c r="AW40" s="732">
        <v>4.0399137750134193E-2</v>
      </c>
      <c r="AX40" s="807"/>
      <c r="AY40" s="732">
        <v>3.9041585378485233E-2</v>
      </c>
      <c r="AZ40" s="807"/>
      <c r="BA40" s="732">
        <v>3.6095092439381284E-2</v>
      </c>
      <c r="BB40" s="807"/>
      <c r="BC40" s="732">
        <v>3.8838522751319854E-2</v>
      </c>
      <c r="BD40" s="807"/>
      <c r="BE40" s="732">
        <v>3.7823536549603402E-2</v>
      </c>
      <c r="BF40" s="807"/>
      <c r="BG40" s="732">
        <v>3.8800568271545016E-2</v>
      </c>
      <c r="BH40" s="807"/>
      <c r="BI40" s="730">
        <v>3.7856711843556622E-2</v>
      </c>
      <c r="BJ40" s="807"/>
      <c r="BK40" s="730">
        <v>3.6905372706206002E-2</v>
      </c>
      <c r="BL40" s="807"/>
      <c r="BM40" s="730">
        <v>3.5985730519604735E-2</v>
      </c>
      <c r="BN40" s="731"/>
      <c r="BO40" s="730">
        <v>3.6299674311149943E-2</v>
      </c>
      <c r="BP40" s="731"/>
      <c r="BQ40" s="730">
        <v>3.6333876273027234E-2</v>
      </c>
      <c r="BR40" s="731"/>
      <c r="BS40" s="730">
        <v>3.6953707743178257E-2</v>
      </c>
      <c r="BT40" s="731"/>
      <c r="BU40" s="730">
        <v>3.8046416898781098E-2</v>
      </c>
      <c r="BV40" s="731"/>
      <c r="BW40" s="732">
        <v>3.9607111813687264E-2</v>
      </c>
      <c r="BX40" s="731"/>
      <c r="BY40" s="730">
        <v>3.7335465371024071E-2</v>
      </c>
      <c r="BZ40" s="731"/>
      <c r="CA40" s="730">
        <v>3.6404954217660733E-2</v>
      </c>
      <c r="CB40" s="731"/>
      <c r="CC40" s="732">
        <v>3.4009947027538762E-2</v>
      </c>
      <c r="CD40" s="731"/>
      <c r="CE40" s="732">
        <v>3.5900949759304281E-2</v>
      </c>
      <c r="CF40" s="731"/>
      <c r="CG40" s="730">
        <v>3.502152311248502E-2</v>
      </c>
      <c r="CH40" s="731"/>
      <c r="CI40" s="732">
        <v>3.5601117552351687E-2</v>
      </c>
      <c r="CJ40" s="731"/>
      <c r="CK40" s="732">
        <v>3.5158639060119783E-2</v>
      </c>
      <c r="CL40" s="731"/>
      <c r="CM40" s="730">
        <v>3.4566279153492016E-2</v>
      </c>
      <c r="CN40" s="731"/>
      <c r="CO40" s="730">
        <v>3.4871565063000702E-2</v>
      </c>
      <c r="CP40" s="733"/>
      <c r="CQ40" s="730">
        <v>3.4445229642136269E-2</v>
      </c>
      <c r="CR40" s="733"/>
      <c r="CS40" s="730">
        <v>3.3712709535516958E-2</v>
      </c>
      <c r="CU40" s="363">
        <v>3.3254342139773269E-2</v>
      </c>
      <c r="CW40" s="363">
        <v>4.4390178502675695E-2</v>
      </c>
      <c r="CY40" s="363">
        <v>3.9712395532806873E-2</v>
      </c>
      <c r="DA40" s="363">
        <v>3.8334292375458288E-2</v>
      </c>
      <c r="DC40" s="363">
        <v>4.1653872929328505E-2</v>
      </c>
      <c r="DD40" s="157"/>
      <c r="DE40" s="363">
        <v>4.6982893519593442E-2</v>
      </c>
      <c r="DF40" s="157"/>
      <c r="DG40" s="363">
        <v>5.0650271289611429E-2</v>
      </c>
      <c r="DH40" s="157"/>
      <c r="DI40" s="363">
        <v>5.5685432622179086E-2</v>
      </c>
      <c r="DJ40" s="157"/>
      <c r="DK40" s="692">
        <v>5.7828058995878916E-2</v>
      </c>
      <c r="DL40" s="659"/>
      <c r="DM40" s="692">
        <v>5.9952313374790581E-2</v>
      </c>
      <c r="DN40" s="659"/>
      <c r="DO40" s="692">
        <v>6.6011778937637322E-2</v>
      </c>
      <c r="DP40" s="659"/>
      <c r="DQ40" s="692">
        <v>6.6384029705198314E-2</v>
      </c>
      <c r="DR40" s="659"/>
      <c r="DS40" s="692">
        <v>7.2716805162110112E-2</v>
      </c>
      <c r="DT40" s="659"/>
      <c r="DU40" s="692">
        <v>6.217009585998659E-2</v>
      </c>
      <c r="DV40" s="659"/>
      <c r="DW40" s="692">
        <v>5.2277486932840608E-2</v>
      </c>
      <c r="DX40" s="659"/>
      <c r="DY40" s="692">
        <v>4.6829280478607446E-2</v>
      </c>
      <c r="DZ40" s="659"/>
      <c r="EA40" s="692">
        <v>4.829959303703292E-2</v>
      </c>
      <c r="EB40" s="659"/>
      <c r="EC40" s="692">
        <v>4.3384043187661724E-2</v>
      </c>
      <c r="ED40" s="659"/>
      <c r="EE40" s="692">
        <v>4.1005799923084341E-2</v>
      </c>
      <c r="EF40" s="659"/>
      <c r="EG40" s="693">
        <v>3.9204100292458861E-2</v>
      </c>
      <c r="EI40" s="693">
        <v>3.074757965219567E-2</v>
      </c>
      <c r="EK40" s="693">
        <v>2.7350904657243599E-2</v>
      </c>
      <c r="EM40" s="693">
        <v>2.2957196323132988E-2</v>
      </c>
      <c r="EO40" s="693">
        <v>2.1116448196707216E-2</v>
      </c>
      <c r="EQ40" s="693">
        <v>2.0163809520853629E-2</v>
      </c>
      <c r="ES40" s="693">
        <v>1.6895789156904286E-2</v>
      </c>
      <c r="EU40" s="685">
        <v>1.7892077929453576E-2</v>
      </c>
      <c r="EV40" s="672"/>
      <c r="EW40" s="672"/>
      <c r="EX40" s="672"/>
      <c r="EY40" s="672"/>
      <c r="EZ40" s="672"/>
      <c r="FA40" s="672"/>
      <c r="FB40" s="672"/>
      <c r="FC40" s="672"/>
      <c r="FD40" s="672"/>
      <c r="FE40" s="672"/>
      <c r="FF40" s="672"/>
      <c r="FG40" s="672"/>
      <c r="FH40" s="672"/>
      <c r="FI40" s="672"/>
      <c r="FJ40" s="672"/>
      <c r="FK40" s="672"/>
      <c r="FL40" s="672"/>
      <c r="FM40" s="672"/>
      <c r="FN40" s="672"/>
      <c r="FO40" s="672"/>
      <c r="FP40" s="672"/>
      <c r="FQ40" s="672"/>
      <c r="FR40" s="672"/>
      <c r="FS40" s="672"/>
      <c r="FT40" s="672"/>
      <c r="FU40" s="672"/>
      <c r="FV40" s="672"/>
      <c r="FW40" s="672"/>
      <c r="FY40" s="672"/>
      <c r="FZ40" s="672"/>
      <c r="GA40" s="672"/>
      <c r="GB40" s="672"/>
      <c r="GC40" s="672"/>
      <c r="GE40" s="335"/>
      <c r="GF40" s="335"/>
      <c r="GG40" s="335"/>
      <c r="GL40" s="351" t="s">
        <v>495</v>
      </c>
    </row>
    <row r="41" spans="2:194" ht="14.25" customHeight="1">
      <c r="B41" s="334"/>
      <c r="C41" s="339"/>
      <c r="E41" t="s">
        <v>502</v>
      </c>
      <c r="G41" s="732">
        <f>G37</f>
        <v>7.8022146220051047E-2</v>
      </c>
      <c r="I41" s="732">
        <f>I37</f>
        <v>7.8549028560663953E-2</v>
      </c>
      <c r="K41" s="732">
        <f>K37</f>
        <v>8.1525058128261663E-2</v>
      </c>
      <c r="M41" s="732">
        <f>M37</f>
        <v>8.0367316673647132E-2</v>
      </c>
      <c r="O41" s="732">
        <f>O37</f>
        <v>8.1399502668193097E-2</v>
      </c>
      <c r="Q41" s="732">
        <f>Q37</f>
        <v>8.4022891241657752E-2</v>
      </c>
      <c r="S41" s="732">
        <v>8.6420848317556628E-2</v>
      </c>
      <c r="U41" s="732">
        <v>8.6744789908357128E-2</v>
      </c>
      <c r="W41" s="732">
        <v>8.7583824911484004E-2</v>
      </c>
      <c r="Y41" s="732">
        <f>Y37</f>
        <v>0.11286763271991072</v>
      </c>
      <c r="AA41" s="732">
        <f>AA37</f>
        <v>9.5958553779288719E-2</v>
      </c>
      <c r="AC41" s="732">
        <v>9.9532571158377978E-2</v>
      </c>
      <c r="AE41" s="732">
        <v>9.0130190334152843E-2</v>
      </c>
      <c r="AG41" s="732">
        <v>7.9981745360500761E-2</v>
      </c>
      <c r="AI41" s="732">
        <v>6.9510590574661066E-2</v>
      </c>
      <c r="AK41" s="732">
        <v>6.9128130864562085E-2</v>
      </c>
      <c r="AM41" s="732">
        <v>6.1912426433293005E-2</v>
      </c>
      <c r="AO41" s="732">
        <v>6.2052280063018363E-2</v>
      </c>
      <c r="AQ41" s="732">
        <v>5.6762138596642038E-2</v>
      </c>
      <c r="AS41" s="732">
        <v>4.9948064609206165E-2</v>
      </c>
      <c r="AU41" s="732">
        <v>4.4984030760757215E-2</v>
      </c>
      <c r="AW41" s="732">
        <v>4.4721984669202498E-2</v>
      </c>
      <c r="AY41" s="732">
        <v>3.9468074471637658E-2</v>
      </c>
      <c r="BA41" s="732">
        <v>4.3088971601784737E-2</v>
      </c>
      <c r="BC41" s="732">
        <v>4.2817933777520495E-2</v>
      </c>
      <c r="BE41" s="732">
        <v>4.0673189900325472E-2</v>
      </c>
      <c r="BG41" s="732">
        <v>4.1760987350912444E-2</v>
      </c>
      <c r="BI41" s="730">
        <v>4.0916738047098028E-2</v>
      </c>
      <c r="BK41" s="730">
        <v>4.5922194980326958E-2</v>
      </c>
      <c r="BM41" s="730">
        <v>4.2586858579380764E-2</v>
      </c>
      <c r="BN41" s="733"/>
      <c r="BO41" s="730">
        <v>4.259159215701544E-2</v>
      </c>
      <c r="BP41" s="733"/>
      <c r="BQ41" s="730">
        <v>4.3884234771097139E-2</v>
      </c>
      <c r="BR41" s="733"/>
      <c r="BS41" s="730">
        <v>4.4043654446957868E-2</v>
      </c>
      <c r="BT41" s="733"/>
      <c r="BU41" s="730">
        <f>BU37</f>
        <v>4.4835965527824713E-2</v>
      </c>
      <c r="BV41" s="733"/>
      <c r="BW41" s="732">
        <v>4.2731748755486902E-2</v>
      </c>
      <c r="BX41" s="733"/>
      <c r="BY41" s="730">
        <f>BY37</f>
        <v>4.8691469257359475E-2</v>
      </c>
      <c r="BZ41" s="733"/>
      <c r="CA41" s="730">
        <v>5.0030707449489585E-2</v>
      </c>
      <c r="CB41" s="733"/>
      <c r="CC41" s="732">
        <v>5.0300101704806179E-2</v>
      </c>
      <c r="CD41" s="733"/>
      <c r="CE41" s="732">
        <v>5.1385789721745775E-2</v>
      </c>
      <c r="CF41" s="733"/>
      <c r="CG41" s="730">
        <f>CG37</f>
        <v>5.370097315320646E-2</v>
      </c>
      <c r="CH41" s="733"/>
      <c r="CI41" s="732">
        <v>5.5211193816986207E-2</v>
      </c>
      <c r="CJ41" s="733"/>
      <c r="CK41" s="732">
        <v>5.6308591245727166E-2</v>
      </c>
      <c r="CL41" s="733"/>
      <c r="CM41" s="730">
        <f>CM37</f>
        <v>5.4408356135680375E-2</v>
      </c>
      <c r="CN41" s="733"/>
      <c r="CO41" s="730">
        <f>CO37</f>
        <v>5.7833172688984996E-2</v>
      </c>
      <c r="CP41" s="733"/>
      <c r="CQ41" s="730">
        <f>CQ37</f>
        <v>5.7349046711997954E-2</v>
      </c>
      <c r="CR41" s="733"/>
      <c r="CS41" s="730">
        <f>CS37</f>
        <v>5.5457231998439105E-2</v>
      </c>
      <c r="CU41" s="363">
        <f>CU37</f>
        <v>5.2988509803753185E-2</v>
      </c>
      <c r="CW41" s="363">
        <f>CW37</f>
        <v>4.2175162276212201E-2</v>
      </c>
      <c r="CY41" s="363">
        <f>CY37</f>
        <v>4.7732601933395263E-2</v>
      </c>
      <c r="DA41" s="364">
        <f>DA37</f>
        <v>4.0234047692590952E-2</v>
      </c>
      <c r="DC41" s="363">
        <f>DC37</f>
        <v>4.2517368436956873E-2</v>
      </c>
      <c r="DD41" s="157"/>
      <c r="DE41" s="363">
        <f>DE37</f>
        <v>4.242034761773298E-2</v>
      </c>
      <c r="DF41" s="157"/>
      <c r="DG41" s="363">
        <f>DG37</f>
        <v>4.2138620360146553E-2</v>
      </c>
      <c r="DH41" s="157"/>
      <c r="DI41" s="363">
        <f>DI37</f>
        <v>4.1880562323135896E-2</v>
      </c>
      <c r="DJ41" s="157"/>
      <c r="DK41" s="692">
        <f>DK37</f>
        <v>4.119259196850189E-2</v>
      </c>
      <c r="DL41" s="659"/>
      <c r="DM41" s="692">
        <f>DM37</f>
        <v>4.3445332869814751E-2</v>
      </c>
      <c r="DN41" s="659"/>
      <c r="DO41" s="692">
        <f>DO37</f>
        <v>4.4302808701504971E-2</v>
      </c>
      <c r="DP41" s="659"/>
      <c r="DQ41" s="692">
        <f>DQ37</f>
        <v>4.2759141046125736E-2</v>
      </c>
      <c r="DR41" s="659"/>
      <c r="DS41" s="692">
        <v>4.3080060411484739E-2</v>
      </c>
      <c r="DT41" s="659"/>
      <c r="DU41" s="692">
        <v>6.4430638949864644E-2</v>
      </c>
      <c r="DV41" s="659"/>
      <c r="DW41" s="692">
        <v>7.6464833003247357E-2</v>
      </c>
      <c r="DX41" s="659"/>
      <c r="DY41" s="692">
        <v>7.9176221622723336E-2</v>
      </c>
      <c r="DZ41" s="659"/>
      <c r="EA41" s="692">
        <v>9.4763182452715422E-2</v>
      </c>
      <c r="EB41" s="659"/>
      <c r="EC41" s="692">
        <v>0.11881345276254864</v>
      </c>
      <c r="ED41" s="659"/>
      <c r="EE41" s="692">
        <v>0.12785606300911695</v>
      </c>
      <c r="EF41" s="659"/>
      <c r="EG41" s="693">
        <v>0.12315854497411782</v>
      </c>
      <c r="EI41" s="693">
        <v>0.11697257474629927</v>
      </c>
      <c r="EK41" s="693">
        <v>0.12117044532284638</v>
      </c>
      <c r="EM41" s="693">
        <v>8.8022983592003126E-2</v>
      </c>
      <c r="EO41" s="693">
        <v>4.1126285349895361E-2</v>
      </c>
      <c r="EQ41" s="693">
        <v>2.2715072782086971E-2</v>
      </c>
      <c r="ES41" s="693">
        <v>3.0695380120995513E-2</v>
      </c>
      <c r="EU41" s="693">
        <v>3.0403956350221729E-2</v>
      </c>
      <c r="EV41" s="672"/>
      <c r="EW41" s="672"/>
      <c r="EX41" s="672"/>
      <c r="EY41" s="672"/>
      <c r="EZ41" s="672"/>
      <c r="FA41" s="672"/>
      <c r="FB41" s="672"/>
      <c r="FC41" s="672"/>
      <c r="FD41" s="672"/>
      <c r="FE41" s="672"/>
      <c r="FF41" s="672"/>
      <c r="FG41" s="672"/>
      <c r="FH41" s="672"/>
      <c r="FI41" s="672"/>
      <c r="FJ41" s="672"/>
      <c r="FK41" s="672"/>
      <c r="FL41" s="672"/>
      <c r="FM41" s="672"/>
      <c r="FN41" s="672"/>
      <c r="FO41" s="672"/>
      <c r="FP41" s="672"/>
      <c r="FQ41" s="672"/>
      <c r="FR41" s="672"/>
      <c r="FS41" s="672"/>
      <c r="FT41" s="672"/>
      <c r="FU41" s="672"/>
      <c r="FV41" s="672"/>
      <c r="FW41" s="672"/>
      <c r="FY41" s="672"/>
      <c r="FZ41" s="672"/>
      <c r="GA41" s="672"/>
      <c r="GB41" s="672"/>
      <c r="GC41" s="672"/>
      <c r="GE41" s="335"/>
      <c r="GF41" s="335"/>
      <c r="GG41" s="335"/>
    </row>
    <row r="42" spans="2:194" ht="14.25" customHeight="1">
      <c r="B42" s="334"/>
      <c r="C42" s="339"/>
      <c r="E42" s="222" t="s">
        <v>532</v>
      </c>
      <c r="G42" s="559">
        <f>SUM(G40:G41)</f>
        <v>0.22911300849671767</v>
      </c>
      <c r="I42" s="559">
        <f>SUM(I40:I41)</f>
        <v>0.2191457572852403</v>
      </c>
      <c r="K42" s="559">
        <f>SUM(K40:K41)</f>
        <v>0.22029070745342449</v>
      </c>
      <c r="M42" s="559">
        <f>SUM(M40:M41)</f>
        <v>0.19622264553144089</v>
      </c>
      <c r="O42" s="559">
        <f>SUM(O40:O41)</f>
        <v>0.19252016756293094</v>
      </c>
      <c r="Q42" s="559">
        <f>SUM(Q40:Q41)</f>
        <v>0.18762887397370931</v>
      </c>
      <c r="S42" s="559">
        <v>0.19130224097335613</v>
      </c>
      <c r="U42" s="559">
        <v>0.18369935629139114</v>
      </c>
      <c r="W42" s="559">
        <v>0.18251791376137394</v>
      </c>
      <c r="Y42" s="559">
        <f>SUM(Y40:Y41)</f>
        <v>0.16026176303241257</v>
      </c>
      <c r="AA42" s="559">
        <f>SUM(AA40:AA41)</f>
        <v>0.14262528174595598</v>
      </c>
      <c r="AC42" s="559">
        <v>0.14777916850506886</v>
      </c>
      <c r="AE42" s="559">
        <v>0.1388789279063268</v>
      </c>
      <c r="AG42" s="559">
        <v>0.12772510325884948</v>
      </c>
      <c r="AI42" s="559">
        <v>0.11727538054863806</v>
      </c>
      <c r="AK42" s="559">
        <v>0.1173961543387852</v>
      </c>
      <c r="AM42" s="559">
        <v>0.10907085838163244</v>
      </c>
      <c r="AO42" s="559">
        <v>0.10833567913932531</v>
      </c>
      <c r="AQ42" s="559">
        <v>0.10189186365172168</v>
      </c>
      <c r="AS42" s="559">
        <v>9.373687196999099E-2</v>
      </c>
      <c r="AT42" s="808" t="str">
        <f>IF(AS42-AU42=0,"Investigate","Fine")</f>
        <v>Fine</v>
      </c>
      <c r="AU42" s="559">
        <v>8.7478620206251606E-2</v>
      </c>
      <c r="AV42" s="808" t="str">
        <f>IF(AU42-AW42=0,"Investigate","Fine")</f>
        <v>Fine</v>
      </c>
      <c r="AW42" s="559">
        <f>SUM(AW40:AW41)</f>
        <v>8.5121122419336698E-2</v>
      </c>
      <c r="AX42" s="808" t="str">
        <f>IF(AW42-AY42=0,"Investigate","Fine")</f>
        <v>Fine</v>
      </c>
      <c r="AY42" s="559">
        <v>7.8509659850122898E-2</v>
      </c>
      <c r="AZ42" s="808" t="str">
        <f>IF(AY42-BA42=0,"Investigate","Fine")</f>
        <v>Fine</v>
      </c>
      <c r="BA42" s="559">
        <v>7.9184064041166013E-2</v>
      </c>
      <c r="BB42" s="808" t="str">
        <f>IF(BA42-BC42=0,"Investigate","Fine")</f>
        <v>Fine</v>
      </c>
      <c r="BC42" s="559">
        <v>8.1656456528840349E-2</v>
      </c>
      <c r="BD42" s="808" t="str">
        <f>IF(BC42-BE42=0,"Investigate","Fine")</f>
        <v>Fine</v>
      </c>
      <c r="BE42" s="559">
        <v>7.8496726449928875E-2</v>
      </c>
      <c r="BF42" s="808" t="str">
        <f>IF(BE42-BG42=0,"Investigate","Fine")</f>
        <v>Fine</v>
      </c>
      <c r="BG42" s="559">
        <v>8.0561555622457454E-2</v>
      </c>
      <c r="BH42" s="808" t="str">
        <f>IF(BG42-BI42=0,"Investigate","Fine")</f>
        <v>Fine</v>
      </c>
      <c r="BI42" s="356">
        <v>7.8773449890654657E-2</v>
      </c>
      <c r="BJ42" s="808" t="str">
        <f>IF(BI42-BK42=0,"Investigate","Fine")</f>
        <v>Fine</v>
      </c>
      <c r="BK42" s="356">
        <v>8.282756768653296E-2</v>
      </c>
      <c r="BL42" s="808" t="str">
        <f>IF(BK42-BM42=0,"Investigate","Fine")</f>
        <v>Fine</v>
      </c>
      <c r="BM42" s="356">
        <v>7.8572589098985499E-2</v>
      </c>
      <c r="BO42" s="356">
        <v>7.8891266468165383E-2</v>
      </c>
      <c r="BQ42" s="356">
        <v>8.0218111044124379E-2</v>
      </c>
      <c r="BS42" s="356">
        <v>8.0997362190136118E-2</v>
      </c>
      <c r="BU42" s="356">
        <f>SUM(BU40:BU41)</f>
        <v>8.2882382426605811E-2</v>
      </c>
      <c r="BW42" s="559">
        <v>8.2338860569174166E-2</v>
      </c>
      <c r="BY42" s="356">
        <f>SUM(BY40:BY41)</f>
        <v>8.6026934628383539E-2</v>
      </c>
      <c r="CA42" s="356">
        <v>8.6435661667150318E-2</v>
      </c>
      <c r="CC42" s="559">
        <v>8.4310048732344933E-2</v>
      </c>
      <c r="CE42" s="559">
        <v>8.7286739481050063E-2</v>
      </c>
      <c r="CG42" s="356">
        <f>SUM(CG40:CG41)</f>
        <v>8.8722496265691481E-2</v>
      </c>
      <c r="CI42" s="559">
        <v>9.08123113693379E-2</v>
      </c>
      <c r="CK42" s="559">
        <v>9.1467230305846942E-2</v>
      </c>
      <c r="CM42" s="356">
        <f>SUM(CM40:CM41)</f>
        <v>8.8974635289172391E-2</v>
      </c>
      <c r="CO42" s="356">
        <f>SUM(CO40:CO41)</f>
        <v>9.2704737751985705E-2</v>
      </c>
      <c r="CQ42" s="356">
        <f>SUM(CQ40:CQ41)</f>
        <v>9.179427635413423E-2</v>
      </c>
      <c r="CS42" s="356">
        <f>SUM(CS40:CS41)</f>
        <v>8.9169941533956062E-2</v>
      </c>
      <c r="CU42" s="356">
        <f>SUM(CU40:CU41)</f>
        <v>8.6242851943526461E-2</v>
      </c>
      <c r="CW42" s="356">
        <f>SUM(CW40:CW41)</f>
        <v>8.6565340778887889E-2</v>
      </c>
      <c r="CY42" s="356">
        <f>SUM(CY40:CY41)</f>
        <v>8.7444997466202129E-2</v>
      </c>
      <c r="DA42" s="356">
        <f>SUM(DA40:DA41)</f>
        <v>7.8568340068049247E-2</v>
      </c>
      <c r="DC42" s="356">
        <f>SUM(DC40:DC41)</f>
        <v>8.4171241366285371E-2</v>
      </c>
      <c r="DD42" s="157"/>
      <c r="DE42" s="356">
        <f>SUM(DE40:DE41)</f>
        <v>8.9403241137326422E-2</v>
      </c>
      <c r="DF42" s="157"/>
      <c r="DG42" s="356">
        <f>SUM(DG40:DG41)</f>
        <v>9.2788891649757982E-2</v>
      </c>
      <c r="DH42" s="157"/>
      <c r="DI42" s="356">
        <f>SUM(DI40:DI41)</f>
        <v>9.7565994945314982E-2</v>
      </c>
      <c r="DJ42" s="157"/>
      <c r="DK42" s="684">
        <f>SUM(DK40:DK41)</f>
        <v>9.9020650964380813E-2</v>
      </c>
      <c r="DL42" s="659"/>
      <c r="DM42" s="684">
        <f>SUM(DM40:DM41)</f>
        <v>0.10339764624460533</v>
      </c>
      <c r="DN42" s="659"/>
      <c r="DO42" s="684">
        <f>SUM(DO40:DO41)</f>
        <v>0.11031458763914229</v>
      </c>
      <c r="DP42" s="659"/>
      <c r="DQ42" s="684">
        <f>SUM(DQ40:DQ41)</f>
        <v>0.10914317075132404</v>
      </c>
      <c r="DR42" s="659"/>
      <c r="DS42" s="684">
        <v>0.11579686557359485</v>
      </c>
      <c r="DT42" s="659"/>
      <c r="DU42" s="684">
        <v>0.12660073480985123</v>
      </c>
      <c r="DV42" s="659"/>
      <c r="DW42" s="684">
        <v>0.12874231993608798</v>
      </c>
      <c r="DX42" s="659"/>
      <c r="DY42" s="684">
        <v>0.12600550210133077</v>
      </c>
      <c r="DZ42" s="659"/>
      <c r="EA42" s="684">
        <v>0.14306277548974833</v>
      </c>
      <c r="EB42" s="659"/>
      <c r="EC42" s="684">
        <v>0.16219749595021035</v>
      </c>
      <c r="ED42" s="659"/>
      <c r="EE42" s="684">
        <v>0.16886186293220129</v>
      </c>
      <c r="EF42" s="659"/>
      <c r="EG42" s="685">
        <v>0.16236264526657668</v>
      </c>
      <c r="EI42" s="685">
        <v>0.14772015439849495</v>
      </c>
      <c r="EK42" s="685">
        <v>0.14852134998008998</v>
      </c>
      <c r="EM42" s="685">
        <v>0.11098017991513612</v>
      </c>
      <c r="EO42" s="685">
        <v>6.2242733546602577E-2</v>
      </c>
      <c r="EQ42" s="685">
        <v>4.2878882302940596E-2</v>
      </c>
      <c r="ES42" s="685">
        <v>4.7591169277899803E-2</v>
      </c>
      <c r="EU42" s="685">
        <v>4.8296034279675305E-2</v>
      </c>
      <c r="EV42" s="672"/>
      <c r="EW42" s="672"/>
      <c r="EX42" s="672"/>
      <c r="EY42" s="672"/>
      <c r="EZ42" s="672"/>
      <c r="FA42" s="672"/>
      <c r="FB42" s="672"/>
      <c r="FC42" s="672"/>
      <c r="FD42" s="672"/>
      <c r="FE42" s="672"/>
      <c r="FF42" s="672"/>
      <c r="FG42" s="672"/>
      <c r="FH42" s="672"/>
      <c r="FI42" s="672"/>
      <c r="FJ42" s="672"/>
      <c r="FK42" s="672"/>
      <c r="FL42" s="672"/>
      <c r="FM42" s="672"/>
      <c r="FN42" s="672"/>
      <c r="FO42" s="672"/>
      <c r="FP42" s="672"/>
      <c r="FQ42" s="672"/>
      <c r="FR42" s="672"/>
      <c r="FS42" s="672"/>
      <c r="FT42" s="672"/>
      <c r="FU42" s="672"/>
      <c r="FV42" s="672"/>
      <c r="FW42" s="672"/>
      <c r="FY42" s="672"/>
      <c r="FZ42" s="672"/>
      <c r="GA42" s="672"/>
      <c r="GB42" s="672"/>
      <c r="GC42" s="672"/>
      <c r="GE42" s="335"/>
      <c r="GF42" s="335"/>
      <c r="GG42" s="335"/>
    </row>
    <row r="44" spans="2:194" ht="15" customHeight="1">
      <c r="B44" s="337" t="s">
        <v>635</v>
      </c>
      <c r="C44" s="222" t="s">
        <v>537</v>
      </c>
      <c r="D44" s="222" t="s">
        <v>620</v>
      </c>
    </row>
    <row r="45" spans="2:194" ht="15" customHeight="1">
      <c r="B45" s="334"/>
    </row>
    <row r="46" spans="2:194" ht="15" customHeight="1">
      <c r="B46" s="340"/>
      <c r="E46" s="341" t="s">
        <v>543</v>
      </c>
      <c r="G46" s="734">
        <f>G59</f>
        <v>280383625.18000001</v>
      </c>
      <c r="I46" s="734">
        <f>I59</f>
        <v>283146791.35000002</v>
      </c>
      <c r="K46" s="734">
        <f>K59</f>
        <v>279146791.35000002</v>
      </c>
      <c r="M46" s="734">
        <f>M59</f>
        <v>273534524.35000002</v>
      </c>
      <c r="O46" s="734">
        <f>O59</f>
        <v>276200411.35000002</v>
      </c>
      <c r="Q46" s="734">
        <f>Q59</f>
        <v>277806783.35000002</v>
      </c>
      <c r="S46" s="734">
        <v>160700946.99000001</v>
      </c>
      <c r="U46" s="734">
        <v>161792381.99000001</v>
      </c>
      <c r="W46" s="734">
        <v>154489869</v>
      </c>
      <c r="Y46" s="734">
        <f>Y59</f>
        <v>339736906.35000002</v>
      </c>
      <c r="AA46" s="734">
        <f>AA59</f>
        <v>326506681.35000002</v>
      </c>
      <c r="AC46" s="734">
        <v>201318661.99000001</v>
      </c>
      <c r="AE46" s="734">
        <v>180756641</v>
      </c>
      <c r="AG46" s="734">
        <v>160878982.99000001</v>
      </c>
      <c r="AI46" s="734">
        <v>147197009.99000001</v>
      </c>
      <c r="AK46" s="734">
        <v>133700002.98999999</v>
      </c>
      <c r="AM46" s="734">
        <v>124143275.70999999</v>
      </c>
      <c r="AO46" s="734">
        <v>115287756</v>
      </c>
      <c r="AQ46" s="734">
        <v>106534461.91</v>
      </c>
      <c r="AS46" s="734">
        <v>95328719</v>
      </c>
      <c r="AU46" s="734">
        <v>83184994.239999995</v>
      </c>
      <c r="AW46" s="734">
        <f>AW59</f>
        <v>76877652.239999995</v>
      </c>
      <c r="AY46" s="734">
        <v>63867053.229999997</v>
      </c>
      <c r="BA46" s="734">
        <v>63353320.079999998</v>
      </c>
      <c r="BC46" s="734">
        <v>56840207.630000003</v>
      </c>
      <c r="BE46" s="734">
        <v>52847495.799999997</v>
      </c>
      <c r="BG46" s="734">
        <v>50168894.460000001</v>
      </c>
      <c r="BI46" s="734">
        <v>48913086.460000001</v>
      </c>
      <c r="BK46" s="734">
        <v>46743508.460000001</v>
      </c>
      <c r="BM46" s="734">
        <v>44065253.460000001</v>
      </c>
      <c r="BN46" s="733"/>
      <c r="BO46" s="734">
        <v>40814432</v>
      </c>
      <c r="BP46" s="733"/>
      <c r="BQ46" s="734">
        <v>37941310.460000001</v>
      </c>
      <c r="BR46" s="733"/>
      <c r="BS46" s="734">
        <v>35398232.460000001</v>
      </c>
      <c r="BT46" s="733"/>
      <c r="BU46" s="734">
        <f>BU59</f>
        <v>31577892.460000001</v>
      </c>
      <c r="BV46" s="733"/>
      <c r="BW46" s="734">
        <v>27940619.460000001</v>
      </c>
      <c r="BX46" s="733"/>
      <c r="BY46" s="734">
        <f>BY59</f>
        <v>29693178.460000001</v>
      </c>
      <c r="BZ46" s="733"/>
      <c r="CA46" s="734">
        <f>CA59</f>
        <v>30697854.460000001</v>
      </c>
      <c r="CB46" s="733"/>
      <c r="CC46" s="734">
        <f>CC59</f>
        <v>30168614.460000001</v>
      </c>
      <c r="CD46" s="733"/>
      <c r="CE46" s="734">
        <f>CE59</f>
        <v>30070274.460000001</v>
      </c>
      <c r="CF46" s="733"/>
      <c r="CG46" s="734">
        <f>CG59</f>
        <v>29422332.460000001</v>
      </c>
      <c r="CH46" s="733"/>
      <c r="CI46" s="734">
        <f>CI59</f>
        <v>29010262.460000001</v>
      </c>
      <c r="CJ46" s="733"/>
      <c r="CK46" s="734">
        <f>CK59</f>
        <v>27671272.460000001</v>
      </c>
      <c r="CL46" s="733"/>
      <c r="CM46" s="734">
        <f>CM59</f>
        <v>26253005</v>
      </c>
      <c r="CN46" s="733"/>
      <c r="CO46" s="734">
        <f>CO59</f>
        <v>25805131</v>
      </c>
      <c r="CP46" s="733"/>
      <c r="CQ46" s="734">
        <f>CQ59</f>
        <v>25593329.420000002</v>
      </c>
      <c r="CR46" s="733"/>
      <c r="CS46" s="734">
        <f>CS59</f>
        <v>24078891.420000002</v>
      </c>
      <c r="CU46" s="198">
        <f>CU59</f>
        <v>21332600.879999999</v>
      </c>
    </row>
    <row r="47" spans="2:194" ht="15" customHeight="1">
      <c r="B47" s="340"/>
      <c r="E47" s="341" t="s">
        <v>621</v>
      </c>
      <c r="G47" s="734">
        <v>96431491.790000007</v>
      </c>
      <c r="I47" s="734">
        <v>96431491.790000007</v>
      </c>
      <c r="K47" s="734">
        <v>96431491.790000007</v>
      </c>
      <c r="M47" s="734">
        <v>96431491.790000007</v>
      </c>
      <c r="O47" s="734">
        <v>93757179</v>
      </c>
      <c r="Q47" s="734">
        <v>97275932</v>
      </c>
      <c r="S47" s="734">
        <v>90423523</v>
      </c>
      <c r="U47" s="734">
        <v>100231626</v>
      </c>
      <c r="W47" s="734">
        <v>129703280</v>
      </c>
      <c r="Y47" s="734">
        <v>163041273.18000001</v>
      </c>
      <c r="AA47" s="734">
        <v>147882746</v>
      </c>
      <c r="AC47" s="734">
        <v>141461479</v>
      </c>
      <c r="AE47" s="734">
        <v>121606265</v>
      </c>
      <c r="AG47" s="734">
        <v>98618628</v>
      </c>
      <c r="AI47" s="734">
        <v>78383876</v>
      </c>
      <c r="AK47" s="734">
        <v>75778368</v>
      </c>
      <c r="AM47" s="734">
        <v>68891597</v>
      </c>
      <c r="AO47" s="734">
        <v>58777589</v>
      </c>
      <c r="AQ47" s="734">
        <v>49569057</v>
      </c>
      <c r="AS47" s="734">
        <v>42122581</v>
      </c>
      <c r="AU47" s="734">
        <v>38072568</v>
      </c>
      <c r="AW47" s="734">
        <v>35118660</v>
      </c>
      <c r="AY47" s="734">
        <v>27256089</v>
      </c>
      <c r="BA47" s="734">
        <v>31261166</v>
      </c>
      <c r="BC47" s="734">
        <v>28858275</v>
      </c>
      <c r="BE47" s="734">
        <v>27526396</v>
      </c>
      <c r="BG47" s="734">
        <v>27599917</v>
      </c>
      <c r="BI47" s="734">
        <v>25395506</v>
      </c>
      <c r="BK47" s="734">
        <v>27180194</v>
      </c>
      <c r="BM47" s="734">
        <v>24864375</v>
      </c>
      <c r="BN47" s="733"/>
      <c r="BO47" s="734">
        <v>25140522</v>
      </c>
      <c r="BP47" s="733"/>
      <c r="BQ47" s="734">
        <v>25349419</v>
      </c>
      <c r="BR47" s="733"/>
      <c r="BS47" s="734">
        <v>19056607</v>
      </c>
      <c r="BT47" s="733"/>
      <c r="BU47" s="734">
        <v>16544574</v>
      </c>
      <c r="BV47" s="733"/>
      <c r="BW47" s="734">
        <v>12450013</v>
      </c>
      <c r="BX47" s="733"/>
      <c r="BY47" s="734">
        <v>16540411</v>
      </c>
      <c r="BZ47" s="733"/>
      <c r="CA47" s="734">
        <v>16921485</v>
      </c>
      <c r="CB47" s="733"/>
      <c r="CC47" s="734">
        <v>18330925</v>
      </c>
      <c r="CD47" s="733"/>
      <c r="CE47" s="734">
        <v>18020839</v>
      </c>
      <c r="CF47" s="733"/>
      <c r="CG47" s="734">
        <v>18135816</v>
      </c>
      <c r="CH47" s="733"/>
      <c r="CI47" s="734">
        <v>17070196</v>
      </c>
      <c r="CJ47" s="733"/>
      <c r="CK47" s="734">
        <v>16441860</v>
      </c>
      <c r="CL47" s="733"/>
      <c r="CM47" s="734">
        <v>17165713</v>
      </c>
      <c r="CN47" s="733"/>
      <c r="CO47" s="734">
        <v>16839578</v>
      </c>
      <c r="CP47" s="733"/>
      <c r="CQ47" s="734">
        <v>15350552</v>
      </c>
      <c r="CR47" s="733"/>
      <c r="CS47" s="734">
        <v>13938793</v>
      </c>
      <c r="CU47" s="198">
        <v>10994764</v>
      </c>
    </row>
    <row r="48" spans="2:194" ht="15" customHeight="1">
      <c r="B48" s="334"/>
      <c r="F48" s="222" t="s">
        <v>537</v>
      </c>
      <c r="G48" s="558">
        <f>G46/G47</f>
        <v>2.9075939817522967</v>
      </c>
      <c r="H48" s="222"/>
      <c r="I48" s="558">
        <f>I46/I47</f>
        <v>2.9362481705313872</v>
      </c>
      <c r="J48" s="222"/>
      <c r="K48" s="558">
        <f>K46/K47</f>
        <v>2.8947679452880526</v>
      </c>
      <c r="L48" s="222"/>
      <c r="M48" s="558">
        <f>M46/M47</f>
        <v>2.8365684204666186</v>
      </c>
      <c r="N48" s="222"/>
      <c r="O48" s="558">
        <f>O46/O47</f>
        <v>2.9459121348990247</v>
      </c>
      <c r="P48" s="222"/>
      <c r="Q48" s="558">
        <f>Q46/Q47</f>
        <v>2.8558634971495316</v>
      </c>
      <c r="R48" s="222"/>
      <c r="S48" s="558">
        <v>1.7772028965294795</v>
      </c>
      <c r="T48" s="222"/>
      <c r="U48" s="558">
        <v>1.6141849478726407</v>
      </c>
      <c r="V48" s="222"/>
      <c r="W48" s="558">
        <v>1.191102252772636</v>
      </c>
      <c r="X48" s="222"/>
      <c r="Y48" s="558">
        <f>Y46/Y47</f>
        <v>2.0837478739197861</v>
      </c>
      <c r="Z48" s="222"/>
      <c r="AA48" s="558">
        <f>AA46/AA47</f>
        <v>2.2078754295649881</v>
      </c>
      <c r="AB48" s="222"/>
      <c r="AC48" s="558">
        <v>1.4231341522309406</v>
      </c>
      <c r="AD48" s="222"/>
      <c r="AE48" s="558">
        <v>1.4864089526966395</v>
      </c>
      <c r="AF48" s="222"/>
      <c r="AG48" s="558">
        <v>1.6313244896288763</v>
      </c>
      <c r="AH48" s="222"/>
      <c r="AI48" s="558">
        <v>1.8778990973857941</v>
      </c>
      <c r="AJ48" s="222"/>
      <c r="AK48" s="558">
        <v>1.7643557986099674</v>
      </c>
      <c r="AL48" s="222"/>
      <c r="AM48" s="558">
        <v>1.8020089693957886</v>
      </c>
      <c r="AN48" s="222"/>
      <c r="AO48" s="558">
        <v>1.96142369840995</v>
      </c>
      <c r="AP48" s="222"/>
      <c r="AQ48" s="558">
        <v>2.1492130041933217</v>
      </c>
      <c r="AR48" s="222"/>
      <c r="AS48" s="558">
        <v>2.2631262552501235</v>
      </c>
      <c r="AT48" s="808" t="str">
        <f>IF(AS48-AU48=0,"Investigate","Fine")</f>
        <v>Fine</v>
      </c>
      <c r="AU48" s="558">
        <v>2.1849063146988139</v>
      </c>
      <c r="AV48" s="808" t="str">
        <f>IF(AU48-AW48=0,"Investigate","Fine")</f>
        <v>Fine</v>
      </c>
      <c r="AW48" s="558">
        <f>AW46/AW47</f>
        <v>2.1890827337945127</v>
      </c>
      <c r="AX48" s="808" t="str">
        <f>IF(AW48-AY48=0,"Investigate","Fine")</f>
        <v>Fine</v>
      </c>
      <c r="AY48" s="558">
        <v>2.3432214808955165</v>
      </c>
      <c r="AZ48" s="808" t="str">
        <f>IF(AY48-BA48=0,"Investigate","Fine")</f>
        <v>Fine</v>
      </c>
      <c r="BA48" s="558">
        <v>2.0265821204493779</v>
      </c>
      <c r="BB48" s="808" t="str">
        <f>IF(BA48-BC48=0,"Investigate","Fine")</f>
        <v>Fine</v>
      </c>
      <c r="BC48" s="558">
        <v>1.9696328914323535</v>
      </c>
      <c r="BD48" s="808" t="str">
        <f>IF(BC48-BE48=0,"Investigate","Fine")</f>
        <v>Fine</v>
      </c>
      <c r="BE48" s="558">
        <v>1.9198843103179943</v>
      </c>
      <c r="BF48" s="808" t="str">
        <f>IF(BE48-BG48=0,"Investigate","Fine")</f>
        <v>Fine</v>
      </c>
      <c r="BG48" s="558">
        <v>1.8177190337202827</v>
      </c>
      <c r="BH48" s="808" t="str">
        <f>IF(BG48-BI48=0,"Investigate","Fine")</f>
        <v>Fine</v>
      </c>
      <c r="BI48" s="350">
        <v>1.9260528402151154</v>
      </c>
      <c r="BJ48" s="808" t="str">
        <f>IF(BI48-BK48=0,"Investigate","Fine")</f>
        <v>Fine</v>
      </c>
      <c r="BK48" s="350">
        <v>1.7197636065437945</v>
      </c>
      <c r="BL48" s="808" t="str">
        <f>IF(BK48-BM48=0,"Investigate","Fine")</f>
        <v>Fine</v>
      </c>
      <c r="BM48" s="350">
        <v>1.7722244560742026</v>
      </c>
      <c r="BN48" s="222"/>
      <c r="BO48" s="350">
        <v>1.6234520508364942</v>
      </c>
      <c r="BP48" s="222"/>
      <c r="BQ48" s="350">
        <v>1.4967329412954198</v>
      </c>
      <c r="BR48" s="222"/>
      <c r="BS48" s="350">
        <v>1.8575306957844071</v>
      </c>
      <c r="BT48" s="222"/>
      <c r="BU48" s="350">
        <f>BU46/BU47</f>
        <v>1.9086555181172995</v>
      </c>
      <c r="BV48" s="222"/>
      <c r="BW48" s="558">
        <v>2.2442241192840524</v>
      </c>
      <c r="BX48" s="222"/>
      <c r="BY48" s="350">
        <f>BY46/BY47</f>
        <v>1.7951898813155247</v>
      </c>
      <c r="BZ48" s="222"/>
      <c r="CA48" s="350">
        <f>CA46/CA47</f>
        <v>1.8141347795421028</v>
      </c>
      <c r="CB48" s="222"/>
      <c r="CC48" s="558">
        <f>CC46/CC47</f>
        <v>1.6457769839765315</v>
      </c>
      <c r="CD48" s="222"/>
      <c r="CE48" s="558">
        <f>CE46/CE47</f>
        <v>1.6686389829019614</v>
      </c>
      <c r="CF48" s="222"/>
      <c r="CG48" s="350">
        <f>CG46/CG47</f>
        <v>1.6223329824254944</v>
      </c>
      <c r="CH48" s="222"/>
      <c r="CI48" s="558">
        <f>CI46/CI47</f>
        <v>1.6994686212155972</v>
      </c>
      <c r="CJ48" s="222"/>
      <c r="CK48" s="558">
        <f>CK46/CK47</f>
        <v>1.6829770147659693</v>
      </c>
      <c r="CL48" s="222"/>
      <c r="CM48" s="350">
        <f>CM46/CM47</f>
        <v>1.52938622473765</v>
      </c>
      <c r="CN48" s="222"/>
      <c r="CO48" s="350">
        <f>CO46/CO47</f>
        <v>1.5324096007631545</v>
      </c>
      <c r="CQ48" s="350">
        <f>CQ46/CQ47</f>
        <v>1.66725792140895</v>
      </c>
      <c r="CS48" s="350">
        <f>CS46/CS47</f>
        <v>1.7274732051763737</v>
      </c>
      <c r="CU48" s="571">
        <f>CU46/CU47</f>
        <v>1.9402509121614615</v>
      </c>
    </row>
    <row r="49" spans="1:192" ht="15" customHeight="1">
      <c r="B49" s="334"/>
    </row>
    <row r="50" spans="1:192" ht="14.25" customHeight="1"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807"/>
      <c r="AU50" s="222"/>
      <c r="AV50" s="807"/>
      <c r="AW50" s="222"/>
      <c r="AX50" s="807"/>
      <c r="AY50" s="222"/>
      <c r="AZ50" s="807"/>
      <c r="BA50" s="222"/>
      <c r="BB50" s="807"/>
      <c r="BC50" s="222"/>
      <c r="BD50" s="807"/>
      <c r="BE50" s="222"/>
      <c r="BF50" s="807"/>
      <c r="BG50" s="222"/>
      <c r="BH50" s="807"/>
      <c r="BI50" s="222"/>
      <c r="BJ50" s="807"/>
      <c r="BK50" s="222"/>
      <c r="BL50" s="807"/>
      <c r="BM50" s="222"/>
      <c r="BN50" s="222"/>
      <c r="BO50" s="222"/>
      <c r="BP50" s="222"/>
      <c r="BQ50" s="222"/>
      <c r="BR50" s="222"/>
      <c r="BS50" s="222"/>
      <c r="BT50" s="222"/>
      <c r="BU50" s="222"/>
      <c r="BV50" s="222"/>
      <c r="BW50" s="222"/>
      <c r="BX50" s="222"/>
      <c r="BY50" s="222"/>
      <c r="BZ50" s="222"/>
      <c r="CA50" s="222"/>
      <c r="CB50" s="222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2"/>
      <c r="CR50" s="222"/>
      <c r="CS50" s="222"/>
      <c r="CT50" s="222"/>
      <c r="CU50" s="222"/>
      <c r="CV50" s="222"/>
      <c r="CW50" s="222"/>
      <c r="CX50" s="222"/>
      <c r="CY50" s="559"/>
      <c r="CZ50" s="222"/>
      <c r="DA50" s="559"/>
      <c r="DB50" s="222"/>
      <c r="DC50" s="559"/>
      <c r="DD50" s="415"/>
      <c r="DE50" s="559"/>
      <c r="DF50" s="415"/>
      <c r="DG50" s="559"/>
      <c r="DH50" s="415"/>
      <c r="DI50" s="559"/>
      <c r="DJ50" s="415"/>
      <c r="DK50" s="702"/>
      <c r="DL50" s="703"/>
      <c r="DM50" s="702"/>
      <c r="DN50" s="703"/>
      <c r="DO50" s="702"/>
      <c r="DP50" s="703"/>
      <c r="DQ50" s="702"/>
      <c r="DR50" s="703"/>
      <c r="DS50" s="702"/>
      <c r="DT50" s="703"/>
      <c r="DU50" s="702"/>
      <c r="DV50" s="703"/>
      <c r="DW50" s="702"/>
      <c r="DX50" s="703"/>
      <c r="DY50" s="702"/>
      <c r="DZ50" s="703"/>
      <c r="EA50" s="702"/>
      <c r="EB50" s="703"/>
      <c r="EC50" s="702"/>
      <c r="ED50" s="703"/>
      <c r="EE50" s="702"/>
      <c r="EF50" s="703"/>
      <c r="EG50" s="685"/>
      <c r="EH50" s="678"/>
      <c r="EI50" s="685"/>
      <c r="EJ50" s="678"/>
      <c r="EK50" s="685"/>
      <c r="EL50" s="678"/>
      <c r="EM50" s="685"/>
      <c r="EN50" s="678"/>
      <c r="EO50" s="685"/>
      <c r="EP50" s="678"/>
      <c r="EQ50" s="685"/>
      <c r="ER50" s="678"/>
      <c r="ES50" s="685"/>
      <c r="ET50" s="678"/>
      <c r="EU50" s="685"/>
      <c r="EV50" s="685"/>
      <c r="EW50" s="685"/>
      <c r="EX50" s="685"/>
      <c r="EY50" s="685"/>
      <c r="EZ50" s="685"/>
      <c r="FA50" s="685"/>
      <c r="FB50" s="685"/>
      <c r="FC50" s="685"/>
      <c r="FD50" s="685"/>
      <c r="FE50" s="685"/>
      <c r="FF50" s="685"/>
      <c r="FG50" s="685"/>
      <c r="FH50" s="685"/>
      <c r="FI50" s="685"/>
      <c r="FJ50" s="685"/>
      <c r="FK50" s="685"/>
      <c r="FL50" s="685"/>
      <c r="FM50" s="685"/>
      <c r="FN50" s="685"/>
      <c r="FO50" s="685"/>
      <c r="FP50" s="685"/>
      <c r="FQ50" s="685"/>
      <c r="FR50" s="685"/>
      <c r="FS50" s="685"/>
      <c r="FT50" s="685"/>
      <c r="FU50" s="685"/>
      <c r="FV50" s="685"/>
      <c r="FW50" s="685"/>
      <c r="FX50" s="685"/>
      <c r="FY50" s="685"/>
      <c r="FZ50" s="685"/>
      <c r="GA50" s="685"/>
      <c r="GB50" s="686"/>
      <c r="GC50" s="685"/>
      <c r="GD50" s="222"/>
      <c r="GE50" s="704"/>
      <c r="GF50" s="704"/>
    </row>
    <row r="51" spans="1:192" ht="14.25" customHeight="1">
      <c r="B51" s="337" t="s">
        <v>636</v>
      </c>
      <c r="C51" s="222" t="s">
        <v>503</v>
      </c>
      <c r="D51" s="222" t="s">
        <v>612</v>
      </c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807"/>
      <c r="AU51" s="222"/>
      <c r="AV51" s="807"/>
      <c r="AW51" s="222"/>
      <c r="AX51" s="807"/>
      <c r="AY51" s="222"/>
      <c r="AZ51" s="807"/>
      <c r="BA51" s="222"/>
      <c r="BB51" s="807"/>
      <c r="BC51" s="222"/>
      <c r="BD51" s="807"/>
      <c r="BE51" s="222"/>
      <c r="BF51" s="807"/>
      <c r="BG51" s="222"/>
      <c r="BH51" s="807"/>
      <c r="BI51" s="222"/>
      <c r="BJ51" s="807"/>
      <c r="BK51" s="222"/>
      <c r="BL51" s="807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  <c r="BX51" s="222"/>
      <c r="BY51" s="222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222"/>
      <c r="CT51" s="222"/>
      <c r="CU51" s="222"/>
      <c r="CV51" s="222"/>
      <c r="CW51" s="222"/>
      <c r="CX51" s="222"/>
      <c r="CY51" s="212"/>
      <c r="CZ51" s="222"/>
      <c r="DA51" s="212"/>
      <c r="DB51" s="222"/>
      <c r="DC51" s="212"/>
      <c r="DD51" s="212"/>
      <c r="DE51" s="212"/>
      <c r="DF51" s="212"/>
      <c r="DG51" s="212"/>
      <c r="DH51" s="212"/>
      <c r="DI51" s="212"/>
      <c r="DJ51" s="212"/>
      <c r="DK51" s="677"/>
      <c r="DL51" s="677"/>
      <c r="DM51" s="677"/>
      <c r="DN51" s="677"/>
      <c r="DO51" s="677"/>
      <c r="DP51" s="677"/>
      <c r="DQ51" s="677"/>
      <c r="DR51" s="677"/>
      <c r="DS51" s="677"/>
      <c r="DT51" s="677"/>
      <c r="DU51" s="677"/>
      <c r="DV51" s="677"/>
      <c r="DW51" s="677"/>
      <c r="DX51" s="677"/>
      <c r="DY51" s="677"/>
      <c r="DZ51" s="677"/>
      <c r="EA51" s="677"/>
      <c r="EB51" s="677"/>
      <c r="EC51" s="677"/>
      <c r="ED51" s="677"/>
      <c r="EE51" s="677"/>
      <c r="EF51" s="677"/>
      <c r="EG51" s="678"/>
      <c r="EH51" s="678"/>
      <c r="EI51" s="678"/>
      <c r="EJ51" s="678"/>
      <c r="EK51" s="678"/>
      <c r="EL51" s="678"/>
      <c r="EM51" s="678"/>
      <c r="EN51" s="678"/>
      <c r="EO51" s="678"/>
      <c r="EP51" s="678"/>
      <c r="EQ51" s="678"/>
      <c r="ER51" s="678"/>
      <c r="ES51" s="678"/>
      <c r="ET51" s="678"/>
      <c r="EU51" s="678"/>
      <c r="EV51" s="678"/>
      <c r="EW51" s="678"/>
      <c r="EX51" s="678"/>
      <c r="EY51" s="678"/>
      <c r="EZ51" s="678"/>
      <c r="FA51" s="678"/>
      <c r="FB51" s="678"/>
      <c r="FC51" s="678"/>
      <c r="FD51" s="678"/>
      <c r="FE51" s="678"/>
      <c r="FF51" s="678"/>
      <c r="FG51" s="678"/>
      <c r="FH51" s="678"/>
      <c r="FI51" s="678"/>
      <c r="FJ51" s="678"/>
      <c r="FK51" s="678"/>
      <c r="FL51" s="678"/>
      <c r="FM51" s="678"/>
      <c r="FN51" s="678"/>
      <c r="FO51" s="678"/>
      <c r="FP51" s="678"/>
      <c r="FQ51" s="678"/>
      <c r="FR51" s="678"/>
      <c r="FS51" s="678"/>
      <c r="FT51" s="678"/>
      <c r="FU51" s="678"/>
      <c r="FV51" s="678"/>
      <c r="FW51" s="678"/>
      <c r="FX51" s="678"/>
      <c r="FY51" s="678"/>
      <c r="FZ51" s="678"/>
      <c r="GA51" s="678"/>
      <c r="GB51" s="678"/>
      <c r="GC51" s="678"/>
      <c r="GD51" s="222"/>
      <c r="GE51" s="288"/>
      <c r="GF51" s="288"/>
    </row>
    <row r="52" spans="1:192" ht="9" customHeight="1">
      <c r="B52" s="334"/>
      <c r="G52" s="222"/>
      <c r="I52" s="222"/>
      <c r="K52" s="222"/>
      <c r="M52" s="222"/>
      <c r="O52" s="222"/>
      <c r="Q52" s="222"/>
      <c r="S52" s="222"/>
      <c r="U52" s="222"/>
      <c r="W52" s="222"/>
      <c r="Y52" s="222"/>
      <c r="AA52" s="222"/>
      <c r="AC52" s="222"/>
      <c r="AE52" s="222"/>
      <c r="AG52" s="222"/>
      <c r="AI52" s="222"/>
      <c r="AK52" s="222"/>
      <c r="AM52" s="222"/>
      <c r="AO52" s="222"/>
      <c r="AQ52" s="222"/>
      <c r="AS52" s="222"/>
      <c r="AU52" s="222"/>
      <c r="AW52" s="222"/>
      <c r="AY52" s="222"/>
      <c r="BA52" s="222"/>
      <c r="BC52" s="222"/>
      <c r="BE52" s="222"/>
      <c r="BG52" s="222"/>
      <c r="BI52" s="222"/>
      <c r="BK52" s="222"/>
      <c r="BM52" s="222"/>
      <c r="BO52" s="222"/>
      <c r="BQ52" s="222"/>
      <c r="BS52" s="222"/>
      <c r="BU52" s="222"/>
      <c r="BW52" s="222"/>
      <c r="BY52" s="222"/>
      <c r="CA52" s="222"/>
      <c r="CC52" s="222"/>
      <c r="CE52" s="222"/>
      <c r="CG52" s="222"/>
      <c r="CI52" s="222"/>
      <c r="CK52" s="222"/>
      <c r="CM52" s="222"/>
      <c r="CO52" s="222"/>
      <c r="CP52" s="222"/>
      <c r="CQ52" s="222"/>
      <c r="CR52" s="222"/>
      <c r="CS52" s="222"/>
      <c r="CT52" s="222"/>
      <c r="CU52" s="222"/>
      <c r="CV52" s="222"/>
      <c r="CW52" s="222"/>
      <c r="CX52" s="222"/>
      <c r="CY52" s="157"/>
      <c r="CZ52" s="222"/>
      <c r="DA52" s="157"/>
      <c r="DB52" s="222"/>
      <c r="DC52" s="157"/>
      <c r="DD52" s="212"/>
      <c r="DE52" s="157"/>
      <c r="DF52" s="212"/>
      <c r="DG52" s="157"/>
      <c r="DH52" s="212"/>
      <c r="DI52" s="157"/>
      <c r="DJ52" s="212"/>
      <c r="DK52" s="659"/>
      <c r="DL52" s="677"/>
      <c r="DM52" s="659"/>
      <c r="DN52" s="677"/>
      <c r="DO52" s="659"/>
      <c r="DP52" s="677"/>
      <c r="DQ52" s="659"/>
      <c r="DR52" s="677"/>
      <c r="DS52" s="659"/>
      <c r="DT52" s="677"/>
      <c r="DU52" s="659"/>
      <c r="DV52" s="677"/>
      <c r="DW52" s="659"/>
      <c r="DX52" s="677"/>
      <c r="DY52" s="659"/>
      <c r="DZ52" s="677"/>
      <c r="EA52" s="659"/>
      <c r="EB52" s="677"/>
      <c r="EC52" s="659"/>
      <c r="ED52" s="677"/>
      <c r="EE52" s="659"/>
      <c r="EF52" s="677"/>
      <c r="EH52" s="678"/>
      <c r="EJ52" s="678"/>
      <c r="EL52" s="678"/>
      <c r="EN52" s="678"/>
      <c r="EP52" s="678"/>
      <c r="ER52" s="678"/>
      <c r="ET52" s="678"/>
      <c r="FX52" s="678"/>
      <c r="GE52" s="335"/>
      <c r="GF52" s="335"/>
    </row>
    <row r="53" spans="1:192" ht="14.25" customHeight="1">
      <c r="B53" s="340"/>
      <c r="C53" s="341"/>
      <c r="D53" s="341"/>
      <c r="E53" s="341" t="s">
        <v>504</v>
      </c>
      <c r="F53" s="341"/>
      <c r="G53" s="342">
        <f>+G11</f>
        <v>805226197.70000005</v>
      </c>
      <c r="H53" s="341"/>
      <c r="I53" s="342">
        <f>+I11</f>
        <v>557381569.10150695</v>
      </c>
      <c r="J53" s="341"/>
      <c r="K53" s="342">
        <f>+K11</f>
        <v>800448443.55083036</v>
      </c>
      <c r="L53" s="341"/>
      <c r="M53" s="342">
        <f>+M11</f>
        <v>798559795.18083036</v>
      </c>
      <c r="N53" s="341"/>
      <c r="O53" s="342">
        <f>+O11</f>
        <v>804190230.38999999</v>
      </c>
      <c r="P53" s="341"/>
      <c r="Q53" s="342">
        <f>+Q11</f>
        <v>800641531.87083042</v>
      </c>
      <c r="R53" s="341"/>
      <c r="S53" s="342">
        <v>881685771.9000001</v>
      </c>
      <c r="T53" s="341"/>
      <c r="U53" s="342">
        <v>879810443.78000009</v>
      </c>
      <c r="V53" s="341"/>
      <c r="W53" s="342">
        <v>888569415.62683225</v>
      </c>
      <c r="X53" s="341"/>
      <c r="Y53" s="342">
        <f>+Y11</f>
        <v>554076880.5</v>
      </c>
      <c r="Z53" s="341"/>
      <c r="AA53" s="342">
        <f>+AA11</f>
        <v>560518584.10000002</v>
      </c>
      <c r="AB53" s="341"/>
      <c r="AC53" s="342">
        <v>633550828.04999995</v>
      </c>
      <c r="AD53" s="341"/>
      <c r="AE53" s="342">
        <v>637729313.19000006</v>
      </c>
      <c r="AF53" s="341"/>
      <c r="AG53" s="342">
        <v>638340523.90999997</v>
      </c>
      <c r="AH53" s="341"/>
      <c r="AI53" s="342">
        <v>638936637.18000007</v>
      </c>
      <c r="AJ53" s="341"/>
      <c r="AK53" s="342">
        <v>641882567.62</v>
      </c>
      <c r="AL53" s="341"/>
      <c r="AM53" s="342">
        <v>642276932.21000004</v>
      </c>
      <c r="AN53" s="341"/>
      <c r="AO53" s="342">
        <v>641436337</v>
      </c>
      <c r="AP53" s="341"/>
      <c r="AQ53" s="342">
        <v>639583918.85000002</v>
      </c>
      <c r="AR53" s="341"/>
      <c r="AS53" s="342">
        <v>641468069.67999995</v>
      </c>
      <c r="AU53" s="342">
        <v>642507688.91000009</v>
      </c>
      <c r="AW53" s="342">
        <f>+AW11</f>
        <v>637381142.38999999</v>
      </c>
      <c r="AY53" s="342">
        <v>637381142.38999999</v>
      </c>
      <c r="BA53" s="342">
        <v>636490030.63999999</v>
      </c>
      <c r="BC53" s="342">
        <v>633448024.21000004</v>
      </c>
      <c r="BE53" s="342">
        <v>629403132.83000004</v>
      </c>
      <c r="BG53" s="342">
        <v>628339096.33000004</v>
      </c>
      <c r="BI53" s="342">
        <v>627344290.20000005</v>
      </c>
      <c r="BK53" s="342">
        <v>626724299.25999999</v>
      </c>
      <c r="BM53" s="342">
        <v>626798742.63</v>
      </c>
      <c r="BN53" s="341"/>
      <c r="BO53" s="342">
        <v>625152772.38</v>
      </c>
      <c r="BP53" s="341"/>
      <c r="BQ53" s="342">
        <v>622907473.91999996</v>
      </c>
      <c r="BR53" s="341"/>
      <c r="BS53" s="342">
        <v>620029783.80999994</v>
      </c>
      <c r="BT53" s="341"/>
      <c r="BU53" s="342">
        <f>+BU11</f>
        <v>618949702.19000006</v>
      </c>
      <c r="BV53" s="341"/>
      <c r="BW53" s="342">
        <v>618310883.98899996</v>
      </c>
      <c r="BX53" s="341"/>
      <c r="BY53" s="342">
        <f>+BY11</f>
        <v>628212132.21899998</v>
      </c>
      <c r="BZ53" s="341"/>
      <c r="CA53" s="342">
        <v>198678328.61899996</v>
      </c>
      <c r="CB53" s="341"/>
      <c r="CC53" s="342">
        <v>198813802.28899997</v>
      </c>
      <c r="CD53" s="341"/>
      <c r="CE53" s="342">
        <v>205991898.609</v>
      </c>
      <c r="CF53" s="341"/>
      <c r="CG53" s="342">
        <f>+CG11</f>
        <v>205350008.89899999</v>
      </c>
      <c r="CH53" s="341"/>
      <c r="CI53" s="342">
        <v>202365370.11899999</v>
      </c>
      <c r="CJ53" s="341"/>
      <c r="CK53" s="342">
        <v>199189447.639</v>
      </c>
      <c r="CL53" s="341"/>
      <c r="CM53" s="342">
        <f>+CM11</f>
        <v>197814195.109</v>
      </c>
      <c r="CN53" s="341"/>
      <c r="CO53" s="342">
        <f>+CO11</f>
        <v>194673846.68899998</v>
      </c>
      <c r="CP53" s="353"/>
      <c r="CQ53" s="342">
        <f>+CQ11</f>
        <v>195645764.49900001</v>
      </c>
      <c r="CR53" s="353"/>
      <c r="CS53" s="342">
        <f>+CS11</f>
        <v>188425403.89000002</v>
      </c>
      <c r="CT53" s="353"/>
      <c r="CU53" s="342">
        <f>+CU11</f>
        <v>102934429.29000001</v>
      </c>
      <c r="CV53" s="353"/>
      <c r="CW53" s="342">
        <f>+CW11</f>
        <v>152715907.59</v>
      </c>
      <c r="CX53" s="353"/>
      <c r="CY53" s="343">
        <f>+CY11</f>
        <v>107602697.31</v>
      </c>
      <c r="CZ53" s="353"/>
      <c r="DA53" s="343">
        <f>+DA11</f>
        <v>106553858.94</v>
      </c>
      <c r="DB53" s="353"/>
      <c r="DC53" s="343">
        <f>+DC11</f>
        <v>107557026.02</v>
      </c>
      <c r="DD53" s="354"/>
      <c r="DE53" s="343">
        <f>+DE11</f>
        <v>108154578.64999999</v>
      </c>
      <c r="DF53" s="354"/>
      <c r="DG53" s="343">
        <f>+DG11</f>
        <v>107924511.19</v>
      </c>
      <c r="DH53" s="354"/>
      <c r="DI53" s="343">
        <f>+DI11</f>
        <v>107796951.84</v>
      </c>
      <c r="DJ53" s="354"/>
      <c r="DK53" s="666">
        <f>+DK11</f>
        <v>106680830.55</v>
      </c>
      <c r="DL53" s="677"/>
      <c r="DM53" s="666">
        <f>+DM11</f>
        <v>106202573.95999999</v>
      </c>
      <c r="DN53" s="677"/>
      <c r="DO53" s="666">
        <f>+DO11</f>
        <v>105361632.56</v>
      </c>
      <c r="DP53" s="677"/>
      <c r="DQ53" s="666">
        <f>+DQ11</f>
        <v>104107446.28999999</v>
      </c>
      <c r="DR53" s="677"/>
      <c r="DS53" s="666">
        <v>103694409.42999999</v>
      </c>
      <c r="DT53" s="677"/>
      <c r="DU53" s="666">
        <v>103836502.88</v>
      </c>
      <c r="DV53" s="677"/>
      <c r="DW53" s="666">
        <v>102927624.31</v>
      </c>
      <c r="DX53" s="677"/>
      <c r="DY53" s="666">
        <v>102193067.19</v>
      </c>
      <c r="DZ53" s="677"/>
      <c r="EA53" s="666">
        <v>101563930.7</v>
      </c>
      <c r="EB53" s="677"/>
      <c r="EC53" s="666">
        <v>100674814.53999999</v>
      </c>
      <c r="ED53" s="677"/>
      <c r="EE53" s="666">
        <v>100122357.12</v>
      </c>
      <c r="EF53" s="677"/>
      <c r="EG53" s="666">
        <v>99185937.25</v>
      </c>
      <c r="EH53" s="678"/>
      <c r="EI53" s="666">
        <v>99364897.590000004</v>
      </c>
      <c r="EJ53" s="678"/>
      <c r="EK53" s="666">
        <v>100729579.20999999</v>
      </c>
      <c r="EL53" s="678"/>
      <c r="EM53" s="666">
        <v>102546494.78999999</v>
      </c>
      <c r="EN53" s="678"/>
      <c r="EO53" s="666">
        <v>104367161.03</v>
      </c>
      <c r="EP53" s="678"/>
      <c r="EQ53" s="666">
        <v>106476544.97</v>
      </c>
      <c r="ER53" s="678"/>
      <c r="ES53" s="666">
        <v>108456971.22999999</v>
      </c>
      <c r="ET53" s="678"/>
      <c r="EU53" s="667">
        <v>107830844.61999999</v>
      </c>
      <c r="EV53" s="667"/>
      <c r="EW53" s="667">
        <v>108178892.67999999</v>
      </c>
      <c r="EX53" s="667"/>
      <c r="EY53" s="667">
        <v>108779599.05</v>
      </c>
      <c r="EZ53" s="667"/>
      <c r="FA53" s="667">
        <v>108267676.59</v>
      </c>
      <c r="FB53" s="667"/>
      <c r="FC53" s="667">
        <v>108167362.59</v>
      </c>
      <c r="FD53" s="667"/>
      <c r="FE53" s="667">
        <v>107364336.34999999</v>
      </c>
      <c r="FF53" s="667"/>
      <c r="FG53" s="667">
        <v>107591990.07000001</v>
      </c>
      <c r="FH53" s="667"/>
      <c r="FI53" s="667">
        <v>21695943.629999999</v>
      </c>
      <c r="FJ53" s="667"/>
      <c r="FK53" s="667">
        <v>21083322.359999999</v>
      </c>
      <c r="FL53" s="667"/>
      <c r="FM53" s="667">
        <v>20483098.919999998</v>
      </c>
      <c r="FN53" s="667"/>
      <c r="FO53" s="667">
        <v>19722655.599999998</v>
      </c>
      <c r="FP53" s="667"/>
      <c r="FQ53" s="667">
        <v>20098976.850000001</v>
      </c>
      <c r="FR53" s="667"/>
      <c r="FS53" s="667">
        <v>19022545.5</v>
      </c>
      <c r="FT53" s="667"/>
      <c r="FU53" s="667">
        <v>19363081.120000001</v>
      </c>
      <c r="FV53" s="667"/>
      <c r="FW53" s="667">
        <v>19345917.5</v>
      </c>
      <c r="FX53" s="678"/>
      <c r="FY53" s="667">
        <v>19284253.190000001</v>
      </c>
      <c r="FZ53" s="667"/>
      <c r="GA53" s="667">
        <v>19206556.449999999</v>
      </c>
      <c r="GB53" s="667"/>
      <c r="GC53" s="667">
        <v>18915538.449999999</v>
      </c>
      <c r="GD53" s="341"/>
      <c r="GE53" s="345"/>
      <c r="GF53" s="345"/>
    </row>
    <row r="54" spans="1:192" ht="14.25" customHeight="1">
      <c r="B54" s="340"/>
      <c r="C54" s="341"/>
      <c r="D54" s="341"/>
      <c r="E54" s="341" t="s">
        <v>501</v>
      </c>
      <c r="F54" s="341"/>
      <c r="G54" s="342">
        <f>+G36</f>
        <v>1787240556.1200001</v>
      </c>
      <c r="H54" s="341"/>
      <c r="I54" s="342">
        <f>+I36</f>
        <v>1837456371.4499998</v>
      </c>
      <c r="J54" s="341"/>
      <c r="K54" s="342">
        <f>+K36</f>
        <v>1766309761.7599998</v>
      </c>
      <c r="L54" s="341"/>
      <c r="M54" s="342">
        <f>+M36</f>
        <v>1802684598.6199999</v>
      </c>
      <c r="N54" s="341"/>
      <c r="O54" s="342">
        <f>+O36</f>
        <v>1816293431.21</v>
      </c>
      <c r="P54" s="341"/>
      <c r="Q54" s="342">
        <f>+Q36</f>
        <v>1847614116.8899999</v>
      </c>
      <c r="R54" s="341"/>
      <c r="S54" s="342">
        <v>1767592727.6099999</v>
      </c>
      <c r="T54" s="341"/>
      <c r="U54" s="342">
        <v>1807222176.29</v>
      </c>
      <c r="V54" s="341"/>
      <c r="W54" s="342">
        <v>1816086436.0599999</v>
      </c>
      <c r="X54" s="341"/>
      <c r="Y54" s="342">
        <f>+Y36</f>
        <v>1993050439.52</v>
      </c>
      <c r="Z54" s="341"/>
      <c r="AA54" s="342">
        <f>+AA36</f>
        <v>2054642720.5799999</v>
      </c>
      <c r="AB54" s="341"/>
      <c r="AC54" s="342">
        <v>1988690111.1500001</v>
      </c>
      <c r="AD54" s="341"/>
      <c r="AE54" s="342">
        <v>1987334403</v>
      </c>
      <c r="AF54" s="341"/>
      <c r="AG54" s="342">
        <v>2046376473.3099999</v>
      </c>
      <c r="AH54" s="341"/>
      <c r="AI54" s="342">
        <v>2018986644.1900001</v>
      </c>
      <c r="AJ54" s="341"/>
      <c r="AK54" s="342">
        <v>1959026394.99</v>
      </c>
      <c r="AL54" s="341"/>
      <c r="AM54" s="342">
        <v>1915410618.3799999</v>
      </c>
      <c r="AN54" s="341"/>
      <c r="AO54" s="342">
        <v>1880488738.23</v>
      </c>
      <c r="AP54" s="341"/>
      <c r="AQ54" s="342">
        <v>1814743675.04</v>
      </c>
      <c r="AR54" s="341"/>
      <c r="AS54" s="342">
        <v>1758661475.4200001</v>
      </c>
      <c r="AU54" s="342">
        <v>1710620051.1299999</v>
      </c>
      <c r="AW54" s="342">
        <f>+AW36</f>
        <v>1665698639.0699999</v>
      </c>
      <c r="AY54" s="342">
        <v>1596708804.3599999</v>
      </c>
      <c r="BA54" s="342">
        <v>1467078109.5500002</v>
      </c>
      <c r="BC54" s="342">
        <v>1366752615.95</v>
      </c>
      <c r="BE54" s="342">
        <v>1321752464.75</v>
      </c>
      <c r="BG54" s="342">
        <v>1203150265.05</v>
      </c>
      <c r="BI54" s="342">
        <v>1135485701.3899999</v>
      </c>
      <c r="BK54" s="342">
        <v>1080087940.51</v>
      </c>
      <c r="BM54" s="342">
        <v>995242016.29000008</v>
      </c>
      <c r="BN54" s="341"/>
      <c r="BO54" s="342">
        <v>946438697.37</v>
      </c>
      <c r="BP54" s="341"/>
      <c r="BQ54" s="342">
        <v>890745986.65999997</v>
      </c>
      <c r="BR54" s="341"/>
      <c r="BS54" s="342">
        <v>839619815.02999997</v>
      </c>
      <c r="BT54" s="341"/>
      <c r="BU54" s="342">
        <f>+BU36</f>
        <v>799448982.04000008</v>
      </c>
      <c r="BV54" s="341"/>
      <c r="BW54" s="342">
        <v>740014530.67000008</v>
      </c>
      <c r="BX54" s="341"/>
      <c r="BY54" s="342">
        <f>+BY36</f>
        <v>699151217.23000002</v>
      </c>
      <c r="BZ54" s="341"/>
      <c r="CA54" s="342">
        <v>671100884.07000005</v>
      </c>
      <c r="CB54" s="341"/>
      <c r="CC54" s="342">
        <v>687598311.49000001</v>
      </c>
      <c r="CD54" s="341"/>
      <c r="CE54" s="342">
        <v>622508015.80000007</v>
      </c>
      <c r="CF54" s="341"/>
      <c r="CG54" s="342">
        <f>+CG36</f>
        <v>611656792.63</v>
      </c>
      <c r="CH54" s="341"/>
      <c r="CI54" s="342">
        <v>577080258.5</v>
      </c>
      <c r="CJ54" s="341"/>
      <c r="CK54" s="342">
        <v>554384904.85000002</v>
      </c>
      <c r="CL54" s="341"/>
      <c r="CM54" s="342">
        <f>+CM36</f>
        <v>534282453.36999995</v>
      </c>
      <c r="CN54" s="341"/>
      <c r="CO54" s="342">
        <f>+CO36</f>
        <v>501290360.73999995</v>
      </c>
      <c r="CP54" s="353"/>
      <c r="CQ54" s="342">
        <f>+CQ36</f>
        <v>474159895.56999999</v>
      </c>
      <c r="CR54" s="353"/>
      <c r="CS54" s="342">
        <f>+CS36</f>
        <v>460135605.05000001</v>
      </c>
      <c r="CT54" s="353"/>
      <c r="CU54" s="342">
        <f>+CU36</f>
        <v>443078623.78000003</v>
      </c>
      <c r="CV54" s="353"/>
      <c r="CW54" s="342">
        <f>+CW36</f>
        <v>405533652.20000005</v>
      </c>
      <c r="CX54" s="353"/>
      <c r="CY54" s="343">
        <f>+CY36</f>
        <v>398299074.82999998</v>
      </c>
      <c r="CZ54" s="353"/>
      <c r="DA54" s="343">
        <f>+DA36</f>
        <v>403341685</v>
      </c>
      <c r="DB54" s="353"/>
      <c r="DC54" s="343">
        <f>+DC36</f>
        <v>366464489.05000001</v>
      </c>
      <c r="DD54" s="354"/>
      <c r="DE54" s="343">
        <f>+DE36</f>
        <v>339890226.5</v>
      </c>
      <c r="DF54" s="354"/>
      <c r="DG54" s="343">
        <f>+DG36</f>
        <v>312726447.78999996</v>
      </c>
      <c r="DH54" s="354"/>
      <c r="DI54" s="343">
        <f>+DI36</f>
        <v>281371174.50999999</v>
      </c>
      <c r="DJ54" s="354"/>
      <c r="DK54" s="666">
        <f>+DK36</f>
        <v>272213398.19</v>
      </c>
      <c r="DL54" s="677"/>
      <c r="DM54" s="666">
        <f>+DM36</f>
        <v>261369802.23000002</v>
      </c>
      <c r="DN54" s="677"/>
      <c r="DO54" s="666">
        <f>+DO36</f>
        <v>236127135.19999999</v>
      </c>
      <c r="DP54" s="677"/>
      <c r="DQ54" s="666">
        <f>+DQ36</f>
        <v>229971342.01999998</v>
      </c>
      <c r="DR54" s="677"/>
      <c r="DS54" s="666">
        <v>204577921.79999998</v>
      </c>
      <c r="DT54" s="677"/>
      <c r="DU54" s="666">
        <v>190007986.09999999</v>
      </c>
      <c r="DV54" s="677"/>
      <c r="DW54" s="666">
        <v>185054356.81</v>
      </c>
      <c r="DX54" s="677"/>
      <c r="DY54" s="666">
        <v>187318073.23000002</v>
      </c>
      <c r="DZ54" s="677"/>
      <c r="EA54" s="666">
        <v>165779406.13</v>
      </c>
      <c r="EB54" s="677"/>
      <c r="EC54" s="666">
        <v>155907221.01999998</v>
      </c>
      <c r="ED54" s="677"/>
      <c r="EE54" s="666">
        <v>151609422.61000001</v>
      </c>
      <c r="EF54" s="677"/>
      <c r="EG54" s="666">
        <v>148133811.94</v>
      </c>
      <c r="EH54" s="678"/>
      <c r="EI54" s="666">
        <v>154491542.22</v>
      </c>
      <c r="EJ54" s="678"/>
      <c r="EK54" s="666">
        <v>155230368.17999998</v>
      </c>
      <c r="EL54" s="678"/>
      <c r="EM54" s="666">
        <v>157007510.38</v>
      </c>
      <c r="EN54" s="678"/>
      <c r="EO54" s="666">
        <v>170694058.31999999</v>
      </c>
      <c r="EP54" s="678"/>
      <c r="EQ54" s="666">
        <v>177491632.03999999</v>
      </c>
      <c r="ER54" s="678"/>
      <c r="ES54" s="666">
        <v>156918966.34</v>
      </c>
      <c r="ET54" s="678"/>
      <c r="EU54" s="667">
        <v>149743285.30000001</v>
      </c>
      <c r="EV54" s="667"/>
      <c r="EW54" s="667">
        <v>142514685.14999998</v>
      </c>
      <c r="EX54" s="667"/>
      <c r="EY54" s="667">
        <v>118062243.31999999</v>
      </c>
      <c r="EZ54" s="667"/>
      <c r="FA54" s="667">
        <v>106502597.01000001</v>
      </c>
      <c r="FB54" s="667"/>
      <c r="FC54" s="667">
        <v>94839587.5</v>
      </c>
      <c r="FD54" s="667"/>
      <c r="FE54" s="667">
        <v>86591224.709999993</v>
      </c>
      <c r="FF54" s="667"/>
      <c r="FG54" s="667">
        <v>78398626.870000005</v>
      </c>
      <c r="FH54" s="667"/>
      <c r="FI54" s="667">
        <v>74746815.159999996</v>
      </c>
      <c r="FJ54" s="667"/>
      <c r="FK54" s="667">
        <v>66438066.230000004</v>
      </c>
      <c r="FL54" s="667"/>
      <c r="FM54" s="667">
        <v>63754583.75</v>
      </c>
      <c r="FN54" s="667"/>
      <c r="FO54" s="667">
        <v>63973401.009999998</v>
      </c>
      <c r="FP54" s="667"/>
      <c r="FQ54" s="667">
        <v>56629493.480000004</v>
      </c>
      <c r="FR54" s="667"/>
      <c r="FS54" s="667">
        <v>51117560.649999999</v>
      </c>
      <c r="FT54" s="667"/>
      <c r="FU54" s="667">
        <v>49752452.380000003</v>
      </c>
      <c r="FV54" s="667"/>
      <c r="FW54" s="667">
        <v>43518780.57</v>
      </c>
      <c r="FX54" s="678"/>
      <c r="FY54" s="667">
        <v>37006353.640000001</v>
      </c>
      <c r="FZ54" s="667"/>
      <c r="GA54" s="667">
        <v>34224536.5</v>
      </c>
      <c r="GB54" s="667"/>
      <c r="GC54" s="667">
        <v>30252650.75</v>
      </c>
      <c r="GD54" s="341"/>
      <c r="GE54" s="345"/>
      <c r="GF54" s="345"/>
    </row>
    <row r="55" spans="1:192" ht="14.25" customHeight="1">
      <c r="B55" s="334"/>
      <c r="C55" s="222"/>
      <c r="D55" s="222"/>
      <c r="E55" s="222"/>
      <c r="F55" s="222" t="s">
        <v>505</v>
      </c>
      <c r="G55" s="355">
        <f>+G53/G54</f>
        <v>0.45054158766859081</v>
      </c>
      <c r="H55" s="222"/>
      <c r="I55" s="355">
        <f>+I53/I54</f>
        <v>0.30334411078378859</v>
      </c>
      <c r="J55" s="222"/>
      <c r="K55" s="355">
        <f>+K53/K54</f>
        <v>0.4531755759268643</v>
      </c>
      <c r="L55" s="222"/>
      <c r="M55" s="355">
        <f>+M53/M54</f>
        <v>0.4429836454985791</v>
      </c>
      <c r="N55" s="222"/>
      <c r="O55" s="355">
        <f>+O53/O54</f>
        <v>0.44276448759397591</v>
      </c>
      <c r="P55" s="222"/>
      <c r="Q55" s="355">
        <f>+Q53/Q54</f>
        <v>0.43333806802608321</v>
      </c>
      <c r="R55" s="222"/>
      <c r="S55" s="355">
        <v>0.49880595123976684</v>
      </c>
      <c r="T55" s="222"/>
      <c r="U55" s="355">
        <v>0.48683026100650245</v>
      </c>
      <c r="V55" s="222"/>
      <c r="W55" s="355">
        <v>0.48927705090655477</v>
      </c>
      <c r="X55" s="222"/>
      <c r="Y55" s="355">
        <f>+Y53/Y54</f>
        <v>0.27800444460073082</v>
      </c>
      <c r="Z55" s="222"/>
      <c r="AA55" s="355">
        <f>+AA53/AA54</f>
        <v>0.27280586473047375</v>
      </c>
      <c r="AB55" s="222"/>
      <c r="AC55" s="355">
        <v>0.31857694896649152</v>
      </c>
      <c r="AD55" s="222"/>
      <c r="AE55" s="355">
        <v>0.32089683156861248</v>
      </c>
      <c r="AF55" s="222"/>
      <c r="AG55" s="355">
        <v>0.31193699313669715</v>
      </c>
      <c r="AH55" s="222"/>
      <c r="AI55" s="355">
        <v>0.31646402368170984</v>
      </c>
      <c r="AJ55" s="222"/>
      <c r="AK55" s="355">
        <v>0.32765386380783101</v>
      </c>
      <c r="AL55" s="222"/>
      <c r="AM55" s="355">
        <v>0.33532075370513487</v>
      </c>
      <c r="AN55" s="222"/>
      <c r="AO55" s="355">
        <v>0.34110086593964317</v>
      </c>
      <c r="AP55" s="222"/>
      <c r="AQ55" s="355">
        <v>0.35243760738601421</v>
      </c>
      <c r="AR55" s="222"/>
      <c r="AS55" s="355">
        <v>0.36474789414876208</v>
      </c>
      <c r="AT55" s="808" t="str">
        <f>IF(AS55-AU55=0,"Investigate","Fine")</f>
        <v>Fine</v>
      </c>
      <c r="AU55" s="355">
        <v>0.37559929715869572</v>
      </c>
      <c r="AV55" s="808" t="str">
        <f>IF(AU55-AW55=0,"Investigate","Fine")</f>
        <v>Fine</v>
      </c>
      <c r="AW55" s="355">
        <f>+AW53/AW54</f>
        <v>0.38265093543323381</v>
      </c>
      <c r="AX55" s="808" t="str">
        <f>IF(AW55-AY55=0,"Investigate","Fine")</f>
        <v>Fine</v>
      </c>
      <c r="AY55" s="355">
        <v>0.39918433508323892</v>
      </c>
      <c r="AZ55" s="808" t="str">
        <f>IF(AY55-BA55=0,"Investigate","Fine")</f>
        <v>Fine</v>
      </c>
      <c r="BA55" s="355">
        <v>0.433848768171745</v>
      </c>
      <c r="BB55" s="808" t="str">
        <f>IF(BA55-BC55=0,"Investigate","Fine")</f>
        <v>Fine</v>
      </c>
      <c r="BC55" s="355">
        <v>0.4634694068390014</v>
      </c>
      <c r="BD55" s="808" t="str">
        <f>IF(BC55-BE55=0,"Investigate","Fine")</f>
        <v>Fine</v>
      </c>
      <c r="BE55" s="355">
        <v>0.47618835569869516</v>
      </c>
      <c r="BF55" s="808" t="str">
        <f>IF(BE55-BG55=0,"Investigate","Fine")</f>
        <v>Fine</v>
      </c>
      <c r="BG55" s="355">
        <v>0.5222449053808651</v>
      </c>
      <c r="BH55" s="808" t="str">
        <f>IF(BG55-BI55=0,"Investigate","Fine")</f>
        <v>Fine</v>
      </c>
      <c r="BI55" s="355">
        <v>0.55248981949489917</v>
      </c>
      <c r="BJ55" s="808" t="str">
        <f>IF(BI55-BK55=0,"Investigate","Fine")</f>
        <v>Fine</v>
      </c>
      <c r="BK55" s="355">
        <v>0.58025302917841204</v>
      </c>
      <c r="BL55" s="808" t="str">
        <f>IF(BK55-BM55=0,"Investigate","Fine")</f>
        <v>Fine</v>
      </c>
      <c r="BM55" s="355">
        <v>0.6297952984004237</v>
      </c>
      <c r="BN55" s="222"/>
      <c r="BO55" s="355">
        <v>0.66053171126370724</v>
      </c>
      <c r="BP55" s="222"/>
      <c r="BQ55" s="355">
        <v>0.69930988547666095</v>
      </c>
      <c r="BR55" s="222"/>
      <c r="BS55" s="355">
        <v>0.73846492508975148</v>
      </c>
      <c r="BT55" s="222"/>
      <c r="BU55" s="355">
        <f>+BU53/BU54</f>
        <v>0.77422038941195526</v>
      </c>
      <c r="BV55" s="222"/>
      <c r="BW55" s="355">
        <v>0.83553884195920969</v>
      </c>
      <c r="BX55" s="222"/>
      <c r="BY55" s="355">
        <f>+BY53/BY54</f>
        <v>0.89853541943035309</v>
      </c>
      <c r="BZ55" s="327"/>
      <c r="CA55" s="355">
        <v>0.2960483786194455</v>
      </c>
      <c r="CB55" s="222"/>
      <c r="CC55" s="355">
        <v>0.28914236548687539</v>
      </c>
      <c r="CD55" s="222"/>
      <c r="CE55" s="355">
        <v>0.33090641948485566</v>
      </c>
      <c r="CF55" s="222"/>
      <c r="CG55" s="355">
        <f>+CG53/CG54</f>
        <v>0.33572750498860099</v>
      </c>
      <c r="CH55" s="222"/>
      <c r="CI55" s="355">
        <v>0.35067110187585804</v>
      </c>
      <c r="CJ55" s="222"/>
      <c r="CK55" s="355">
        <v>0.35929810840158916</v>
      </c>
      <c r="CL55" s="222"/>
      <c r="CM55" s="355">
        <f>+CM53/CM54</f>
        <v>0.37024273183834133</v>
      </c>
      <c r="CN55" s="222"/>
      <c r="CO55" s="355">
        <f>+CO53/CO54</f>
        <v>0.38834548185132534</v>
      </c>
      <c r="CP55" s="222"/>
      <c r="CQ55" s="355">
        <f>+CQ53/CQ54</f>
        <v>0.41261558880640703</v>
      </c>
      <c r="CR55" s="222"/>
      <c r="CS55" s="355">
        <f>+CS53/CS54</f>
        <v>0.40949972534623791</v>
      </c>
      <c r="CT55" s="222"/>
      <c r="CU55" s="355">
        <f>+CU53/CU54</f>
        <v>0.23231639660664291</v>
      </c>
      <c r="CV55" s="222"/>
      <c r="CW55" s="355">
        <f>+CW53/CW54</f>
        <v>0.37658011058151092</v>
      </c>
      <c r="CX55" s="222"/>
      <c r="CY55" s="356">
        <f>+CY53/CY54</f>
        <v>0.27015552912325103</v>
      </c>
      <c r="CZ55" s="222"/>
      <c r="DA55" s="356">
        <f>+DA53/DA54</f>
        <v>0.26417765111483582</v>
      </c>
      <c r="DB55" s="222"/>
      <c r="DC55" s="356">
        <f>+DC53/DC54</f>
        <v>0.29349917722948876</v>
      </c>
      <c r="DD55" s="212"/>
      <c r="DE55" s="356">
        <f>+DE53/DE54</f>
        <v>0.31820443842623991</v>
      </c>
      <c r="DF55" s="212"/>
      <c r="DG55" s="356">
        <f>+DG53/DG54</f>
        <v>0.34510835892739322</v>
      </c>
      <c r="DH55" s="212"/>
      <c r="DI55" s="356">
        <f>+DI53/DI54</f>
        <v>0.3831129895509921</v>
      </c>
      <c r="DJ55" s="212"/>
      <c r="DK55" s="684">
        <f>+DK53/DK54</f>
        <v>0.39190146869824061</v>
      </c>
      <c r="DL55" s="677"/>
      <c r="DM55" s="684">
        <f>+DM53/DM54</f>
        <v>0.40633069717267462</v>
      </c>
      <c r="DN55" s="677"/>
      <c r="DO55" s="684">
        <f>+DO53/DO54</f>
        <v>0.44620721998239876</v>
      </c>
      <c r="DP55" s="677"/>
      <c r="DQ55" s="684">
        <f>+DQ53/DQ54</f>
        <v>0.45269747689234274</v>
      </c>
      <c r="DR55" s="677"/>
      <c r="DS55" s="684">
        <v>0.50686999123675724</v>
      </c>
      <c r="DT55" s="677"/>
      <c r="DU55" s="684">
        <v>0.54648493998221481</v>
      </c>
      <c r="DV55" s="677"/>
      <c r="DW55" s="684">
        <v>0.55620211317520296</v>
      </c>
      <c r="DX55" s="677"/>
      <c r="DY55" s="684">
        <v>0.54555903457602517</v>
      </c>
      <c r="DZ55" s="677"/>
      <c r="EA55" s="684">
        <v>0.61264503879544696</v>
      </c>
      <c r="EB55" s="677"/>
      <c r="EC55" s="684">
        <v>0.64573541803484069</v>
      </c>
      <c r="ED55" s="677"/>
      <c r="EE55" s="684">
        <v>0.66039666530196273</v>
      </c>
      <c r="EF55" s="677"/>
      <c r="EG55" s="685">
        <v>0.66956987031545634</v>
      </c>
      <c r="EH55" s="678"/>
      <c r="EI55" s="685">
        <v>0.64317370493008474</v>
      </c>
      <c r="EJ55" s="678"/>
      <c r="EK55" s="685">
        <v>0.64890382204851382</v>
      </c>
      <c r="EL55" s="678"/>
      <c r="EM55" s="685">
        <v>0.65313114348358348</v>
      </c>
      <c r="EN55" s="678"/>
      <c r="EO55" s="685">
        <v>0.61142820117583108</v>
      </c>
      <c r="EP55" s="678"/>
      <c r="EQ55" s="685">
        <v>0.59989614015157722</v>
      </c>
      <c r="ER55" s="678"/>
      <c r="ES55" s="685">
        <v>0.6911654706863396</v>
      </c>
      <c r="ET55" s="678"/>
      <c r="EU55" s="685">
        <v>0.72010470722589381</v>
      </c>
      <c r="EV55" s="685"/>
      <c r="EW55" s="685">
        <v>0.75907189891441174</v>
      </c>
      <c r="EX55" s="685"/>
      <c r="EY55" s="685">
        <v>0.92137499670542433</v>
      </c>
      <c r="EZ55" s="685"/>
      <c r="FA55" s="685">
        <v>1.0165731130465698</v>
      </c>
      <c r="FB55" s="685"/>
      <c r="FC55" s="685">
        <v>1.1405296610974822</v>
      </c>
      <c r="FD55" s="685"/>
      <c r="FE55" s="685">
        <v>1.2398985775934062</v>
      </c>
      <c r="FF55" s="685"/>
      <c r="FG55" s="685">
        <v>1.372370848387539</v>
      </c>
      <c r="FH55" s="685"/>
      <c r="FI55" s="685">
        <v>0.29025910446563569</v>
      </c>
      <c r="FJ55" s="685"/>
      <c r="FK55" s="685">
        <v>0.31733798944436853</v>
      </c>
      <c r="FL55" s="685"/>
      <c r="FM55" s="685">
        <v>0.32128041177901973</v>
      </c>
      <c r="FN55" s="685"/>
      <c r="FO55" s="685">
        <v>0.30829462383775802</v>
      </c>
      <c r="FP55" s="685"/>
      <c r="FQ55" s="685">
        <v>0.35492065379497723</v>
      </c>
      <c r="FR55" s="685"/>
      <c r="FS55" s="685">
        <v>0.37213327979882782</v>
      </c>
      <c r="FT55" s="685"/>
      <c r="FU55" s="685">
        <v>0.3891884760194006</v>
      </c>
      <c r="FV55" s="685"/>
      <c r="FW55" s="685">
        <v>0.44454181037729384</v>
      </c>
      <c r="FX55" s="685"/>
      <c r="FY55" s="685">
        <v>0.52110654774578324</v>
      </c>
      <c r="FZ55" s="686"/>
      <c r="GA55" s="685">
        <v>0.56119259496764839</v>
      </c>
      <c r="GB55" s="686"/>
      <c r="GC55" s="685">
        <v>0.62525226653072707</v>
      </c>
      <c r="GD55" s="222"/>
      <c r="GE55" s="288"/>
      <c r="GF55" s="357" t="s">
        <v>495</v>
      </c>
    </row>
    <row r="56" spans="1:192" ht="14.25" customHeight="1">
      <c r="B56" s="334"/>
      <c r="C56" s="222"/>
      <c r="G56" s="222"/>
      <c r="I56" s="222"/>
      <c r="K56" s="222"/>
      <c r="M56" s="222"/>
      <c r="O56" s="222"/>
      <c r="Q56" s="222"/>
      <c r="S56" s="222"/>
      <c r="U56" s="222"/>
      <c r="W56" s="222"/>
      <c r="Y56" s="222"/>
      <c r="AA56" s="222"/>
      <c r="AC56" s="222"/>
      <c r="AE56" s="222"/>
      <c r="AG56" s="222"/>
      <c r="AI56" s="222"/>
      <c r="AK56" s="222"/>
      <c r="AM56" s="222"/>
      <c r="AO56" s="222"/>
      <c r="AQ56" s="222"/>
      <c r="AS56" s="222"/>
      <c r="AU56" s="222"/>
      <c r="AW56" s="222"/>
      <c r="AY56" s="222"/>
      <c r="BA56" s="222"/>
      <c r="BC56" s="222"/>
      <c r="BE56" s="222"/>
      <c r="BG56" s="222"/>
      <c r="BI56" s="222"/>
      <c r="BK56" s="222"/>
      <c r="BM56" s="222"/>
      <c r="BO56" s="222"/>
      <c r="BQ56" s="222"/>
      <c r="BS56" s="222"/>
      <c r="BU56" s="222"/>
      <c r="BW56" s="222"/>
      <c r="BY56" s="222"/>
      <c r="CA56" s="222"/>
      <c r="CC56" s="222"/>
      <c r="CE56" s="222"/>
      <c r="CG56" s="222"/>
      <c r="CI56" s="222"/>
      <c r="CK56" s="222"/>
      <c r="CM56" s="222"/>
      <c r="CO56" s="222"/>
      <c r="CP56" s="222"/>
      <c r="CQ56" s="222"/>
      <c r="CR56" s="222"/>
      <c r="CS56" s="222"/>
      <c r="CT56" s="222"/>
      <c r="CU56" s="222"/>
      <c r="CV56" s="222"/>
      <c r="CW56" s="222"/>
      <c r="CX56" s="222"/>
      <c r="CY56" s="221"/>
      <c r="CZ56" s="222"/>
      <c r="DA56" s="221"/>
      <c r="DB56" s="222"/>
      <c r="DC56" s="221"/>
      <c r="DD56" s="212"/>
      <c r="DE56" s="221"/>
      <c r="DF56" s="212"/>
      <c r="DG56" s="221"/>
      <c r="DH56" s="212"/>
      <c r="DI56" s="221"/>
      <c r="DJ56" s="212"/>
      <c r="DK56" s="687"/>
      <c r="DL56" s="677"/>
      <c r="DM56" s="687"/>
      <c r="DN56" s="677"/>
      <c r="DO56" s="687"/>
      <c r="DP56" s="677"/>
      <c r="DQ56" s="687"/>
      <c r="DR56" s="677"/>
      <c r="DS56" s="687"/>
      <c r="DT56" s="677"/>
      <c r="DU56" s="687"/>
      <c r="DV56" s="677"/>
      <c r="DW56" s="687"/>
      <c r="DX56" s="677"/>
      <c r="DY56" s="687"/>
      <c r="DZ56" s="677"/>
      <c r="EA56" s="687"/>
      <c r="EB56" s="677"/>
      <c r="EC56" s="687"/>
      <c r="ED56" s="677"/>
      <c r="EE56" s="687"/>
      <c r="EF56" s="677"/>
      <c r="EG56" s="688"/>
      <c r="EH56" s="678"/>
      <c r="EI56" s="688"/>
      <c r="EJ56" s="678"/>
      <c r="EK56" s="688"/>
      <c r="EL56" s="678"/>
      <c r="EM56" s="688"/>
      <c r="EN56" s="678"/>
      <c r="EO56" s="688"/>
      <c r="EP56" s="678"/>
      <c r="EQ56" s="688"/>
      <c r="ER56" s="678"/>
      <c r="ES56" s="688"/>
      <c r="ET56" s="678"/>
      <c r="EU56" s="688"/>
      <c r="EV56" s="688"/>
      <c r="EW56" s="688"/>
      <c r="EX56" s="688"/>
      <c r="EY56" s="688"/>
      <c r="EZ56" s="688"/>
      <c r="FA56" s="688"/>
      <c r="FB56" s="688"/>
      <c r="FC56" s="688"/>
      <c r="FD56" s="688"/>
      <c r="FE56" s="688"/>
      <c r="FF56" s="688"/>
      <c r="FG56" s="688"/>
      <c r="FH56" s="688"/>
      <c r="FI56" s="688"/>
      <c r="FJ56" s="688"/>
      <c r="FK56" s="688"/>
      <c r="FL56" s="688"/>
      <c r="FM56" s="688"/>
      <c r="FN56" s="688"/>
      <c r="FO56" s="688"/>
      <c r="FP56" s="688"/>
      <c r="FQ56" s="688"/>
      <c r="FR56" s="688"/>
      <c r="FS56" s="688"/>
      <c r="FT56" s="688"/>
      <c r="FU56" s="688"/>
      <c r="FV56" s="688"/>
      <c r="FW56" s="688"/>
      <c r="FX56" s="678"/>
      <c r="FY56" s="688"/>
      <c r="GA56" s="688"/>
      <c r="GC56" s="688"/>
      <c r="GE56" s="335"/>
      <c r="GF56" s="335"/>
    </row>
    <row r="57" spans="1:192" ht="14.25" customHeight="1">
      <c r="B57" s="337" t="s">
        <v>637</v>
      </c>
      <c r="C57" s="222" t="s">
        <v>542</v>
      </c>
      <c r="D57" s="222" t="s">
        <v>617</v>
      </c>
      <c r="E57" s="222"/>
      <c r="F57" s="222"/>
      <c r="H57" s="222"/>
      <c r="J57" s="222"/>
      <c r="L57" s="222"/>
      <c r="N57" s="222"/>
      <c r="P57" s="222"/>
      <c r="R57" s="222"/>
      <c r="T57" s="222"/>
      <c r="V57" s="222"/>
      <c r="X57" s="222"/>
      <c r="Z57" s="222"/>
      <c r="AB57" s="222"/>
      <c r="AD57" s="222"/>
      <c r="AF57" s="222"/>
      <c r="AH57" s="222"/>
      <c r="AJ57" s="222"/>
      <c r="AL57" s="222"/>
      <c r="AN57" s="222"/>
      <c r="AP57" s="222"/>
      <c r="AR57" s="222"/>
      <c r="AT57" s="807"/>
      <c r="AV57" s="807"/>
      <c r="AX57" s="807"/>
      <c r="AZ57" s="807"/>
      <c r="BB57" s="807"/>
      <c r="BD57" s="807"/>
      <c r="BF57" s="807"/>
      <c r="BH57" s="807"/>
      <c r="BJ57" s="807"/>
      <c r="BL57" s="807"/>
      <c r="BN57" s="222"/>
      <c r="BP57" s="222"/>
      <c r="BR57" s="222"/>
      <c r="BT57" s="222"/>
      <c r="BV57" s="222"/>
      <c r="BX57" s="222"/>
      <c r="BZ57" s="222"/>
      <c r="CB57" s="222"/>
      <c r="CD57" s="222"/>
      <c r="CF57" s="222"/>
      <c r="CH57" s="222"/>
      <c r="CJ57" s="222"/>
      <c r="CL57" s="222"/>
      <c r="CN57" s="222"/>
      <c r="CY57" s="359"/>
      <c r="DA57" s="359"/>
      <c r="DC57" s="359"/>
      <c r="DD57" s="157"/>
      <c r="DE57" s="359"/>
      <c r="DF57" s="157"/>
      <c r="DG57" s="359"/>
      <c r="DH57" s="157"/>
      <c r="DI57" s="359"/>
      <c r="DJ57" s="157"/>
      <c r="DK57" s="691"/>
      <c r="DL57" s="659"/>
      <c r="DM57" s="691"/>
      <c r="DN57" s="659"/>
      <c r="DO57" s="691"/>
      <c r="DP57" s="659"/>
      <c r="DQ57" s="691"/>
      <c r="DR57" s="659"/>
      <c r="DS57" s="691"/>
      <c r="DT57" s="659"/>
      <c r="DU57" s="691"/>
      <c r="DV57" s="659"/>
      <c r="DW57" s="691"/>
      <c r="DX57" s="659"/>
      <c r="DY57" s="691"/>
      <c r="DZ57" s="659"/>
      <c r="EA57" s="691"/>
      <c r="EB57" s="659"/>
      <c r="EC57" s="691"/>
      <c r="ED57" s="659"/>
      <c r="EE57" s="691"/>
      <c r="EF57" s="659"/>
      <c r="EG57" s="672"/>
      <c r="EI57" s="672"/>
      <c r="EK57" s="672"/>
      <c r="EM57" s="672"/>
      <c r="EO57" s="672"/>
      <c r="EQ57" s="672"/>
      <c r="ES57" s="672"/>
      <c r="EU57" s="672"/>
      <c r="EV57" s="672"/>
      <c r="EW57" s="672"/>
      <c r="EX57" s="672"/>
      <c r="EY57" s="672"/>
      <c r="FA57" s="672"/>
      <c r="FC57" s="672"/>
      <c r="FE57" s="672"/>
      <c r="FG57" s="672"/>
      <c r="FI57" s="672"/>
      <c r="FK57" s="672"/>
      <c r="FM57" s="672"/>
      <c r="FO57" s="672"/>
      <c r="FQ57" s="672"/>
      <c r="FS57" s="672"/>
      <c r="FU57" s="672"/>
      <c r="FW57" s="672"/>
      <c r="FY57" s="672"/>
      <c r="FZ57" s="672"/>
      <c r="GA57" s="672"/>
      <c r="GB57" s="672"/>
      <c r="GC57" s="672"/>
      <c r="GE57" s="288"/>
      <c r="GF57" s="335"/>
    </row>
    <row r="59" spans="1:192" ht="14.25" customHeight="1">
      <c r="A59" s="341"/>
      <c r="C59" s="341"/>
      <c r="D59" s="341"/>
      <c r="E59" s="341" t="s">
        <v>543</v>
      </c>
      <c r="F59" s="341"/>
      <c r="G59" s="557">
        <f>-'Notes - Dec25'!C7</f>
        <v>280383625.18000001</v>
      </c>
      <c r="H59" s="341"/>
      <c r="I59" s="557">
        <f>-'Notes - Dec25'!E7</f>
        <v>283146791.35000002</v>
      </c>
      <c r="J59" s="341"/>
      <c r="K59" s="557">
        <f>-'Notes - Dec25'!G7</f>
        <v>279146791.35000002</v>
      </c>
      <c r="L59" s="341"/>
      <c r="M59" s="557">
        <f>-'Notes - Dec25'!I7</f>
        <v>273534524.35000002</v>
      </c>
      <c r="N59" s="341"/>
      <c r="O59" s="557">
        <f>-'Notes - Dec25'!K7</f>
        <v>276200411.35000002</v>
      </c>
      <c r="P59" s="341"/>
      <c r="Q59" s="557">
        <f>-'Notes - Dec25'!M7</f>
        <v>277806783.35000002</v>
      </c>
      <c r="R59" s="341"/>
      <c r="S59" s="557">
        <v>160700946.99000001</v>
      </c>
      <c r="T59" s="341"/>
      <c r="U59" s="557">
        <v>161792381.99000001</v>
      </c>
      <c r="V59" s="341"/>
      <c r="W59" s="557">
        <v>154489869</v>
      </c>
      <c r="X59" s="341"/>
      <c r="Y59" s="557">
        <f>-'Notes - Dec25'!U7</f>
        <v>339736906.35000002</v>
      </c>
      <c r="Z59" s="341"/>
      <c r="AA59" s="557">
        <f>-'Notes - Dec25'!W7</f>
        <v>326506681.35000002</v>
      </c>
      <c r="AB59" s="341"/>
      <c r="AC59" s="557">
        <v>201318661.99000001</v>
      </c>
      <c r="AD59" s="341"/>
      <c r="AE59" s="557">
        <v>180756641</v>
      </c>
      <c r="AF59" s="341"/>
      <c r="AG59" s="557">
        <v>160878982.99000001</v>
      </c>
      <c r="AH59" s="341"/>
      <c r="AI59" s="557">
        <v>147197009.99000001</v>
      </c>
      <c r="AJ59" s="341"/>
      <c r="AK59" s="557">
        <v>133700002.98999999</v>
      </c>
      <c r="AL59" s="341"/>
      <c r="AM59" s="557">
        <v>124143275.70999999</v>
      </c>
      <c r="AN59" s="341"/>
      <c r="AO59" s="557">
        <v>115287756</v>
      </c>
      <c r="AP59" s="341"/>
      <c r="AQ59" s="557">
        <v>106534461.91</v>
      </c>
      <c r="AR59" s="341"/>
      <c r="AS59" s="557">
        <v>95328719</v>
      </c>
      <c r="AU59" s="557">
        <v>83184994.239999995</v>
      </c>
      <c r="AW59" s="557">
        <f>-'Notes - Dec25'!AS7</f>
        <v>76877652.239999995</v>
      </c>
      <c r="AY59" s="557">
        <v>63867053.229999997</v>
      </c>
      <c r="BA59" s="557">
        <v>63353320.079999998</v>
      </c>
      <c r="BC59" s="557">
        <v>56840207.630000003</v>
      </c>
      <c r="BE59" s="557">
        <v>52847495.799999997</v>
      </c>
      <c r="BG59" s="557">
        <v>50168894.460000001</v>
      </c>
      <c r="BI59" s="343">
        <v>48913086.460000001</v>
      </c>
      <c r="BK59" s="343">
        <v>46743508.460000001</v>
      </c>
      <c r="BM59" s="343">
        <v>44065253.460000001</v>
      </c>
      <c r="BN59" s="341"/>
      <c r="BO59" s="343">
        <v>40814432</v>
      </c>
      <c r="BP59" s="341"/>
      <c r="BQ59" s="343">
        <v>37941310.460000001</v>
      </c>
      <c r="BR59" s="341"/>
      <c r="BS59" s="343">
        <v>35398232.460000001</v>
      </c>
      <c r="BT59" s="341"/>
      <c r="BU59" s="343">
        <f>-'Notes - Dec25'!BQ7</f>
        <v>31577892.460000001</v>
      </c>
      <c r="BV59" s="341"/>
      <c r="BW59" s="557">
        <v>27940619.460000001</v>
      </c>
      <c r="BX59" s="341"/>
      <c r="BY59" s="343">
        <v>29693178.460000001</v>
      </c>
      <c r="BZ59" s="341"/>
      <c r="CA59" s="343">
        <v>30697854.460000001</v>
      </c>
      <c r="CB59" s="341"/>
      <c r="CC59" s="557">
        <v>30168614.460000001</v>
      </c>
      <c r="CD59" s="341"/>
      <c r="CE59" s="557">
        <v>30070274.460000001</v>
      </c>
      <c r="CF59" s="341"/>
      <c r="CG59" s="343">
        <v>29422332.460000001</v>
      </c>
      <c r="CH59" s="341"/>
      <c r="CI59" s="557">
        <v>29010262.460000001</v>
      </c>
      <c r="CJ59" s="341"/>
      <c r="CK59" s="557">
        <v>27671272.460000001</v>
      </c>
      <c r="CL59" s="341"/>
      <c r="CM59" s="343">
        <v>26253005</v>
      </c>
      <c r="CN59" s="341"/>
      <c r="CO59" s="343">
        <v>25805131</v>
      </c>
      <c r="CQ59" s="343">
        <v>25593329.420000002</v>
      </c>
      <c r="CS59" s="343">
        <v>24078891.420000002</v>
      </c>
      <c r="CU59" s="343">
        <v>21332600.879999999</v>
      </c>
      <c r="CW59" s="343">
        <v>17396412.68</v>
      </c>
      <c r="CY59" s="343">
        <v>17956964.719999999</v>
      </c>
      <c r="DA59" s="343">
        <v>16704638.609999999</v>
      </c>
      <c r="DC59" s="343">
        <v>14751254.67</v>
      </c>
      <c r="DD59" s="157"/>
      <c r="DE59" s="343">
        <v>13028596.970000001</v>
      </c>
      <c r="DF59" s="157"/>
      <c r="DG59" s="343">
        <v>12166480.699999999</v>
      </c>
      <c r="DH59" s="157"/>
      <c r="DI59" s="343">
        <v>10852071.68</v>
      </c>
      <c r="DJ59" s="157"/>
      <c r="DK59" s="673"/>
      <c r="DL59" s="673"/>
      <c r="DM59" s="673"/>
      <c r="DN59" s="673"/>
      <c r="DO59" s="673"/>
      <c r="DP59" s="659"/>
      <c r="DQ59" s="673"/>
      <c r="DR59" s="659"/>
      <c r="DS59" s="673"/>
      <c r="DT59" s="659"/>
      <c r="DU59" s="673"/>
      <c r="DV59" s="659"/>
      <c r="DW59" s="673"/>
      <c r="DX59" s="659"/>
      <c r="DY59" s="673"/>
      <c r="DZ59" s="659"/>
      <c r="EA59" s="659"/>
      <c r="EB59" s="659"/>
      <c r="EF59" s="659"/>
      <c r="EI59" s="666"/>
      <c r="EJ59" s="666"/>
      <c r="EK59" s="666"/>
      <c r="EM59" s="666"/>
      <c r="EN59" s="666"/>
      <c r="EO59" s="666"/>
      <c r="EQ59" s="666"/>
      <c r="ES59" s="666"/>
      <c r="EU59" s="667"/>
      <c r="EV59" s="667"/>
      <c r="EW59" s="667"/>
      <c r="EX59" s="672"/>
      <c r="EY59" s="672"/>
      <c r="FA59" s="672"/>
      <c r="FC59" s="672"/>
      <c r="FE59" s="672"/>
      <c r="FG59" s="672"/>
      <c r="FI59" s="672"/>
      <c r="FK59" s="672"/>
      <c r="FM59" s="672"/>
      <c r="FO59" s="672"/>
      <c r="FQ59" s="672"/>
      <c r="FS59" s="672"/>
      <c r="FU59" s="672"/>
      <c r="FW59" s="672"/>
      <c r="FY59" s="672"/>
      <c r="FZ59" s="672"/>
      <c r="GA59" s="672"/>
      <c r="GB59" s="672"/>
      <c r="GC59" s="672"/>
      <c r="GE59" s="335"/>
      <c r="GF59" s="335"/>
      <c r="GG59" s="335"/>
      <c r="GI59" s="288"/>
    </row>
    <row r="60" spans="1:192" ht="14.25" customHeight="1">
      <c r="A60" s="341"/>
      <c r="C60" s="341"/>
      <c r="D60" s="341"/>
      <c r="E60" s="341" t="s">
        <v>502</v>
      </c>
      <c r="F60" s="341"/>
      <c r="G60" s="342">
        <f>+G35+G34</f>
        <v>139444344</v>
      </c>
      <c r="H60" s="341"/>
      <c r="I60" s="342">
        <f>+I35+I34</f>
        <v>144330413</v>
      </c>
      <c r="J60" s="341"/>
      <c r="K60" s="342">
        <f>+K35+K34</f>
        <v>143998506</v>
      </c>
      <c r="L60" s="341"/>
      <c r="M60" s="342">
        <f>+M35+M34</f>
        <v>144876924</v>
      </c>
      <c r="N60" s="341"/>
      <c r="O60" s="342">
        <f>+O35+O34</f>
        <v>147845382</v>
      </c>
      <c r="P60" s="341"/>
      <c r="Q60" s="342">
        <f>+Q35+Q34</f>
        <v>155241880</v>
      </c>
      <c r="R60" s="341"/>
      <c r="S60" s="342">
        <v>152756863</v>
      </c>
      <c r="T60" s="341"/>
      <c r="U60" s="342">
        <v>156767108</v>
      </c>
      <c r="V60" s="341"/>
      <c r="W60" s="342">
        <v>159059796.44000003</v>
      </c>
      <c r="X60" s="341"/>
      <c r="Y60" s="342">
        <f>+Y35+Y34</f>
        <v>224950885</v>
      </c>
      <c r="Z60" s="341"/>
      <c r="AA60" s="342">
        <f>+AA35+AA34</f>
        <v>197160544</v>
      </c>
      <c r="AB60" s="341"/>
      <c r="AC60" s="342">
        <v>197939440</v>
      </c>
      <c r="AD60" s="341"/>
      <c r="AE60" s="342">
        <v>179118828</v>
      </c>
      <c r="AF60" s="341"/>
      <c r="AG60" s="342">
        <v>163672762</v>
      </c>
      <c r="AH60" s="341"/>
      <c r="AI60" s="342">
        <v>140340954</v>
      </c>
      <c r="AJ60" s="341"/>
      <c r="AK60" s="342">
        <v>135423833</v>
      </c>
      <c r="AL60" s="341"/>
      <c r="AM60" s="342">
        <v>118587719</v>
      </c>
      <c r="AN60" s="341"/>
      <c r="AO60" s="342">
        <v>116688613.83999999</v>
      </c>
      <c r="AP60" s="341"/>
      <c r="AQ60" s="342">
        <v>103008732</v>
      </c>
      <c r="AR60" s="341"/>
      <c r="AS60" s="342">
        <v>87841737</v>
      </c>
      <c r="AU60" s="342">
        <v>76950585</v>
      </c>
      <c r="AW60" s="342">
        <f>+AW35+AW34</f>
        <v>74493349</v>
      </c>
      <c r="AY60" s="342">
        <v>63019022</v>
      </c>
      <c r="BA60" s="342">
        <v>63214887</v>
      </c>
      <c r="BC60" s="342">
        <v>58521523</v>
      </c>
      <c r="BE60" s="342">
        <v>53759889</v>
      </c>
      <c r="BG60" s="342">
        <v>50244743</v>
      </c>
      <c r="BI60" s="342">
        <v>46460371</v>
      </c>
      <c r="BK60" s="342">
        <v>49600009</v>
      </c>
      <c r="BM60" s="342">
        <v>42384231</v>
      </c>
      <c r="BN60" s="341"/>
      <c r="BO60" s="342">
        <v>40310331</v>
      </c>
      <c r="BP60" s="341"/>
      <c r="BQ60" s="342">
        <v>39089706</v>
      </c>
      <c r="BR60" s="341"/>
      <c r="BS60" s="342">
        <v>36979925</v>
      </c>
      <c r="BT60" s="341"/>
      <c r="BU60" s="342">
        <f>+BU35+BU34</f>
        <v>35844067</v>
      </c>
      <c r="BV60" s="341"/>
      <c r="BW60" s="342">
        <v>31622115</v>
      </c>
      <c r="BX60" s="341"/>
      <c r="BY60" s="342">
        <f>+BY35+BY34</f>
        <v>34042700</v>
      </c>
      <c r="BZ60" s="341"/>
      <c r="CA60" s="342">
        <v>33575652</v>
      </c>
      <c r="CB60" s="341"/>
      <c r="CC60" s="342">
        <v>34586265</v>
      </c>
      <c r="CD60" s="341"/>
      <c r="CE60" s="342">
        <v>31988066</v>
      </c>
      <c r="CF60" s="341"/>
      <c r="CG60" s="342">
        <f>+CG35+CG34</f>
        <v>32846565</v>
      </c>
      <c r="CH60" s="341"/>
      <c r="CI60" s="342">
        <v>31861290</v>
      </c>
      <c r="CJ60" s="341"/>
      <c r="CK60" s="342">
        <v>31216633</v>
      </c>
      <c r="CL60" s="341"/>
      <c r="CM60" s="342">
        <f>+CM35+CM34</f>
        <v>29069430</v>
      </c>
      <c r="CN60" s="341"/>
      <c r="CO60" s="342">
        <f>+CO35+CO34</f>
        <v>28991212</v>
      </c>
      <c r="CQ60" s="342">
        <f>+CQ35+CQ34</f>
        <v>27192618</v>
      </c>
      <c r="CS60" s="342">
        <f>+CS35+CS34</f>
        <v>25517847</v>
      </c>
      <c r="CU60" s="342">
        <f>+CU35+CU34</f>
        <v>23478076</v>
      </c>
      <c r="CW60" s="342">
        <f>+CW35+CW34</f>
        <v>17103447.59</v>
      </c>
      <c r="CY60" s="342">
        <f>+CY35+CY34</f>
        <v>19011851.189300001</v>
      </c>
      <c r="CZ60" s="342"/>
      <c r="DA60" s="342">
        <f>+DA35+DA34</f>
        <v>16228068.590699997</v>
      </c>
      <c r="DC60" s="343">
        <f>+DC35+DC34</f>
        <v>15581105.699999999</v>
      </c>
      <c r="DD60" s="157"/>
      <c r="DE60" s="343">
        <f>+DE35+DE34</f>
        <v>14418261.559999999</v>
      </c>
      <c r="DF60" s="157"/>
      <c r="DG60" s="343">
        <f>+DG35+DG34</f>
        <v>13177861.060000001</v>
      </c>
      <c r="DH60" s="157"/>
      <c r="DI60" s="343">
        <f>+DI35+DI34</f>
        <v>11783983.010000002</v>
      </c>
      <c r="DJ60" s="157"/>
      <c r="DK60" s="673"/>
      <c r="DL60" s="673"/>
      <c r="DM60" s="673"/>
      <c r="DN60" s="673"/>
      <c r="DO60" s="673"/>
      <c r="DP60" s="659"/>
      <c r="DQ60" s="673"/>
      <c r="DR60" s="659"/>
      <c r="DS60" s="673"/>
      <c r="DT60" s="659"/>
      <c r="DU60" s="673"/>
      <c r="DV60" s="659"/>
      <c r="DW60" s="673"/>
      <c r="DX60" s="659"/>
      <c r="DY60" s="673"/>
      <c r="DZ60" s="659"/>
      <c r="EA60" s="659"/>
      <c r="EB60" s="659"/>
      <c r="EF60" s="659"/>
      <c r="EI60" s="667"/>
      <c r="EJ60" s="667"/>
      <c r="EK60" s="667"/>
      <c r="EM60" s="667"/>
      <c r="EN60" s="667"/>
      <c r="EO60" s="667"/>
      <c r="EQ60" s="667"/>
      <c r="ES60" s="667"/>
      <c r="EU60" s="667"/>
      <c r="EV60" s="667"/>
      <c r="EW60" s="667"/>
      <c r="GE60" s="335"/>
      <c r="GF60" s="335"/>
      <c r="GG60" s="335"/>
      <c r="GI60" s="288"/>
    </row>
    <row r="61" spans="1:192" ht="14.25" customHeight="1">
      <c r="A61" s="222"/>
      <c r="C61" s="222"/>
      <c r="D61" s="222"/>
      <c r="E61" s="222"/>
      <c r="F61" s="222" t="s">
        <v>542</v>
      </c>
      <c r="G61" s="558">
        <f>+G59/G60</f>
        <v>2.0107206727581581</v>
      </c>
      <c r="H61" s="222"/>
      <c r="I61" s="558">
        <f>+I59/I60</f>
        <v>1.9617957536780555</v>
      </c>
      <c r="J61" s="222"/>
      <c r="K61" s="558">
        <f>+K59/K60</f>
        <v>1.9385394967222787</v>
      </c>
      <c r="L61" s="222"/>
      <c r="M61" s="558">
        <f>+M59/M60</f>
        <v>1.8880475702949078</v>
      </c>
      <c r="N61" s="222"/>
      <c r="O61" s="558">
        <f>+O59/O60</f>
        <v>1.868170703837067</v>
      </c>
      <c r="P61" s="222"/>
      <c r="Q61" s="558">
        <f>+Q59/Q60</f>
        <v>1.789509269985651</v>
      </c>
      <c r="R61" s="222"/>
      <c r="S61" s="558">
        <v>1.0520047599432572</v>
      </c>
      <c r="T61" s="222"/>
      <c r="U61" s="558">
        <v>1.0320556655928106</v>
      </c>
      <c r="V61" s="222"/>
      <c r="W61" s="558">
        <v>0.97126912304503121</v>
      </c>
      <c r="X61" s="222"/>
      <c r="Y61" s="558">
        <f>+Y59/Y60</f>
        <v>1.5102714814836138</v>
      </c>
      <c r="Z61" s="222"/>
      <c r="AA61" s="558">
        <f>+AA59/AA60</f>
        <v>1.656044737581978</v>
      </c>
      <c r="AB61" s="222"/>
      <c r="AC61" s="558">
        <v>1.0170719993448503</v>
      </c>
      <c r="AD61" s="222"/>
      <c r="AE61" s="558">
        <v>1.0091437232941252</v>
      </c>
      <c r="AF61" s="222"/>
      <c r="AG61" s="558">
        <v>0.9829307028496288</v>
      </c>
      <c r="AH61" s="222"/>
      <c r="AI61" s="558">
        <v>1.0488528529597996</v>
      </c>
      <c r="AJ61" s="222"/>
      <c r="AK61" s="558">
        <v>0.98727085202203657</v>
      </c>
      <c r="AL61" s="222"/>
      <c r="AM61" s="558">
        <v>1.0468476563749405</v>
      </c>
      <c r="AN61" s="222"/>
      <c r="AO61" s="558">
        <v>0.98799490546763369</v>
      </c>
      <c r="AP61" s="222"/>
      <c r="AQ61" s="558">
        <v>1.0342274857824674</v>
      </c>
      <c r="AR61" s="222"/>
      <c r="AS61" s="558">
        <v>1.0852326269458903</v>
      </c>
      <c r="AT61" s="808" t="str">
        <f>IF(AS61-AU61=0,"Investigate","Fine")</f>
        <v>Fine</v>
      </c>
      <c r="AU61" s="558">
        <v>1.0810183475538229</v>
      </c>
      <c r="AV61" s="808" t="str">
        <f>IF(AU61-AW61=0,"Investigate","Fine")</f>
        <v>Fine</v>
      </c>
      <c r="AW61" s="558">
        <f>+AW59/AW60</f>
        <v>1.0320069277594164</v>
      </c>
      <c r="AX61" s="808" t="str">
        <f>IF(AW61-AY61=0,"Investigate","Fine")</f>
        <v>Fine</v>
      </c>
      <c r="AY61" s="558">
        <v>1.0134567500904725</v>
      </c>
      <c r="AZ61" s="808" t="str">
        <f>IF(AY61-BA61=0,"Investigate","Fine")</f>
        <v>Fine</v>
      </c>
      <c r="BA61" s="558">
        <v>1.0021898810006573</v>
      </c>
      <c r="BB61" s="808" t="str">
        <f>IF(BA61-BC61=0,"Investigate","Fine")</f>
        <v>Fine</v>
      </c>
      <c r="BC61" s="558">
        <v>0.9712701364590256</v>
      </c>
      <c r="BD61" s="808" t="str">
        <f>IF(BC61-BE61=0,"Investigate","Fine")</f>
        <v>Fine</v>
      </c>
      <c r="BE61" s="558">
        <v>0.98302836525573922</v>
      </c>
      <c r="BF61" s="808" t="str">
        <f>IF(BE61-BG61=0,"Investigate","Fine")</f>
        <v>Fine</v>
      </c>
      <c r="BG61" s="558">
        <v>0.99849041839063646</v>
      </c>
      <c r="BH61" s="808" t="str">
        <f>IF(BG61-BI61=0,"Investigate","Fine")</f>
        <v>Fine</v>
      </c>
      <c r="BI61" s="350">
        <v>1.0527915599296442</v>
      </c>
      <c r="BJ61" s="808" t="str">
        <f>IF(BI61-BK61=0,"Investigate","Fine")</f>
        <v>Fine</v>
      </c>
      <c r="BK61" s="350">
        <v>0.94240927375638184</v>
      </c>
      <c r="BL61" s="808" t="str">
        <f>IF(BK61-BM61=0,"Investigate","Fine")</f>
        <v>Fine</v>
      </c>
      <c r="BM61" s="350">
        <v>1.0396615066579833</v>
      </c>
      <c r="BN61" s="222"/>
      <c r="BO61" s="350">
        <v>1.0125055038620248</v>
      </c>
      <c r="BP61" s="222"/>
      <c r="BQ61" s="350">
        <v>0.97062153550093211</v>
      </c>
      <c r="BR61" s="222"/>
      <c r="BS61" s="350">
        <v>0.95722834646095145</v>
      </c>
      <c r="BT61" s="222"/>
      <c r="BU61" s="350">
        <f>+BU59/BU60</f>
        <v>0.88097961818897397</v>
      </c>
      <c r="BV61" s="222"/>
      <c r="BW61" s="558">
        <v>0.88357845324387696</v>
      </c>
      <c r="BX61" s="222"/>
      <c r="BY61" s="350">
        <f>+BY59/BY60</f>
        <v>0.87223335575615335</v>
      </c>
      <c r="BZ61" s="222"/>
      <c r="CA61" s="350">
        <v>0.91428915393809784</v>
      </c>
      <c r="CB61" s="222"/>
      <c r="CC61" s="558">
        <v>0.8722715349575908</v>
      </c>
      <c r="CD61" s="222"/>
      <c r="CE61" s="558">
        <v>0.94004665552459477</v>
      </c>
      <c r="CF61" s="222"/>
      <c r="CG61" s="350">
        <f>+CG59/CG60</f>
        <v>0.89575066555665717</v>
      </c>
      <c r="CH61" s="222"/>
      <c r="CI61" s="558">
        <v>0.91051751074736775</v>
      </c>
      <c r="CJ61" s="222"/>
      <c r="CK61" s="558">
        <v>0.88642719604000852</v>
      </c>
      <c r="CL61" s="222"/>
      <c r="CM61" s="350">
        <f>+CM59/CM60</f>
        <v>0.90311385534563282</v>
      </c>
      <c r="CN61" s="222"/>
      <c r="CO61" s="350">
        <f>+CO59/CO60</f>
        <v>0.89010183499744677</v>
      </c>
      <c r="CQ61" s="350">
        <f>+CQ59/CQ60</f>
        <v>0.94118666396887574</v>
      </c>
      <c r="CS61" s="350">
        <f>+CS59/CS60</f>
        <v>0.94360983589250302</v>
      </c>
      <c r="CU61" s="350">
        <f>+CU59/CU60</f>
        <v>0.90861793274712965</v>
      </c>
      <c r="CW61" s="350">
        <f>+CW59/CW60</f>
        <v>1.0171290079651127</v>
      </c>
      <c r="CY61" s="350">
        <f>+CY59/CY60</f>
        <v>0.94451426855825071</v>
      </c>
      <c r="DA61" s="350">
        <f>+DA59/DA60</f>
        <v>1.0293670202733254</v>
      </c>
      <c r="DC61" s="350">
        <f>+DC59/DC60</f>
        <v>0.94673991397157398</v>
      </c>
      <c r="DD61" s="157"/>
      <c r="DE61" s="350">
        <f>+DE59/DE60</f>
        <v>0.90361774308108767</v>
      </c>
      <c r="DF61" s="157"/>
      <c r="DG61" s="350">
        <f>+DG59/DG60</f>
        <v>0.92325155384511226</v>
      </c>
      <c r="DH61" s="157"/>
      <c r="DI61" s="350">
        <f>+DI59/DI60</f>
        <v>0.92091711866784154</v>
      </c>
      <c r="DJ61" s="157"/>
      <c r="DK61" s="673"/>
      <c r="DL61" s="673"/>
      <c r="DM61" s="673"/>
      <c r="DN61" s="673"/>
      <c r="DO61" s="673"/>
      <c r="DP61" s="659"/>
      <c r="DQ61" s="673"/>
      <c r="DR61" s="659"/>
      <c r="DS61" s="673"/>
      <c r="DT61" s="659"/>
      <c r="DU61" s="673"/>
      <c r="DV61" s="659"/>
      <c r="DW61" s="673"/>
      <c r="DX61" s="659"/>
      <c r="DY61" s="673"/>
      <c r="DZ61" s="659"/>
      <c r="EA61" s="659"/>
      <c r="EB61" s="659"/>
      <c r="EF61" s="659"/>
      <c r="EI61" s="674"/>
      <c r="EJ61" s="674"/>
      <c r="EK61" s="674"/>
      <c r="EM61" s="674"/>
      <c r="EN61" s="674"/>
      <c r="EO61" s="674"/>
      <c r="EQ61" s="674"/>
      <c r="ES61" s="674"/>
      <c r="EU61" s="674"/>
      <c r="EV61" s="686"/>
      <c r="EW61" s="686"/>
      <c r="GE61" s="335"/>
      <c r="GF61" s="335"/>
      <c r="GG61" s="335"/>
      <c r="GI61" s="357" t="s">
        <v>495</v>
      </c>
      <c r="GJ61" s="348" t="s">
        <v>495</v>
      </c>
    </row>
    <row r="62" spans="1:192" ht="14.25" customHeight="1">
      <c r="A62" s="222"/>
      <c r="C62" s="222"/>
      <c r="G62" s="222"/>
      <c r="I62" s="222"/>
      <c r="K62" s="222"/>
      <c r="M62" s="222"/>
      <c r="O62" s="222"/>
      <c r="Q62" s="222"/>
      <c r="S62" s="222"/>
      <c r="U62" s="222"/>
      <c r="W62" s="222"/>
      <c r="Y62" s="222"/>
      <c r="AA62" s="222"/>
      <c r="AC62" s="222"/>
      <c r="AE62" s="222"/>
      <c r="AG62" s="222"/>
      <c r="AI62" s="222"/>
      <c r="AK62" s="222"/>
      <c r="AM62" s="222"/>
      <c r="AO62" s="222"/>
      <c r="AQ62" s="222"/>
      <c r="AS62" s="222"/>
      <c r="AU62" s="222"/>
      <c r="AW62" s="222"/>
      <c r="AY62" s="222"/>
      <c r="BA62" s="222"/>
      <c r="BC62" s="222"/>
      <c r="BE62" s="222"/>
      <c r="BG62" s="222"/>
      <c r="BI62" s="222"/>
      <c r="BK62" s="222"/>
      <c r="BM62" s="222"/>
      <c r="BO62" s="222"/>
      <c r="BQ62" s="222"/>
      <c r="BS62" s="222"/>
      <c r="BU62" s="222"/>
      <c r="BW62" s="222"/>
      <c r="BY62" s="222"/>
      <c r="CA62" s="222"/>
      <c r="CC62" s="222"/>
      <c r="CE62" s="222"/>
      <c r="CG62" s="222"/>
      <c r="CI62" s="222"/>
      <c r="CK62" s="222"/>
      <c r="CM62" s="222"/>
      <c r="CO62" s="222"/>
      <c r="CP62" s="222"/>
      <c r="CQ62" s="222"/>
      <c r="CR62" s="222"/>
      <c r="CS62" s="222"/>
      <c r="CT62" s="222"/>
      <c r="CU62" s="222"/>
      <c r="CV62" s="222"/>
      <c r="CW62" s="222"/>
      <c r="CX62" s="222"/>
      <c r="CY62" s="705"/>
      <c r="CZ62" s="222"/>
      <c r="DA62" s="705"/>
      <c r="DB62" s="222"/>
      <c r="DC62" s="705"/>
      <c r="DD62" s="415"/>
      <c r="DE62" s="705"/>
      <c r="DF62" s="415"/>
      <c r="DG62" s="705"/>
      <c r="DH62" s="415"/>
      <c r="DI62" s="705"/>
      <c r="DJ62" s="415"/>
      <c r="DK62" s="706"/>
      <c r="DL62" s="703"/>
      <c r="DM62" s="706"/>
      <c r="DN62" s="703"/>
      <c r="DO62" s="706"/>
      <c r="DP62" s="703"/>
      <c r="DQ62" s="706"/>
      <c r="DR62" s="703"/>
      <c r="DS62" s="706"/>
      <c r="DT62" s="703"/>
      <c r="DU62" s="706"/>
      <c r="DV62" s="703"/>
      <c r="DW62" s="706"/>
      <c r="DX62" s="703"/>
      <c r="DY62" s="706"/>
      <c r="DZ62" s="703"/>
      <c r="EA62" s="706"/>
      <c r="EB62" s="703"/>
      <c r="EC62" s="706"/>
      <c r="ED62" s="703"/>
      <c r="EE62" s="706"/>
      <c r="EF62" s="703"/>
      <c r="EG62" s="688"/>
      <c r="EH62" s="678"/>
      <c r="EI62" s="688"/>
      <c r="EJ62" s="678"/>
      <c r="EK62" s="688"/>
      <c r="EL62" s="678"/>
      <c r="EM62" s="688"/>
      <c r="EN62" s="678"/>
      <c r="EO62" s="688"/>
      <c r="EP62" s="678"/>
      <c r="EQ62" s="688"/>
      <c r="ER62" s="678"/>
      <c r="ES62" s="688"/>
      <c r="ET62" s="678"/>
      <c r="EU62" s="688"/>
      <c r="EV62" s="688"/>
      <c r="EW62" s="688"/>
      <c r="EX62" s="688"/>
      <c r="EY62" s="688"/>
      <c r="EZ62" s="688"/>
      <c r="FA62" s="688"/>
      <c r="FB62" s="688"/>
      <c r="FC62" s="688"/>
      <c r="FD62" s="688"/>
      <c r="FE62" s="688"/>
      <c r="FF62" s="688"/>
      <c r="FG62" s="688"/>
      <c r="FH62" s="688"/>
      <c r="FI62" s="688"/>
      <c r="FJ62" s="688"/>
      <c r="FK62" s="688"/>
      <c r="FL62" s="688"/>
      <c r="FM62" s="688"/>
      <c r="FN62" s="688"/>
      <c r="FO62" s="688"/>
      <c r="FP62" s="688"/>
      <c r="FQ62" s="688"/>
      <c r="FR62" s="688"/>
      <c r="FS62" s="688"/>
      <c r="FT62" s="688"/>
      <c r="FU62" s="688"/>
      <c r="FV62" s="688"/>
      <c r="FW62" s="688"/>
      <c r="FX62" s="678"/>
      <c r="FY62" s="688"/>
      <c r="GA62" s="688"/>
      <c r="GC62" s="688"/>
      <c r="GE62" s="335"/>
      <c r="GF62" s="335"/>
      <c r="GG62" s="335"/>
    </row>
    <row r="63" spans="1:192" ht="14.25" customHeight="1">
      <c r="A63" s="336"/>
      <c r="B63" s="336" t="s">
        <v>640</v>
      </c>
      <c r="C63" s="222" t="s">
        <v>527</v>
      </c>
      <c r="D63" s="222" t="s">
        <v>615</v>
      </c>
      <c r="CY63" s="359"/>
      <c r="DA63" s="359"/>
      <c r="DC63" s="359"/>
      <c r="DD63" s="157"/>
      <c r="DE63" s="359"/>
      <c r="DF63" s="157"/>
      <c r="DG63" s="359"/>
      <c r="DH63" s="157"/>
      <c r="DI63" s="359"/>
      <c r="DJ63" s="157"/>
      <c r="DK63" s="691"/>
      <c r="DL63" s="659"/>
      <c r="DM63" s="691"/>
      <c r="DN63" s="659"/>
      <c r="DO63" s="691"/>
      <c r="DP63" s="659"/>
      <c r="DQ63" s="691"/>
      <c r="DR63" s="659"/>
      <c r="DS63" s="691"/>
      <c r="DT63" s="659"/>
      <c r="DU63" s="691"/>
      <c r="DV63" s="659"/>
      <c r="DW63" s="691"/>
      <c r="DX63" s="659"/>
      <c r="DY63" s="691"/>
      <c r="DZ63" s="659"/>
      <c r="EA63" s="691"/>
      <c r="EB63" s="659"/>
      <c r="EC63" s="691"/>
      <c r="ED63" s="659"/>
      <c r="EE63" s="691"/>
      <c r="EF63" s="659"/>
      <c r="EG63" s="672"/>
      <c r="EI63" s="672"/>
      <c r="EK63" s="672"/>
      <c r="EM63" s="672"/>
      <c r="EO63" s="672"/>
      <c r="EQ63" s="672"/>
      <c r="ES63" s="672"/>
      <c r="EU63" s="672"/>
      <c r="EV63" s="672"/>
      <c r="EW63" s="672"/>
      <c r="EX63" s="672"/>
      <c r="EY63" s="672"/>
      <c r="EZ63" s="672"/>
      <c r="FA63" s="672"/>
      <c r="FB63" s="672"/>
      <c r="FC63" s="672"/>
      <c r="FD63" s="672"/>
      <c r="FE63" s="672"/>
      <c r="FF63" s="672"/>
      <c r="FG63" s="672"/>
      <c r="FH63" s="672"/>
      <c r="FI63" s="672"/>
      <c r="FJ63" s="672"/>
      <c r="FK63" s="672"/>
      <c r="FL63" s="672"/>
      <c r="FM63" s="672"/>
      <c r="FN63" s="672"/>
      <c r="FO63" s="672"/>
      <c r="FP63" s="672"/>
      <c r="FQ63" s="672"/>
      <c r="FR63" s="672"/>
      <c r="FS63" s="672"/>
      <c r="FT63" s="672"/>
      <c r="FU63" s="672"/>
      <c r="FV63" s="672"/>
      <c r="FW63" s="672"/>
      <c r="FY63" s="672"/>
      <c r="FZ63" s="672"/>
      <c r="GA63" s="672"/>
      <c r="GB63" s="672"/>
      <c r="GC63" s="672"/>
      <c r="GE63" s="335"/>
      <c r="GF63" s="335"/>
      <c r="GG63" s="335"/>
    </row>
    <row r="64" spans="1:192" ht="8.25" customHeight="1">
      <c r="A64" s="222"/>
      <c r="B64" s="334"/>
      <c r="CY64" s="359"/>
      <c r="DA64" s="359"/>
      <c r="DC64" s="359"/>
      <c r="DD64" s="157"/>
      <c r="DE64" s="359"/>
      <c r="DF64" s="157"/>
      <c r="DG64" s="359"/>
      <c r="DH64" s="157"/>
      <c r="DI64" s="359"/>
      <c r="DJ64" s="157"/>
      <c r="DK64" s="691"/>
      <c r="DL64" s="659"/>
      <c r="DM64" s="691"/>
      <c r="DN64" s="659"/>
      <c r="DO64" s="691"/>
      <c r="DP64" s="659"/>
      <c r="DQ64" s="691"/>
      <c r="DR64" s="659"/>
      <c r="DS64" s="691"/>
      <c r="DT64" s="659"/>
      <c r="DU64" s="691"/>
      <c r="DV64" s="659"/>
      <c r="DW64" s="691"/>
      <c r="DX64" s="659"/>
      <c r="DY64" s="691"/>
      <c r="DZ64" s="659"/>
      <c r="EA64" s="691"/>
      <c r="EB64" s="659"/>
      <c r="EC64" s="691"/>
      <c r="ED64" s="659"/>
      <c r="EE64" s="691"/>
      <c r="EF64" s="659"/>
      <c r="EG64" s="672"/>
      <c r="EI64" s="672"/>
      <c r="EK64" s="672"/>
      <c r="EM64" s="672"/>
      <c r="EO64" s="672"/>
      <c r="EQ64" s="672"/>
      <c r="ES64" s="672"/>
      <c r="EU64" s="672"/>
      <c r="EV64" s="672"/>
      <c r="EW64" s="672"/>
      <c r="EX64" s="672"/>
      <c r="EY64" s="672"/>
      <c r="EZ64" s="672"/>
      <c r="FA64" s="672"/>
      <c r="FB64" s="672"/>
      <c r="FC64" s="672"/>
      <c r="FD64" s="672"/>
      <c r="FE64" s="672"/>
      <c r="FF64" s="672"/>
      <c r="FG64" s="672"/>
      <c r="FH64" s="672"/>
      <c r="FI64" s="672"/>
      <c r="FJ64" s="672"/>
      <c r="FK64" s="672"/>
      <c r="FL64" s="672"/>
      <c r="FM64" s="672"/>
      <c r="FN64" s="672"/>
      <c r="FO64" s="672"/>
      <c r="FP64" s="672"/>
      <c r="FQ64" s="672"/>
      <c r="FR64" s="672"/>
      <c r="FS64" s="672"/>
      <c r="FT64" s="672"/>
      <c r="FU64" s="672"/>
      <c r="FV64" s="672"/>
      <c r="FW64" s="672"/>
      <c r="FY64" s="672"/>
      <c r="FZ64" s="672"/>
      <c r="GA64" s="672"/>
      <c r="GB64" s="672"/>
      <c r="GC64" s="672"/>
      <c r="GE64" s="335"/>
      <c r="GF64" s="335"/>
      <c r="GG64" s="335"/>
    </row>
    <row r="65" spans="1:194" ht="14.25" customHeight="1">
      <c r="A65" s="222"/>
      <c r="B65" s="340"/>
      <c r="C65" s="341"/>
      <c r="D65" s="341"/>
      <c r="E65" s="341" t="s">
        <v>499</v>
      </c>
      <c r="F65" s="341"/>
      <c r="G65" s="342">
        <f>+G34</f>
        <v>136627319</v>
      </c>
      <c r="H65" s="341"/>
      <c r="I65" s="342">
        <f>+I34</f>
        <v>141523560</v>
      </c>
      <c r="J65" s="341"/>
      <c r="K65" s="342">
        <f>+K34</f>
        <v>140707469</v>
      </c>
      <c r="L65" s="341"/>
      <c r="M65" s="342">
        <f>+M34</f>
        <v>142170709</v>
      </c>
      <c r="N65" s="341"/>
      <c r="O65" s="342">
        <f>+O34</f>
        <v>144314067</v>
      </c>
      <c r="P65" s="341"/>
      <c r="Q65" s="342">
        <f>+Q34</f>
        <v>150271333</v>
      </c>
      <c r="R65" s="341"/>
      <c r="S65" s="342">
        <v>146343998</v>
      </c>
      <c r="T65" s="341"/>
      <c r="U65" s="342">
        <v>149936550</v>
      </c>
      <c r="V65" s="341"/>
      <c r="W65" s="342">
        <v>151568233.44000003</v>
      </c>
      <c r="X65" s="341"/>
      <c r="Y65" s="342">
        <f>+Y34</f>
        <v>216815649</v>
      </c>
      <c r="Z65" s="341"/>
      <c r="AA65" s="342">
        <f>+AA34</f>
        <v>188822382</v>
      </c>
      <c r="AB65" s="341"/>
      <c r="AC65" s="342">
        <v>191754474</v>
      </c>
      <c r="AD65" s="341"/>
      <c r="AE65" s="342">
        <v>174275472</v>
      </c>
      <c r="AF65" s="341"/>
      <c r="AG65" s="342">
        <v>158337133</v>
      </c>
      <c r="AH65" s="341"/>
      <c r="AI65" s="342">
        <v>137868501</v>
      </c>
      <c r="AJ65" s="341"/>
      <c r="AK65" s="342">
        <v>130842699</v>
      </c>
      <c r="AL65" s="341"/>
      <c r="AM65" s="342">
        <v>113740392</v>
      </c>
      <c r="AN65" s="341"/>
      <c r="AO65" s="342">
        <v>114055290.59999999</v>
      </c>
      <c r="AP65" s="341"/>
      <c r="AQ65" s="342">
        <v>100766231</v>
      </c>
      <c r="AR65" s="341"/>
      <c r="AS65" s="342">
        <v>86377625</v>
      </c>
      <c r="AU65" s="342">
        <v>75696753</v>
      </c>
      <c r="AW65" s="342">
        <f>+AW34</f>
        <v>72471405</v>
      </c>
      <c r="AY65" s="342">
        <v>60617529</v>
      </c>
      <c r="BA65" s="342">
        <v>61008138</v>
      </c>
      <c r="BC65" s="342">
        <v>56124981</v>
      </c>
      <c r="BE65" s="342">
        <v>51308878</v>
      </c>
      <c r="BG65" s="342">
        <v>47588775</v>
      </c>
      <c r="BI65" s="342">
        <v>45412784</v>
      </c>
      <c r="BK65" s="342">
        <v>48383275</v>
      </c>
      <c r="BM65" s="342">
        <v>41379962</v>
      </c>
      <c r="BN65" s="341"/>
      <c r="BO65" s="342">
        <v>40003013</v>
      </c>
      <c r="BP65" s="341"/>
      <c r="BQ65" s="342">
        <v>37945251</v>
      </c>
      <c r="BR65" s="341"/>
      <c r="BS65" s="342">
        <v>35202596</v>
      </c>
      <c r="BT65" s="341"/>
      <c r="BU65" s="342">
        <f>+BU34</f>
        <v>33135477</v>
      </c>
      <c r="BV65" s="341"/>
      <c r="BW65" s="342">
        <v>30628984</v>
      </c>
      <c r="BX65" s="341"/>
      <c r="BY65" s="342">
        <f>+BY34</f>
        <v>32940057</v>
      </c>
      <c r="BZ65" s="341"/>
      <c r="CA65" s="342">
        <v>32391439</v>
      </c>
      <c r="CB65" s="341"/>
      <c r="CC65" s="342">
        <v>33316049</v>
      </c>
      <c r="CD65" s="341"/>
      <c r="CE65" s="342">
        <v>30167910</v>
      </c>
      <c r="CF65" s="341"/>
      <c r="CG65" s="342">
        <f>+CG34</f>
        <v>30923909</v>
      </c>
      <c r="CH65" s="341"/>
      <c r="CI65" s="342">
        <v>30916998</v>
      </c>
      <c r="CJ65" s="341"/>
      <c r="CK65" s="342">
        <v>29562124</v>
      </c>
      <c r="CL65" s="341"/>
      <c r="CM65" s="342">
        <f>+CM34</f>
        <v>25693841</v>
      </c>
      <c r="CN65" s="341"/>
      <c r="CO65" s="342">
        <f>+CO34</f>
        <v>25320985</v>
      </c>
      <c r="CP65" s="341"/>
      <c r="CQ65" s="342">
        <f>+CQ34</f>
        <v>24740004</v>
      </c>
      <c r="CR65" s="341"/>
      <c r="CS65" s="342">
        <f>+CS34</f>
        <v>22167380</v>
      </c>
      <c r="CT65" s="341"/>
      <c r="CU65" s="342">
        <f>+CU34</f>
        <v>20119088</v>
      </c>
      <c r="CV65" s="341"/>
      <c r="CW65" s="342">
        <f>+CW34</f>
        <v>13846258.59</v>
      </c>
      <c r="CX65" s="341"/>
      <c r="CY65" s="342">
        <f>+CY34</f>
        <v>15821900.019299999</v>
      </c>
      <c r="CZ65" s="341"/>
      <c r="DA65" s="342">
        <f>+DA34</f>
        <v>13145032.330699997</v>
      </c>
      <c r="DB65" s="341"/>
      <c r="DC65" s="343">
        <f>+DC34</f>
        <v>10415077.17</v>
      </c>
      <c r="DD65" s="344"/>
      <c r="DE65" s="343">
        <f>+DE34</f>
        <v>8357650.7999999989</v>
      </c>
      <c r="DF65" s="344"/>
      <c r="DG65" s="343">
        <f>+DG34</f>
        <v>7864768.0800000001</v>
      </c>
      <c r="DH65" s="344"/>
      <c r="DI65" s="343">
        <f>+DI34</f>
        <v>5481489.9800000004</v>
      </c>
      <c r="DJ65" s="344"/>
      <c r="DK65" s="666">
        <f>+DK34</f>
        <v>5790770.25</v>
      </c>
      <c r="DL65" s="659"/>
      <c r="DM65" s="666">
        <f>+DM34</f>
        <v>6028664.2400000002</v>
      </c>
      <c r="DN65" s="659"/>
      <c r="DO65" s="666">
        <f>+DO34</f>
        <v>5829292.7000000002</v>
      </c>
      <c r="DP65" s="659"/>
      <c r="DQ65" s="666">
        <f>+DQ34</f>
        <v>5169310.46</v>
      </c>
      <c r="DR65" s="659"/>
      <c r="DS65" s="666">
        <v>3048799.98</v>
      </c>
      <c r="DT65" s="659"/>
      <c r="DU65" s="666">
        <v>3834769.05</v>
      </c>
      <c r="DV65" s="659"/>
      <c r="DW65" s="666">
        <v>3157184.77</v>
      </c>
      <c r="DX65" s="659"/>
      <c r="DY65" s="666">
        <v>1576980.06</v>
      </c>
      <c r="DZ65" s="659"/>
      <c r="EA65" s="666">
        <v>1082713.3500000001</v>
      </c>
      <c r="EB65" s="659"/>
      <c r="EC65" s="666">
        <v>2775351.06</v>
      </c>
      <c r="ED65" s="659"/>
      <c r="EE65" s="666">
        <v>2606389.89</v>
      </c>
      <c r="EF65" s="659"/>
      <c r="EG65" s="666">
        <v>2241391.5099999998</v>
      </c>
      <c r="EI65" s="666">
        <v>2512759.5299999998</v>
      </c>
      <c r="EK65" s="666">
        <v>2245592.15</v>
      </c>
      <c r="EM65" s="666">
        <v>1697943.32</v>
      </c>
      <c r="EO65" s="666">
        <v>1707017.7699999996</v>
      </c>
      <c r="EQ65" s="666">
        <v>900726.56</v>
      </c>
      <c r="ES65" s="666">
        <v>1473623.98</v>
      </c>
      <c r="EU65" s="667">
        <v>1257038.97</v>
      </c>
      <c r="EV65" s="667"/>
      <c r="EW65" s="667">
        <v>1278244.56</v>
      </c>
      <c r="EX65" s="667"/>
      <c r="EY65" s="667">
        <v>1836110.74</v>
      </c>
      <c r="EZ65" s="667"/>
      <c r="FA65" s="667">
        <v>2351978.73</v>
      </c>
      <c r="FB65" s="667"/>
      <c r="FC65" s="667">
        <v>2021530.24</v>
      </c>
      <c r="FD65" s="667"/>
      <c r="FE65" s="667">
        <v>1658830.18</v>
      </c>
      <c r="FF65" s="667"/>
      <c r="FG65" s="667">
        <v>1029512.44</v>
      </c>
      <c r="FH65" s="667"/>
      <c r="FI65" s="667">
        <v>1239345.8</v>
      </c>
      <c r="FJ65" s="667"/>
      <c r="FK65" s="667">
        <v>1254865.74</v>
      </c>
      <c r="FL65" s="667"/>
      <c r="FM65" s="667">
        <v>1392937.51</v>
      </c>
      <c r="FN65" s="667"/>
      <c r="FO65" s="667">
        <v>1036763.13</v>
      </c>
      <c r="FP65" s="667"/>
      <c r="FQ65" s="667">
        <v>1130164</v>
      </c>
      <c r="FR65" s="667"/>
      <c r="FS65" s="667">
        <v>1221976</v>
      </c>
      <c r="FT65" s="667"/>
      <c r="FU65" s="667">
        <v>935471.97</v>
      </c>
      <c r="FV65" s="667"/>
      <c r="FW65" s="667">
        <v>1124923.2249999999</v>
      </c>
      <c r="FY65" s="667">
        <v>1236359.3950000003</v>
      </c>
      <c r="FZ65" s="667"/>
      <c r="GA65" s="667">
        <v>1050360.95</v>
      </c>
      <c r="GB65" s="667"/>
      <c r="GC65" s="667">
        <v>1204984.6299999999</v>
      </c>
      <c r="GD65" s="341"/>
      <c r="GE65" s="345"/>
      <c r="GF65" s="345"/>
      <c r="GG65" s="345"/>
      <c r="GH65" s="341"/>
      <c r="GI65" s="341"/>
      <c r="GJ65" s="351" t="s">
        <v>495</v>
      </c>
      <c r="GK65" s="341"/>
      <c r="GL65" s="341"/>
    </row>
    <row r="66" spans="1:194" ht="14.25" customHeight="1">
      <c r="A66" s="222"/>
      <c r="B66" s="340"/>
      <c r="C66" s="341"/>
      <c r="D66" s="341"/>
      <c r="E66" s="341" t="s">
        <v>500</v>
      </c>
      <c r="F66" s="341"/>
      <c r="G66" s="342">
        <f>+G35</f>
        <v>2817025</v>
      </c>
      <c r="H66" s="341"/>
      <c r="I66" s="342">
        <f>+I35</f>
        <v>2806853</v>
      </c>
      <c r="J66" s="341"/>
      <c r="K66" s="342">
        <f>+K35</f>
        <v>3291037</v>
      </c>
      <c r="L66" s="341"/>
      <c r="M66" s="342">
        <f>+M35</f>
        <v>2706215</v>
      </c>
      <c r="N66" s="341"/>
      <c r="O66" s="342">
        <f>+O35</f>
        <v>3531315</v>
      </c>
      <c r="P66" s="341"/>
      <c r="Q66" s="342">
        <f>+Q35</f>
        <v>4970547</v>
      </c>
      <c r="R66" s="341"/>
      <c r="S66" s="342">
        <v>6412865</v>
      </c>
      <c r="T66" s="341"/>
      <c r="U66" s="342">
        <v>6830558</v>
      </c>
      <c r="V66" s="341"/>
      <c r="W66" s="342">
        <v>7491563</v>
      </c>
      <c r="X66" s="341"/>
      <c r="Y66" s="342">
        <f>+Y35</f>
        <v>8135236</v>
      </c>
      <c r="Z66" s="341"/>
      <c r="AA66" s="342">
        <f>+AA35</f>
        <v>8338162</v>
      </c>
      <c r="AB66" s="341"/>
      <c r="AC66" s="342">
        <v>6184966</v>
      </c>
      <c r="AD66" s="341"/>
      <c r="AE66" s="342">
        <v>4843356</v>
      </c>
      <c r="AF66" s="341"/>
      <c r="AG66" s="342">
        <v>5335629</v>
      </c>
      <c r="AH66" s="341"/>
      <c r="AI66" s="342">
        <v>2472453</v>
      </c>
      <c r="AJ66" s="341"/>
      <c r="AK66" s="342">
        <v>4581134</v>
      </c>
      <c r="AL66" s="341"/>
      <c r="AM66" s="342">
        <v>4847327</v>
      </c>
      <c r="AN66" s="341"/>
      <c r="AO66" s="342">
        <v>2633323.2399999998</v>
      </c>
      <c r="AP66" s="341"/>
      <c r="AQ66" s="342">
        <v>2242501</v>
      </c>
      <c r="AR66" s="341"/>
      <c r="AS66" s="342">
        <v>1464112</v>
      </c>
      <c r="AU66" s="342">
        <v>1253832</v>
      </c>
      <c r="AW66" s="342">
        <f>+AW35</f>
        <v>2021944</v>
      </c>
      <c r="AY66" s="342">
        <v>2401493</v>
      </c>
      <c r="BA66" s="342">
        <v>2206749</v>
      </c>
      <c r="BC66" s="342">
        <v>2396542</v>
      </c>
      <c r="BE66" s="342">
        <v>2451011</v>
      </c>
      <c r="BG66" s="342">
        <v>2655968</v>
      </c>
      <c r="BI66" s="342">
        <v>1047587</v>
      </c>
      <c r="BK66" s="342">
        <v>1216734</v>
      </c>
      <c r="BM66" s="342">
        <v>1004269</v>
      </c>
      <c r="BN66" s="341"/>
      <c r="BO66" s="342">
        <v>307318</v>
      </c>
      <c r="BP66" s="341"/>
      <c r="BQ66" s="342">
        <v>1144455</v>
      </c>
      <c r="BR66" s="341"/>
      <c r="BS66" s="342">
        <v>1777329</v>
      </c>
      <c r="BT66" s="341"/>
      <c r="BU66" s="342">
        <f>+BU35</f>
        <v>2708590</v>
      </c>
      <c r="BV66" s="341"/>
      <c r="BW66" s="342">
        <v>993131</v>
      </c>
      <c r="BX66" s="341"/>
      <c r="BY66" s="342">
        <f>+BY35</f>
        <v>1102643</v>
      </c>
      <c r="BZ66" s="341"/>
      <c r="CA66" s="342">
        <v>1184213</v>
      </c>
      <c r="CB66" s="341"/>
      <c r="CC66" s="342">
        <v>1270216</v>
      </c>
      <c r="CD66" s="341"/>
      <c r="CE66" s="342">
        <v>1820156</v>
      </c>
      <c r="CF66" s="341"/>
      <c r="CG66" s="342">
        <f>+CG35</f>
        <v>1922656</v>
      </c>
      <c r="CH66" s="341"/>
      <c r="CI66" s="342">
        <v>944292</v>
      </c>
      <c r="CJ66" s="341"/>
      <c r="CK66" s="342">
        <v>1654509</v>
      </c>
      <c r="CL66" s="341"/>
      <c r="CM66" s="342">
        <f>+CM35</f>
        <v>3375589</v>
      </c>
      <c r="CN66" s="341"/>
      <c r="CO66" s="342">
        <f>+CO35</f>
        <v>3670227</v>
      </c>
      <c r="CP66" s="341"/>
      <c r="CQ66" s="342">
        <f>+CQ35</f>
        <v>2452614</v>
      </c>
      <c r="CR66" s="341"/>
      <c r="CS66" s="342">
        <f>+CS35</f>
        <v>3350467</v>
      </c>
      <c r="CT66" s="341"/>
      <c r="CU66" s="342">
        <f>+CU35</f>
        <v>3358988</v>
      </c>
      <c r="CV66" s="341"/>
      <c r="CW66" s="342">
        <f>+CW35</f>
        <v>3257189</v>
      </c>
      <c r="CX66" s="341"/>
      <c r="CY66" s="342">
        <f>+CY35</f>
        <v>3189951.17</v>
      </c>
      <c r="CZ66" s="341"/>
      <c r="DA66" s="342">
        <f>+DA35</f>
        <v>3083036.26</v>
      </c>
      <c r="DB66" s="341"/>
      <c r="DC66" s="343">
        <f>+DC35</f>
        <v>5166028.53</v>
      </c>
      <c r="DD66" s="344"/>
      <c r="DE66" s="343">
        <f>+DE35</f>
        <v>6060610.7599999998</v>
      </c>
      <c r="DF66" s="344"/>
      <c r="DG66" s="343">
        <f>+DG35</f>
        <v>5313092.9800000004</v>
      </c>
      <c r="DH66" s="344"/>
      <c r="DI66" s="343">
        <f>+DI35</f>
        <v>6302493.0300000003</v>
      </c>
      <c r="DJ66" s="344"/>
      <c r="DK66" s="666">
        <f>+DK35</f>
        <v>5422405.1900000004</v>
      </c>
      <c r="DL66" s="659"/>
      <c r="DM66" s="666">
        <f>+DM35</f>
        <v>5326633.82</v>
      </c>
      <c r="DN66" s="659"/>
      <c r="DO66" s="666">
        <f>+DO35</f>
        <v>4631802.5999999996</v>
      </c>
      <c r="DP66" s="659"/>
      <c r="DQ66" s="666">
        <f>+DQ35</f>
        <v>4664066.59</v>
      </c>
      <c r="DR66" s="659"/>
      <c r="DS66" s="666">
        <v>5764429.25</v>
      </c>
      <c r="DT66" s="659"/>
      <c r="DU66" s="666">
        <v>8407566.9000000004</v>
      </c>
      <c r="DV66" s="659"/>
      <c r="DW66" s="666">
        <v>10992965.720000001</v>
      </c>
      <c r="DX66" s="659"/>
      <c r="DY66" s="666">
        <v>13254157.220000001</v>
      </c>
      <c r="DZ66" s="659"/>
      <c r="EA66" s="666">
        <v>14627070.76</v>
      </c>
      <c r="EB66" s="659"/>
      <c r="EC66" s="666">
        <v>15748524.18</v>
      </c>
      <c r="ED66" s="659"/>
      <c r="EE66" s="666">
        <v>16777794</v>
      </c>
      <c r="EF66" s="659"/>
      <c r="EG66" s="666">
        <v>16002553.23</v>
      </c>
      <c r="EI66" s="666">
        <v>15558513.939999999</v>
      </c>
      <c r="EK66" s="666">
        <v>16563740.689999999</v>
      </c>
      <c r="EM66" s="666">
        <v>12122326.189999999</v>
      </c>
      <c r="EO66" s="666">
        <v>5312994.78</v>
      </c>
      <c r="EQ66" s="666">
        <v>3131008.78</v>
      </c>
      <c r="ES66" s="666">
        <v>3343063.34</v>
      </c>
      <c r="EU66" s="667">
        <v>3295749.34</v>
      </c>
      <c r="EV66" s="667"/>
      <c r="EW66" s="667">
        <v>2807071.31</v>
      </c>
      <c r="EX66" s="667"/>
      <c r="EY66" s="667">
        <v>1936568.25</v>
      </c>
      <c r="EZ66" s="667"/>
      <c r="FA66" s="667">
        <v>641400.13</v>
      </c>
      <c r="FB66" s="667"/>
      <c r="FC66" s="667">
        <v>821443.15</v>
      </c>
      <c r="FD66" s="667"/>
      <c r="FE66" s="667">
        <v>1333100.68</v>
      </c>
      <c r="FF66" s="667"/>
      <c r="FG66" s="667">
        <v>1793051.04</v>
      </c>
      <c r="FH66" s="667"/>
      <c r="FI66" s="667">
        <v>791671.32</v>
      </c>
      <c r="FJ66" s="667"/>
      <c r="FK66" s="667">
        <v>965398.32</v>
      </c>
      <c r="FL66" s="667"/>
      <c r="FM66" s="667">
        <v>1077167.42</v>
      </c>
      <c r="FN66" s="667"/>
      <c r="FO66" s="667">
        <v>1310997.47</v>
      </c>
      <c r="FP66" s="667"/>
      <c r="FQ66" s="667">
        <v>1479587.53</v>
      </c>
      <c r="FR66" s="667"/>
      <c r="FS66" s="667">
        <v>1250916.6100000001</v>
      </c>
      <c r="FT66" s="667"/>
      <c r="FU66" s="667">
        <v>1692584.67</v>
      </c>
      <c r="FV66" s="667"/>
      <c r="FW66" s="667">
        <v>1009403.8699999998</v>
      </c>
      <c r="FY66" s="667">
        <v>729275.66999999993</v>
      </c>
      <c r="FZ66" s="667"/>
      <c r="GA66" s="667">
        <v>944929.53</v>
      </c>
      <c r="GB66" s="667"/>
      <c r="GC66" s="667">
        <v>714359.0199999999</v>
      </c>
      <c r="GD66" s="341"/>
      <c r="GE66" s="345"/>
      <c r="GF66" s="345"/>
      <c r="GG66" s="345"/>
      <c r="GH66" s="341"/>
      <c r="GI66" s="341"/>
      <c r="GJ66" s="341"/>
      <c r="GK66" s="341"/>
      <c r="GL66" s="341"/>
    </row>
    <row r="67" spans="1:194" ht="14.25" customHeight="1">
      <c r="A67" s="222"/>
      <c r="B67" s="340"/>
      <c r="C67" s="341"/>
      <c r="D67" s="341"/>
      <c r="E67" s="341" t="s">
        <v>528</v>
      </c>
      <c r="F67" s="341"/>
      <c r="G67" s="342">
        <f>G59</f>
        <v>280383625.18000001</v>
      </c>
      <c r="H67" s="341"/>
      <c r="I67" s="342">
        <f>I59</f>
        <v>283146791.35000002</v>
      </c>
      <c r="J67" s="341"/>
      <c r="K67" s="342">
        <f>K59</f>
        <v>279146791.35000002</v>
      </c>
      <c r="L67" s="341"/>
      <c r="M67" s="342">
        <f>M59</f>
        <v>273534524.35000002</v>
      </c>
      <c r="N67" s="341"/>
      <c r="O67" s="342">
        <f>O59</f>
        <v>276200411.35000002</v>
      </c>
      <c r="P67" s="341"/>
      <c r="Q67" s="342">
        <f>Q59</f>
        <v>277806783.35000002</v>
      </c>
      <c r="R67" s="341"/>
      <c r="S67" s="342">
        <v>160700946.99000001</v>
      </c>
      <c r="T67" s="341"/>
      <c r="U67" s="342">
        <v>161792381.99000001</v>
      </c>
      <c r="V67" s="341"/>
      <c r="W67" s="342">
        <v>154489869</v>
      </c>
      <c r="X67" s="341"/>
      <c r="Y67" s="342">
        <f>Y59</f>
        <v>339736906.35000002</v>
      </c>
      <c r="Z67" s="341"/>
      <c r="AA67" s="342">
        <f>AA59</f>
        <v>326506681.35000002</v>
      </c>
      <c r="AB67" s="341"/>
      <c r="AC67" s="342">
        <v>201318661.99000001</v>
      </c>
      <c r="AD67" s="341"/>
      <c r="AE67" s="342">
        <v>180756641</v>
      </c>
      <c r="AF67" s="341"/>
      <c r="AG67" s="342">
        <v>160878982.99000001</v>
      </c>
      <c r="AH67" s="341"/>
      <c r="AI67" s="342">
        <v>147197009.99000001</v>
      </c>
      <c r="AJ67" s="341"/>
      <c r="AK67" s="342">
        <v>133700002.98999999</v>
      </c>
      <c r="AL67" s="341"/>
      <c r="AM67" s="342">
        <v>124143275.70999999</v>
      </c>
      <c r="AN67" s="341"/>
      <c r="AO67" s="342">
        <v>115287756</v>
      </c>
      <c r="AP67" s="341"/>
      <c r="AQ67" s="342">
        <v>106534461.91</v>
      </c>
      <c r="AR67" s="341"/>
      <c r="AS67" s="342">
        <v>95328719</v>
      </c>
      <c r="AU67" s="342">
        <v>83184994.239999995</v>
      </c>
      <c r="AW67" s="342">
        <f>AW59</f>
        <v>76877652.239999995</v>
      </c>
      <c r="AY67" s="342">
        <v>63867053.229999997</v>
      </c>
      <c r="BA67" s="342">
        <v>63353320.079999998</v>
      </c>
      <c r="BC67" s="342">
        <v>56840207.630000003</v>
      </c>
      <c r="BE67" s="342">
        <v>52847495.799999997</v>
      </c>
      <c r="BG67" s="342">
        <v>50168894.460000001</v>
      </c>
      <c r="BI67" s="342">
        <v>48913086.460000001</v>
      </c>
      <c r="BK67" s="342">
        <v>46743508.460000001</v>
      </c>
      <c r="BM67" s="342">
        <v>44065253.460000001</v>
      </c>
      <c r="BN67" s="341"/>
      <c r="BO67" s="342">
        <v>40814432</v>
      </c>
      <c r="BP67" s="341"/>
      <c r="BQ67" s="342">
        <v>37941310.460000001</v>
      </c>
      <c r="BR67" s="341"/>
      <c r="BS67" s="342">
        <v>35398232.460000001</v>
      </c>
      <c r="BT67" s="341"/>
      <c r="BU67" s="342">
        <f>BU59</f>
        <v>31577892.460000001</v>
      </c>
      <c r="BV67" s="341"/>
      <c r="BW67" s="342">
        <v>27940619.460000001</v>
      </c>
      <c r="BX67" s="341"/>
      <c r="BY67" s="342">
        <v>29693178.460000001</v>
      </c>
      <c r="BZ67" s="341"/>
      <c r="CA67" s="342">
        <v>30697854.460000001</v>
      </c>
      <c r="CB67" s="341"/>
      <c r="CC67" s="342">
        <v>30168614.460000001</v>
      </c>
      <c r="CD67" s="341"/>
      <c r="CE67" s="342">
        <v>30070274.460000001</v>
      </c>
      <c r="CF67" s="341"/>
      <c r="CG67" s="342">
        <v>29422332.460000001</v>
      </c>
      <c r="CH67" s="341"/>
      <c r="CI67" s="342">
        <v>29010262.460000001</v>
      </c>
      <c r="CJ67" s="341"/>
      <c r="CK67" s="342">
        <v>27671272.460000001</v>
      </c>
      <c r="CL67" s="341"/>
      <c r="CM67" s="342">
        <v>26253005</v>
      </c>
      <c r="CN67" s="341"/>
      <c r="CO67" s="342">
        <v>25805131</v>
      </c>
      <c r="CP67" s="341"/>
      <c r="CQ67" s="342">
        <v>25593329.420000002</v>
      </c>
      <c r="CR67" s="341"/>
      <c r="CS67" s="342">
        <v>24078891.420000002</v>
      </c>
      <c r="CT67" s="341"/>
      <c r="CU67" s="342">
        <v>21332600.879999999</v>
      </c>
      <c r="CV67" s="341"/>
      <c r="CW67" s="342">
        <v>17396412.68</v>
      </c>
      <c r="CX67" s="341"/>
      <c r="CY67" s="343">
        <v>17956964.719999999</v>
      </c>
      <c r="CZ67" s="341"/>
      <c r="DA67" s="343">
        <v>16704638.609999999</v>
      </c>
      <c r="DB67" s="341"/>
      <c r="DC67" s="343">
        <v>14751254.67</v>
      </c>
      <c r="DD67" s="344"/>
      <c r="DE67" s="343">
        <v>13028596.970000001</v>
      </c>
      <c r="DF67" s="344"/>
      <c r="DG67" s="343">
        <v>12166480.699999999</v>
      </c>
      <c r="DH67" s="344"/>
      <c r="DI67" s="343">
        <v>10852071.68</v>
      </c>
      <c r="DJ67" s="344"/>
      <c r="DK67" s="666">
        <v>10721338.34</v>
      </c>
      <c r="DL67" s="659"/>
      <c r="DM67" s="666">
        <v>10573233.93</v>
      </c>
      <c r="DN67" s="659"/>
      <c r="DO67" s="666">
        <v>10118939.800000001</v>
      </c>
      <c r="DP67" s="659"/>
      <c r="DQ67" s="666">
        <v>9683242.1699999999</v>
      </c>
      <c r="DR67" s="659"/>
      <c r="DS67" s="666">
        <v>8706690.5600000005</v>
      </c>
      <c r="DT67" s="659"/>
      <c r="DU67" s="666">
        <v>11615486.34</v>
      </c>
      <c r="DV67" s="659"/>
      <c r="DW67" s="666">
        <v>13019162.27</v>
      </c>
      <c r="DX67" s="659"/>
      <c r="DY67" s="666">
        <v>13512212.09</v>
      </c>
      <c r="DZ67" s="659"/>
      <c r="EA67" s="666">
        <v>13257202.43</v>
      </c>
      <c r="EB67" s="659"/>
      <c r="EC67" s="666">
        <v>14674925.83</v>
      </c>
      <c r="ED67" s="659"/>
      <c r="EE67" s="666">
        <v>15138883.369999999</v>
      </c>
      <c r="EF67" s="659"/>
      <c r="EG67" s="666">
        <v>15174293.07</v>
      </c>
      <c r="EI67" s="666">
        <v>14604635.17</v>
      </c>
      <c r="EK67" s="666">
        <v>13082366.52</v>
      </c>
      <c r="EM67" s="666">
        <v>10628770.109999999</v>
      </c>
      <c r="EO67" s="666">
        <v>6838666.21</v>
      </c>
      <c r="EQ67" s="666">
        <v>3558876.38</v>
      </c>
      <c r="ES67" s="666">
        <v>3983318.8</v>
      </c>
      <c r="EU67" s="667">
        <v>3530117.33</v>
      </c>
      <c r="EV67" s="667"/>
      <c r="EW67" s="667">
        <v>3037571.06</v>
      </c>
      <c r="EX67" s="667"/>
      <c r="EY67" s="667">
        <v>2472008.16</v>
      </c>
      <c r="EZ67" s="667"/>
      <c r="FA67" s="667">
        <v>2433248.29</v>
      </c>
      <c r="FB67" s="667"/>
      <c r="FC67" s="667">
        <v>2289326.17</v>
      </c>
      <c r="FD67" s="667"/>
      <c r="FE67" s="667">
        <v>2125145.9700000002</v>
      </c>
      <c r="FF67" s="667"/>
      <c r="FG67" s="667">
        <v>1959896.52</v>
      </c>
      <c r="FH67" s="667"/>
      <c r="FI67" s="667">
        <v>1775421.72</v>
      </c>
      <c r="FJ67" s="667"/>
      <c r="FK67" s="667">
        <v>1712855.36</v>
      </c>
      <c r="FL67" s="667"/>
      <c r="FM67" s="667">
        <v>1825574.52</v>
      </c>
      <c r="FN67" s="667"/>
      <c r="FO67" s="667">
        <v>1810689.19</v>
      </c>
      <c r="FP67" s="667"/>
      <c r="FQ67" s="667">
        <v>1731620.08</v>
      </c>
      <c r="FR67" s="667"/>
      <c r="FS67" s="667">
        <v>1806343.29</v>
      </c>
      <c r="FT67" s="667"/>
      <c r="FU67" s="667">
        <v>1624241.05</v>
      </c>
      <c r="FV67" s="667"/>
      <c r="FW67" s="667">
        <v>1508003.35</v>
      </c>
      <c r="FY67" s="667">
        <v>1561068.92</v>
      </c>
      <c r="FZ67" s="667"/>
      <c r="GA67" s="667">
        <v>1472006.9</v>
      </c>
      <c r="GB67" s="667"/>
      <c r="GC67" s="667">
        <v>1476676.48</v>
      </c>
      <c r="GD67" s="341"/>
      <c r="GE67" s="345"/>
      <c r="GF67" s="345"/>
      <c r="GG67" s="345"/>
      <c r="GH67" s="341"/>
      <c r="GI67" s="341"/>
      <c r="GJ67" s="341"/>
      <c r="GK67" s="341"/>
      <c r="GL67" s="341"/>
    </row>
    <row r="68" spans="1:194" ht="14.25" customHeight="1">
      <c r="A68" s="222"/>
      <c r="B68" s="340"/>
      <c r="C68" s="341"/>
      <c r="D68" s="341"/>
      <c r="E68" s="341" t="s">
        <v>529</v>
      </c>
      <c r="F68" s="341"/>
      <c r="G68" s="342">
        <f>+G101</f>
        <v>805226197.70000005</v>
      </c>
      <c r="H68" s="341"/>
      <c r="I68" s="342">
        <f>+I101</f>
        <v>557381569.10150695</v>
      </c>
      <c r="J68" s="341"/>
      <c r="K68" s="342">
        <f>+K101</f>
        <v>800448443.55083036</v>
      </c>
      <c r="L68" s="341"/>
      <c r="M68" s="342">
        <f>+M101</f>
        <v>798559795.18083036</v>
      </c>
      <c r="N68" s="341"/>
      <c r="O68" s="342">
        <f>+O101</f>
        <v>804190230.38999999</v>
      </c>
      <c r="P68" s="341"/>
      <c r="Q68" s="342">
        <f>+Q101</f>
        <v>800641531.87083042</v>
      </c>
      <c r="R68" s="341"/>
      <c r="S68" s="342">
        <v>881685771.9000001</v>
      </c>
      <c r="T68" s="341"/>
      <c r="U68" s="342">
        <v>879810443.78000009</v>
      </c>
      <c r="V68" s="341"/>
      <c r="W68" s="342">
        <v>888569415.62683225</v>
      </c>
      <c r="X68" s="341"/>
      <c r="Y68" s="342">
        <f>+Y101</f>
        <v>554076880.5</v>
      </c>
      <c r="Z68" s="341"/>
      <c r="AA68" s="342">
        <f>+AA101</f>
        <v>560518584.10000002</v>
      </c>
      <c r="AB68" s="341"/>
      <c r="AC68" s="342">
        <v>633550828.04999995</v>
      </c>
      <c r="AD68" s="341"/>
      <c r="AE68" s="342">
        <v>637729313.19000006</v>
      </c>
      <c r="AF68" s="341"/>
      <c r="AG68" s="342">
        <v>638340523.90999997</v>
      </c>
      <c r="AH68" s="341"/>
      <c r="AI68" s="342">
        <v>638936637.18000007</v>
      </c>
      <c r="AJ68" s="341"/>
      <c r="AK68" s="342">
        <v>641882567.62</v>
      </c>
      <c r="AL68" s="341"/>
      <c r="AM68" s="342">
        <v>642276932.21000004</v>
      </c>
      <c r="AN68" s="341"/>
      <c r="AO68" s="342">
        <v>641436337</v>
      </c>
      <c r="AP68" s="341"/>
      <c r="AQ68" s="342">
        <v>639583918.85000002</v>
      </c>
      <c r="AR68" s="341"/>
      <c r="AS68" s="342">
        <v>641468069.67999995</v>
      </c>
      <c r="AU68" s="342">
        <v>642507688.91000009</v>
      </c>
      <c r="AW68" s="342">
        <f>+AW101</f>
        <v>637381142.38999999</v>
      </c>
      <c r="AY68" s="342">
        <v>637381142.38999999</v>
      </c>
      <c r="BA68" s="342">
        <v>636490030.63999999</v>
      </c>
      <c r="BC68" s="342">
        <v>633448024.21000004</v>
      </c>
      <c r="BE68" s="342">
        <v>629403132.83000004</v>
      </c>
      <c r="BG68" s="342">
        <v>628339096.33000004</v>
      </c>
      <c r="BI68" s="342">
        <v>627344290.20000005</v>
      </c>
      <c r="BK68" s="342">
        <v>626724299.25999999</v>
      </c>
      <c r="BM68" s="342">
        <v>626798742.63</v>
      </c>
      <c r="BN68" s="341"/>
      <c r="BO68" s="342">
        <v>625152772.38</v>
      </c>
      <c r="BP68" s="341"/>
      <c r="BQ68" s="342">
        <v>622907473.91999996</v>
      </c>
      <c r="BR68" s="341"/>
      <c r="BS68" s="342">
        <v>620029783.80999994</v>
      </c>
      <c r="BT68" s="341"/>
      <c r="BU68" s="342">
        <f>+BU101</f>
        <v>618949702.19000006</v>
      </c>
      <c r="BV68" s="341"/>
      <c r="BW68" s="342">
        <v>618310883.98899996</v>
      </c>
      <c r="BX68" s="341"/>
      <c r="BY68" s="342">
        <f>+BY101</f>
        <v>628212132.21899998</v>
      </c>
      <c r="BZ68" s="341"/>
      <c r="CA68" s="342">
        <v>198678328.61899996</v>
      </c>
      <c r="CB68" s="341"/>
      <c r="CC68" s="342">
        <v>198813802.28899997</v>
      </c>
      <c r="CD68" s="341"/>
      <c r="CE68" s="342">
        <v>205991898.609</v>
      </c>
      <c r="CF68" s="341"/>
      <c r="CG68" s="342">
        <f>+CG101</f>
        <v>205350008.89899999</v>
      </c>
      <c r="CH68" s="341"/>
      <c r="CI68" s="342">
        <v>202365370.11899999</v>
      </c>
      <c r="CJ68" s="341"/>
      <c r="CK68" s="342">
        <v>199189447.639</v>
      </c>
      <c r="CL68" s="341"/>
      <c r="CM68" s="342">
        <f>+CM101</f>
        <v>197814195.109</v>
      </c>
      <c r="CN68" s="341"/>
      <c r="CO68" s="342">
        <f>+CO101</f>
        <v>194673846.68899998</v>
      </c>
      <c r="CP68" s="341"/>
      <c r="CQ68" s="342">
        <f>+CQ101</f>
        <v>195645764.49900001</v>
      </c>
      <c r="CR68" s="341"/>
      <c r="CS68" s="342">
        <f>+CS101</f>
        <v>188425403.89000002</v>
      </c>
      <c r="CT68" s="341"/>
      <c r="CU68" s="342">
        <f>+CU101</f>
        <v>102934429.29000001</v>
      </c>
      <c r="CV68" s="341"/>
      <c r="CW68" s="342">
        <f>+CW101</f>
        <v>152715907.59</v>
      </c>
      <c r="CX68" s="341"/>
      <c r="CY68" s="343">
        <f>+CY101</f>
        <v>107602697.31</v>
      </c>
      <c r="CZ68" s="341"/>
      <c r="DA68" s="343">
        <f>+DA101</f>
        <v>106553858.94</v>
      </c>
      <c r="DB68" s="341"/>
      <c r="DC68" s="343">
        <f>+DC101</f>
        <v>107557026.02</v>
      </c>
      <c r="DD68" s="344"/>
      <c r="DE68" s="343">
        <f>+DE101</f>
        <v>108154578.64999999</v>
      </c>
      <c r="DF68" s="344"/>
      <c r="DG68" s="343">
        <f>+DG101</f>
        <v>107924511.19</v>
      </c>
      <c r="DH68" s="344"/>
      <c r="DI68" s="343">
        <f>+DI101</f>
        <v>107796951.84</v>
      </c>
      <c r="DJ68" s="344"/>
      <c r="DK68" s="666">
        <f>+DK101</f>
        <v>106680830.55</v>
      </c>
      <c r="DL68" s="659"/>
      <c r="DM68" s="666">
        <f>+DM101</f>
        <v>106202573.95999999</v>
      </c>
      <c r="DN68" s="659"/>
      <c r="DO68" s="666">
        <f>+DO101</f>
        <v>105361632.56</v>
      </c>
      <c r="DP68" s="659"/>
      <c r="DQ68" s="666">
        <f>+DQ101</f>
        <v>104107446.28999999</v>
      </c>
      <c r="DR68" s="659"/>
      <c r="DS68" s="666">
        <v>103694409.42999999</v>
      </c>
      <c r="DT68" s="659"/>
      <c r="DU68" s="666">
        <v>103836502.88</v>
      </c>
      <c r="DV68" s="659"/>
      <c r="DW68" s="666">
        <v>102927624.31</v>
      </c>
      <c r="DX68" s="659"/>
      <c r="DY68" s="666">
        <v>102193067.19</v>
      </c>
      <c r="DZ68" s="659"/>
      <c r="EA68" s="666">
        <v>101563930.7</v>
      </c>
      <c r="EB68" s="659"/>
      <c r="EC68" s="666">
        <v>100674814.53999999</v>
      </c>
      <c r="ED68" s="659"/>
      <c r="EE68" s="666">
        <v>100122357.12</v>
      </c>
      <c r="EF68" s="659"/>
      <c r="EG68" s="666">
        <v>99185937.25</v>
      </c>
      <c r="EI68" s="666">
        <v>99364897.590000004</v>
      </c>
      <c r="EK68" s="666">
        <v>100729579.20999999</v>
      </c>
      <c r="EM68" s="666">
        <v>102546494.78999999</v>
      </c>
      <c r="EO68" s="666">
        <v>104367161.03</v>
      </c>
      <c r="EQ68" s="666">
        <v>106476544.97</v>
      </c>
      <c r="ES68" s="666">
        <v>108456971.22999999</v>
      </c>
      <c r="EU68" s="667">
        <v>107830844.61999999</v>
      </c>
      <c r="EV68" s="667"/>
      <c r="EW68" s="667">
        <v>108178892.67999999</v>
      </c>
      <c r="EX68" s="667"/>
      <c r="EY68" s="667">
        <v>108779599.05</v>
      </c>
      <c r="EZ68" s="667"/>
      <c r="FA68" s="667">
        <v>108267676.59</v>
      </c>
      <c r="FB68" s="667"/>
      <c r="FC68" s="667">
        <v>108167362.59</v>
      </c>
      <c r="FD68" s="667"/>
      <c r="FE68" s="667">
        <v>107364336.34999999</v>
      </c>
      <c r="FF68" s="667"/>
      <c r="FG68" s="667">
        <v>107591990.07000001</v>
      </c>
      <c r="FH68" s="667"/>
      <c r="FI68" s="667">
        <v>21695943.629999999</v>
      </c>
      <c r="FJ68" s="667"/>
      <c r="FK68" s="667">
        <v>21083322.359999999</v>
      </c>
      <c r="FL68" s="667"/>
      <c r="FM68" s="667">
        <v>20483098.919999998</v>
      </c>
      <c r="FN68" s="667"/>
      <c r="FO68" s="667">
        <v>19722655.599999998</v>
      </c>
      <c r="FP68" s="667"/>
      <c r="FQ68" s="667">
        <v>20098976.850000001</v>
      </c>
      <c r="FR68" s="667"/>
      <c r="FS68" s="667">
        <v>19022545.5</v>
      </c>
      <c r="FT68" s="667"/>
      <c r="FU68" s="667">
        <v>19363081.120000001</v>
      </c>
      <c r="FV68" s="667"/>
      <c r="FW68" s="667">
        <v>19345917.5</v>
      </c>
      <c r="FY68" s="667">
        <v>19284253.190000001</v>
      </c>
      <c r="FZ68" s="667"/>
      <c r="GA68" s="667">
        <v>19206556.449999999</v>
      </c>
      <c r="GB68" s="667"/>
      <c r="GC68" s="667">
        <v>18915538.449999999</v>
      </c>
      <c r="GD68" s="341"/>
      <c r="GE68" s="345"/>
      <c r="GF68" s="345"/>
      <c r="GG68" s="345"/>
      <c r="GH68" s="341"/>
      <c r="GI68" s="341"/>
      <c r="GJ68" s="341"/>
      <c r="GK68" s="341"/>
      <c r="GL68" s="341"/>
    </row>
    <row r="69" spans="1:194" ht="14.25" customHeight="1">
      <c r="A69" s="222"/>
      <c r="B69" s="334"/>
      <c r="C69" s="222"/>
      <c r="D69" s="222"/>
      <c r="E69" s="222"/>
      <c r="F69" s="222" t="s">
        <v>530</v>
      </c>
      <c r="G69" s="349">
        <f>+(G34+G35-G67)/G68</f>
        <v>-0.17503067036637723</v>
      </c>
      <c r="H69" s="222"/>
      <c r="I69" s="349">
        <f>+(I34+I35-I67)/I68</f>
        <v>-0.24905089447749507</v>
      </c>
      <c r="J69" s="222"/>
      <c r="K69" s="349">
        <f>+(K34+K35-K67)/K68</f>
        <v>-0.16884071227682734</v>
      </c>
      <c r="L69" s="222"/>
      <c r="M69" s="349">
        <f>+(M34+M35-M67)/M68</f>
        <v>-0.16111204336409909</v>
      </c>
      <c r="N69" s="222"/>
      <c r="O69" s="349">
        <f>+(O34+O35-O67)/O68</f>
        <v>-0.15960779489667884</v>
      </c>
      <c r="P69" s="222"/>
      <c r="Q69" s="349">
        <f>+(Q34+Q35-Q67)/Q68</f>
        <v>-0.15308336936207517</v>
      </c>
      <c r="R69" s="222"/>
      <c r="S69" s="349">
        <v>-9.0101079581683657E-3</v>
      </c>
      <c r="T69" s="222"/>
      <c r="U69" s="349">
        <v>-5.7117689674261226E-3</v>
      </c>
      <c r="V69" s="222"/>
      <c r="W69" s="349">
        <v>5.1430168084011969E-3</v>
      </c>
      <c r="X69" s="222"/>
      <c r="Y69" s="349">
        <f>+(Y34+Y35-Y67)/Y68</f>
        <v>-0.20716623520984473</v>
      </c>
      <c r="Z69" s="222"/>
      <c r="AA69" s="349">
        <f>+(AA34+AA35-AA67)/AA68</f>
        <v>-0.23076155014143807</v>
      </c>
      <c r="AB69" s="222"/>
      <c r="AC69" s="349">
        <v>-5.3337819798939959E-3</v>
      </c>
      <c r="AD69" s="222"/>
      <c r="AE69" s="349">
        <v>-2.5681946338760235E-3</v>
      </c>
      <c r="AF69" s="222"/>
      <c r="AG69" s="349">
        <v>4.3766279992493275E-3</v>
      </c>
      <c r="AH69" s="222"/>
      <c r="AI69" s="349">
        <v>-1.0730416118036027E-2</v>
      </c>
      <c r="AJ69" s="222"/>
      <c r="AK69" s="349">
        <v>2.6855847112217069E-3</v>
      </c>
      <c r="AL69" s="222"/>
      <c r="AM69" s="349">
        <v>-8.649783966059579E-3</v>
      </c>
      <c r="AN69" s="222"/>
      <c r="AO69" s="349">
        <v>2.1839390118617314E-3</v>
      </c>
      <c r="AP69" s="222"/>
      <c r="AQ69" s="349">
        <v>-5.512536832288425E-3</v>
      </c>
      <c r="AR69" s="222"/>
      <c r="AS69" s="349">
        <v>-1.1671636288513821E-2</v>
      </c>
      <c r="AT69" s="808" t="str">
        <f>IF(AS69-AU69=0,"Investigate","Fine")</f>
        <v>Fine</v>
      </c>
      <c r="AU69" s="349">
        <v>-9.703244564398179E-3</v>
      </c>
      <c r="AV69" s="808" t="str">
        <f>IF(AU69-AW69=0,"Investigate","Fine")</f>
        <v>Fine</v>
      </c>
      <c r="AW69" s="349">
        <f>+(AW34+AW35-AW67)/AW68</f>
        <v>-3.7407809573084139E-3</v>
      </c>
      <c r="AX69" s="808" t="str">
        <f>IF(AW69-AY69=0,"Investigate","Fine")</f>
        <v>Fine</v>
      </c>
      <c r="AY69" s="349">
        <v>-1.3304931282091563E-3</v>
      </c>
      <c r="AZ69" s="808" t="str">
        <f>IF(AY69-BA69=0,"Investigate","Fine")</f>
        <v>Fine</v>
      </c>
      <c r="BA69" s="349">
        <v>-2.1749449847753582E-4</v>
      </c>
      <c r="BB69" s="808" t="str">
        <f>IF(BA69-BC69=0,"Investigate","Fine")</f>
        <v>Fine</v>
      </c>
      <c r="BC69" s="349">
        <v>2.6542278225539298E-3</v>
      </c>
      <c r="BD69" s="808" t="str">
        <f>IF(BC69-BE69=0,"Investigate","Fine")</f>
        <v>Fine</v>
      </c>
      <c r="BE69" s="349">
        <v>1.4496165532217611E-3</v>
      </c>
      <c r="BF69" s="808" t="str">
        <f>IF(BE69-BG69=0,"Investigate","Fine")</f>
        <v>Fine</v>
      </c>
      <c r="BG69" s="349">
        <v>1.2071274960131383E-4</v>
      </c>
      <c r="BH69" s="808" t="str">
        <f>IF(BG69-BI69=0,"Investigate","Fine")</f>
        <v>Fine</v>
      </c>
      <c r="BI69" s="349">
        <v>-3.909680056573185E-3</v>
      </c>
      <c r="BJ69" s="808" t="str">
        <f>IF(BI69-BK69=0,"Investigate","Fine")</f>
        <v>Fine</v>
      </c>
      <c r="BK69" s="349">
        <v>4.5578263733714978E-3</v>
      </c>
      <c r="BL69" s="808" t="str">
        <f>IF(BK69-BM69=0,"Investigate","Fine")</f>
        <v>Fine</v>
      </c>
      <c r="BM69" s="349">
        <v>-2.6819174093211454E-3</v>
      </c>
      <c r="BN69" s="222"/>
      <c r="BO69" s="349">
        <v>-8.0636449564296499E-4</v>
      </c>
      <c r="BP69" s="222"/>
      <c r="BQ69" s="349">
        <v>1.8436053315800921E-3</v>
      </c>
      <c r="BR69" s="222"/>
      <c r="BS69" s="349">
        <v>2.5509944542997762E-3</v>
      </c>
      <c r="BT69" s="222"/>
      <c r="BU69" s="349">
        <f>+(BU34+BU35-BU67)/BU68</f>
        <v>6.8926029448034276E-3</v>
      </c>
      <c r="BV69" s="222"/>
      <c r="BW69" s="349">
        <v>5.9541173143338923E-3</v>
      </c>
      <c r="BX69" s="222"/>
      <c r="BY69" s="349">
        <f>+(BY34+BY35-BY67)/BY68</f>
        <v>6.9236509722224206E-3</v>
      </c>
      <c r="BZ69" s="222"/>
      <c r="CA69" s="349">
        <f>+(CA34+CA35-CA67)/CA68</f>
        <v>1.4484707818932145E-2</v>
      </c>
      <c r="CB69" s="222"/>
      <c r="CC69" s="349">
        <f>+(CC34+CC35-CC67)/CC68</f>
        <v>2.2220039499965944E-2</v>
      </c>
      <c r="CD69" s="222"/>
      <c r="CE69" s="349">
        <f>+(CE34+CE35-CE67)/CE68</f>
        <v>9.3100338069130682E-3</v>
      </c>
      <c r="CF69" s="222"/>
      <c r="CG69" s="349">
        <f>+(CG34+CG35-CG67)/CG68</f>
        <v>1.6675102954021224E-2</v>
      </c>
      <c r="CH69" s="222"/>
      <c r="CI69" s="349">
        <f>+(CI34+CI35-CI67)/CI68</f>
        <v>1.4088514938714396E-2</v>
      </c>
      <c r="CJ69" s="222"/>
      <c r="CK69" s="349">
        <f>+(CK34+CK35-CK67)/CK68</f>
        <v>1.7798937554289601E-2</v>
      </c>
      <c r="CL69" s="222"/>
      <c r="CM69" s="349">
        <f>+(CM34+CM35-CM67)/CM68</f>
        <v>1.4237729493821651E-2</v>
      </c>
      <c r="CN69" s="222"/>
      <c r="CO69" s="349">
        <f>+(CO34+CO35-CO67)/CO68</f>
        <v>1.6366250804556733E-2</v>
      </c>
      <c r="CP69" s="222"/>
      <c r="CQ69" s="349">
        <f>+(CQ34+CQ35-CQ67)/CQ68</f>
        <v>8.1744094184475567E-3</v>
      </c>
      <c r="CR69" s="222"/>
      <c r="CS69" s="349">
        <f>+(CS34+CS35-CS67)/CS68</f>
        <v>7.6367387321087518E-3</v>
      </c>
      <c r="CT69" s="222"/>
      <c r="CU69" s="349">
        <f>+(CU34+CU35-CU67)/CU68</f>
        <v>2.0843124451154188E-2</v>
      </c>
      <c r="CV69" s="222"/>
      <c r="CW69" s="349">
        <f>+(CW34+CW35-CW67)/CW68</f>
        <v>-1.918366558030943E-3</v>
      </c>
      <c r="CX69" s="222"/>
      <c r="CY69" s="350">
        <f>+(CY34+CY35-CY67)/CY68</f>
        <v>9.8035318414082771E-3</v>
      </c>
      <c r="CZ69" s="222"/>
      <c r="DA69" s="350">
        <f>+(DA65+DA66-DA67)/DA68</f>
        <v>-4.4725740019266411E-3</v>
      </c>
      <c r="DB69" s="222"/>
      <c r="DC69" s="350">
        <f>+(DC65+DC66-DC67)/DC68</f>
        <v>7.715451613971646E-3</v>
      </c>
      <c r="DD69" s="212"/>
      <c r="DE69" s="350">
        <f>+(DE65+DE66-DE67)/DE68</f>
        <v>1.2848874336583604E-2</v>
      </c>
      <c r="DF69" s="212"/>
      <c r="DG69" s="350">
        <f>+(DG65+DG66-DG67)/DG68</f>
        <v>9.3711831431830764E-3</v>
      </c>
      <c r="DH69" s="212"/>
      <c r="DI69" s="350">
        <f>+(DI65+DI66-DI67)/DI68</f>
        <v>8.6450619808175269E-3</v>
      </c>
      <c r="DJ69" s="212"/>
      <c r="DK69" s="673">
        <f>+(DK65+DK66-DK67)/DK68</f>
        <v>4.6103606192818627E-3</v>
      </c>
      <c r="DL69" s="677"/>
      <c r="DM69" s="673">
        <f>+(DM65+DM66-DM67)/DM68</f>
        <v>7.3638905427523488E-3</v>
      </c>
      <c r="DN69" s="677"/>
      <c r="DO69" s="673">
        <f>+(DO65+DO66-DO67)/DO68</f>
        <v>3.2474392403245428E-3</v>
      </c>
      <c r="DP69" s="677"/>
      <c r="DQ69" s="673">
        <f>+(DQ65+DQ66-DQ67)/DQ68</f>
        <v>1.4421147127342607E-3</v>
      </c>
      <c r="DR69" s="677"/>
      <c r="DS69" s="673">
        <v>1.0274292566555382E-3</v>
      </c>
      <c r="DT69" s="677"/>
      <c r="DU69" s="673">
        <v>6.0368906175935671E-3</v>
      </c>
      <c r="DV69" s="677"/>
      <c r="DW69" s="673">
        <v>1.0988189298857826E-2</v>
      </c>
      <c r="DX69" s="677"/>
      <c r="DY69" s="673">
        <v>1.2906210042094357E-2</v>
      </c>
      <c r="DZ69" s="677"/>
      <c r="EA69" s="673">
        <v>2.4148156369060259E-2</v>
      </c>
      <c r="EB69" s="677"/>
      <c r="EC69" s="673">
        <v>3.8231502363192719E-2</v>
      </c>
      <c r="ED69" s="677"/>
      <c r="EE69" s="673">
        <v>4.2401124405330032E-2</v>
      </c>
      <c r="EF69" s="677"/>
      <c r="EG69" s="674">
        <v>3.0948456556526633E-2</v>
      </c>
      <c r="EH69" s="678"/>
      <c r="EI69" s="674">
        <v>3.4887957257341132E-2</v>
      </c>
      <c r="EJ69" s="678"/>
      <c r="EK69" s="674">
        <v>5.6854861947357879E-2</v>
      </c>
      <c r="EL69" s="678"/>
      <c r="EM69" s="674">
        <v>3.1122462123505223E-2</v>
      </c>
      <c r="EN69" s="678"/>
      <c r="EO69" s="674">
        <v>1.7375804631484843E-3</v>
      </c>
      <c r="EP69" s="678"/>
      <c r="EQ69" s="674">
        <v>4.4409682914977096E-3</v>
      </c>
      <c r="ER69" s="678"/>
      <c r="ES69" s="674">
        <v>7.6838631076347509E-3</v>
      </c>
      <c r="ET69" s="678"/>
      <c r="EU69" s="674">
        <v>9.48403013631147E-3</v>
      </c>
      <c r="EV69" s="674"/>
      <c r="EW69" s="674">
        <v>9.6852979730463265E-3</v>
      </c>
      <c r="EX69" s="674"/>
      <c r="EY69" s="674">
        <v>1.195693715879715E-2</v>
      </c>
      <c r="EZ69" s="674"/>
      <c r="FA69" s="674">
        <v>5.173571537155675E-3</v>
      </c>
      <c r="FB69" s="674"/>
      <c r="FC69" s="674">
        <v>5.1184313525194933E-3</v>
      </c>
      <c r="FD69" s="674"/>
      <c r="FE69" s="674">
        <v>8.0733036636518058E-3</v>
      </c>
      <c r="FF69" s="674"/>
      <c r="FG69" s="674">
        <v>8.0179477992622268E-3</v>
      </c>
      <c r="FH69" s="674"/>
      <c r="FI69" s="674">
        <v>1.1780792039235223E-2</v>
      </c>
      <c r="FJ69" s="674"/>
      <c r="FK69" s="674">
        <v>2.4066828336442511E-2</v>
      </c>
      <c r="FL69" s="674"/>
      <c r="FM69" s="674">
        <v>3.1466450097093014E-2</v>
      </c>
      <c r="FN69" s="674"/>
      <c r="FO69" s="674">
        <v>2.7231191422315372E-2</v>
      </c>
      <c r="FP69" s="674"/>
      <c r="FQ69" s="674">
        <v>4.3690355810325744E-2</v>
      </c>
      <c r="FR69" s="674"/>
      <c r="FS69" s="674">
        <v>3.5039964551537031E-2</v>
      </c>
      <c r="FT69" s="674"/>
      <c r="FU69" s="674">
        <v>5.1841728275525585E-2</v>
      </c>
      <c r="FV69" s="674"/>
      <c r="FW69" s="674">
        <v>3.237498273214489E-2</v>
      </c>
      <c r="FX69" s="674"/>
      <c r="FY69" s="674">
        <v>2.0979093201793843E-2</v>
      </c>
      <c r="FZ69" s="686"/>
      <c r="GA69" s="674">
        <v>2.7245049437271723E-2</v>
      </c>
      <c r="GB69" s="686"/>
      <c r="GC69" s="674">
        <v>2.340230341156373E-2</v>
      </c>
      <c r="GD69" s="222"/>
      <c r="GE69" s="288"/>
      <c r="GF69" s="288"/>
      <c r="GG69" s="288"/>
      <c r="GH69" s="222"/>
      <c r="GI69" s="222"/>
      <c r="GJ69" s="222"/>
      <c r="GK69" s="222"/>
      <c r="GL69" s="351" t="s">
        <v>495</v>
      </c>
    </row>
    <row r="70" spans="1:194" ht="14.25" customHeight="1">
      <c r="A70" s="222"/>
      <c r="B70" s="334"/>
      <c r="C70" s="222"/>
      <c r="G70" s="222"/>
      <c r="I70" s="222"/>
      <c r="K70" s="222"/>
      <c r="M70" s="222"/>
      <c r="O70" s="222"/>
      <c r="Q70" s="222"/>
      <c r="S70" s="222"/>
      <c r="U70" s="222"/>
      <c r="W70" s="222"/>
      <c r="Y70" s="222"/>
      <c r="AA70" s="222"/>
      <c r="AC70" s="222"/>
      <c r="AE70" s="222"/>
      <c r="AG70" s="222"/>
      <c r="AI70" s="222"/>
      <c r="AK70" s="222"/>
      <c r="AM70" s="222"/>
      <c r="AO70" s="222"/>
      <c r="AQ70" s="222"/>
      <c r="AS70" s="222"/>
      <c r="AU70" s="222"/>
      <c r="AW70" s="222"/>
      <c r="AY70" s="222"/>
      <c r="BA70" s="222"/>
      <c r="BC70" s="222"/>
      <c r="BE70" s="222"/>
      <c r="BG70" s="222"/>
      <c r="BI70" s="222"/>
      <c r="BK70" s="222"/>
      <c r="BM70" s="222"/>
      <c r="BO70" s="222"/>
      <c r="BQ70" s="222"/>
      <c r="BS70" s="222"/>
      <c r="BU70" s="222"/>
      <c r="BW70" s="222"/>
      <c r="BY70" s="222"/>
      <c r="CA70" s="222"/>
      <c r="CC70" s="222"/>
      <c r="CE70" s="222"/>
      <c r="CG70" s="222"/>
      <c r="CI70" s="222"/>
      <c r="CK70" s="222"/>
      <c r="CM70" s="222"/>
      <c r="CO70" s="222"/>
      <c r="CP70" s="222"/>
      <c r="CQ70" s="222"/>
      <c r="CR70" s="222"/>
      <c r="CS70" s="222"/>
      <c r="CT70" s="222"/>
      <c r="CU70" s="222"/>
      <c r="CV70" s="222"/>
      <c r="CW70" s="222"/>
      <c r="CX70" s="222"/>
      <c r="CY70" s="705"/>
      <c r="CZ70" s="222"/>
      <c r="DA70" s="705"/>
      <c r="DB70" s="222"/>
      <c r="DC70" s="705"/>
      <c r="DD70" s="415"/>
      <c r="DE70" s="705"/>
      <c r="DF70" s="415"/>
      <c r="DG70" s="705"/>
      <c r="DH70" s="415"/>
      <c r="DI70" s="705"/>
      <c r="DJ70" s="415"/>
      <c r="DK70" s="706"/>
      <c r="DL70" s="703"/>
      <c r="DM70" s="706"/>
      <c r="DN70" s="703"/>
      <c r="DO70" s="706"/>
      <c r="DP70" s="703"/>
      <c r="DQ70" s="706"/>
      <c r="DR70" s="703"/>
      <c r="DS70" s="706"/>
      <c r="DT70" s="703"/>
      <c r="DU70" s="706"/>
      <c r="DV70" s="703"/>
      <c r="DW70" s="706"/>
      <c r="DX70" s="703"/>
      <c r="DY70" s="706"/>
      <c r="DZ70" s="703"/>
      <c r="EA70" s="706"/>
      <c r="EB70" s="703"/>
      <c r="EC70" s="706"/>
      <c r="ED70" s="703"/>
      <c r="EE70" s="706"/>
      <c r="EF70" s="703"/>
      <c r="EG70" s="688"/>
      <c r="EH70" s="678"/>
      <c r="EI70" s="688"/>
      <c r="EJ70" s="678"/>
      <c r="EK70" s="688"/>
      <c r="EL70" s="678"/>
      <c r="EM70" s="688"/>
      <c r="EN70" s="678"/>
      <c r="EO70" s="688"/>
      <c r="EP70" s="678"/>
      <c r="EQ70" s="688"/>
      <c r="ER70" s="678"/>
      <c r="ES70" s="688"/>
      <c r="ET70" s="678"/>
      <c r="EU70" s="688"/>
      <c r="EV70" s="688"/>
      <c r="EW70" s="688"/>
      <c r="EX70" s="688"/>
      <c r="EY70" s="688"/>
      <c r="EZ70" s="688"/>
      <c r="FA70" s="688"/>
      <c r="FB70" s="688"/>
      <c r="FC70" s="688"/>
      <c r="FD70" s="688"/>
      <c r="FE70" s="688"/>
      <c r="FF70" s="688"/>
      <c r="FG70" s="688"/>
      <c r="FH70" s="688"/>
      <c r="FI70" s="688"/>
      <c r="FJ70" s="688"/>
      <c r="FK70" s="688"/>
      <c r="FL70" s="688"/>
      <c r="FM70" s="688"/>
      <c r="FN70" s="688"/>
      <c r="FO70" s="688"/>
      <c r="FP70" s="688"/>
      <c r="FQ70" s="688"/>
      <c r="FR70" s="688"/>
      <c r="FS70" s="688"/>
      <c r="FT70" s="688"/>
      <c r="FU70" s="688"/>
      <c r="FV70" s="688"/>
      <c r="FW70" s="688"/>
      <c r="FX70" s="678"/>
      <c r="FY70" s="688"/>
      <c r="GA70" s="688"/>
      <c r="GC70" s="688"/>
      <c r="GE70" s="335"/>
      <c r="GF70" s="335"/>
      <c r="GG70" s="335"/>
    </row>
    <row r="71" spans="1:194" ht="14.25" customHeight="1">
      <c r="A71" s="336" t="s">
        <v>219</v>
      </c>
      <c r="B71" s="337" t="s">
        <v>638</v>
      </c>
      <c r="C71" s="222" t="s">
        <v>507</v>
      </c>
      <c r="D71" s="222" t="s">
        <v>613</v>
      </c>
      <c r="CY71" s="358"/>
      <c r="DA71" s="358"/>
      <c r="DC71" s="358"/>
      <c r="DD71" s="157"/>
      <c r="DE71" s="358"/>
      <c r="DF71" s="157"/>
      <c r="DG71" s="358"/>
      <c r="DH71" s="157"/>
      <c r="DI71" s="358"/>
      <c r="DJ71" s="157"/>
      <c r="DK71" s="689"/>
      <c r="DL71" s="659"/>
      <c r="DM71" s="689"/>
      <c r="DN71" s="659"/>
      <c r="DO71" s="689"/>
      <c r="DP71" s="659"/>
      <c r="DQ71" s="689"/>
      <c r="DR71" s="659"/>
      <c r="DS71" s="689"/>
      <c r="DT71" s="659"/>
      <c r="DU71" s="689"/>
      <c r="DV71" s="659"/>
      <c r="DW71" s="689"/>
      <c r="DX71" s="659"/>
      <c r="DY71" s="689"/>
      <c r="DZ71" s="659"/>
      <c r="EA71" s="689"/>
      <c r="EB71" s="659"/>
      <c r="EC71" s="689"/>
      <c r="ED71" s="659"/>
      <c r="EE71" s="689"/>
      <c r="EF71" s="659"/>
      <c r="EG71" s="682"/>
      <c r="EI71" s="682"/>
      <c r="EK71" s="682"/>
      <c r="EM71" s="682"/>
      <c r="EO71" s="682"/>
      <c r="EQ71" s="682"/>
      <c r="ES71" s="682"/>
      <c r="EU71" s="682"/>
      <c r="EV71" s="682"/>
      <c r="EW71" s="682"/>
      <c r="EX71" s="682"/>
      <c r="EY71" s="682"/>
      <c r="EZ71" s="682"/>
      <c r="FA71" s="682"/>
      <c r="FB71" s="682"/>
      <c r="FC71" s="682"/>
      <c r="FD71" s="682"/>
      <c r="FE71" s="682"/>
      <c r="FF71" s="682"/>
      <c r="FG71" s="682"/>
      <c r="FH71" s="682"/>
      <c r="FI71" s="682"/>
      <c r="FJ71" s="682"/>
      <c r="FK71" s="682"/>
      <c r="FL71" s="682"/>
      <c r="FM71" s="682"/>
      <c r="FN71" s="682"/>
      <c r="FO71" s="682"/>
      <c r="FP71" s="682"/>
      <c r="FQ71" s="682"/>
      <c r="FR71" s="682"/>
      <c r="FS71" s="682"/>
      <c r="FT71" s="682"/>
      <c r="FU71" s="682"/>
      <c r="FV71" s="682"/>
      <c r="FW71" s="682"/>
      <c r="FY71" s="682"/>
      <c r="FZ71" s="662"/>
      <c r="GA71" s="682"/>
      <c r="GB71" s="662"/>
      <c r="GC71" s="682"/>
      <c r="GE71" s="335"/>
      <c r="GF71" s="335"/>
      <c r="GG71" s="335"/>
    </row>
    <row r="72" spans="1:194" ht="10.5" customHeight="1">
      <c r="A72" s="222"/>
      <c r="B72" s="334"/>
      <c r="CY72" s="157"/>
      <c r="DA72" s="157"/>
      <c r="DC72" s="157"/>
      <c r="DD72" s="157"/>
      <c r="DE72" s="157"/>
      <c r="DF72" s="157"/>
      <c r="DG72" s="157"/>
      <c r="DH72" s="157"/>
      <c r="DI72" s="157"/>
      <c r="DJ72" s="157"/>
      <c r="DK72" s="659"/>
      <c r="DL72" s="659"/>
      <c r="DM72" s="659"/>
      <c r="DN72" s="659"/>
      <c r="DO72" s="659"/>
      <c r="DP72" s="659"/>
      <c r="DQ72" s="659"/>
      <c r="DR72" s="659"/>
      <c r="DS72" s="659"/>
      <c r="DT72" s="659"/>
      <c r="DU72" s="659"/>
      <c r="DV72" s="659"/>
      <c r="DW72" s="659"/>
      <c r="DX72" s="659"/>
      <c r="DY72" s="659"/>
      <c r="DZ72" s="659"/>
      <c r="EA72" s="659"/>
      <c r="EB72" s="659"/>
      <c r="EC72" s="659"/>
      <c r="ED72" s="659"/>
      <c r="EE72" s="659"/>
      <c r="EF72" s="659"/>
      <c r="GE72" s="335"/>
      <c r="GF72" s="335"/>
      <c r="GG72" s="335"/>
    </row>
    <row r="73" spans="1:194" ht="14.25" customHeight="1">
      <c r="A73" s="222"/>
      <c r="B73" s="340"/>
      <c r="C73" s="341"/>
      <c r="D73" s="341"/>
      <c r="E73" s="341" t="s">
        <v>508</v>
      </c>
      <c r="F73" s="341"/>
      <c r="G73" s="342">
        <f>G74</f>
        <v>44868925.68</v>
      </c>
      <c r="H73" s="341"/>
      <c r="I73" s="342">
        <f>I74</f>
        <v>36386439.25</v>
      </c>
      <c r="J73" s="341"/>
      <c r="K73" s="342">
        <f>K74</f>
        <v>34239942.68</v>
      </c>
      <c r="L73" s="341"/>
      <c r="M73" s="342">
        <f>M74</f>
        <v>34619442.07</v>
      </c>
      <c r="N73" s="341"/>
      <c r="O73" s="342">
        <f>O74</f>
        <v>27599453.300000001</v>
      </c>
      <c r="P73" s="341"/>
      <c r="Q73" s="342">
        <f>Q74</f>
        <v>23216460.309999999</v>
      </c>
      <c r="R73" s="341"/>
      <c r="S73" s="342">
        <v>27201953.93</v>
      </c>
      <c r="T73" s="341"/>
      <c r="U73" s="342">
        <v>26144456</v>
      </c>
      <c r="V73" s="341"/>
      <c r="W73" s="342">
        <v>14351474</v>
      </c>
      <c r="X73" s="341"/>
      <c r="Y73" s="342">
        <v>6998466</v>
      </c>
      <c r="Z73" s="341"/>
      <c r="AA73" s="342">
        <v>0</v>
      </c>
      <c r="AB73" s="341"/>
      <c r="AC73" s="342">
        <v>0</v>
      </c>
      <c r="AD73" s="341"/>
      <c r="AE73" s="342">
        <v>0</v>
      </c>
      <c r="AF73" s="341"/>
      <c r="AG73" s="342">
        <v>0</v>
      </c>
      <c r="AH73" s="341"/>
      <c r="AI73" s="342">
        <v>0</v>
      </c>
      <c r="AJ73" s="341"/>
      <c r="AK73" s="342">
        <v>0</v>
      </c>
      <c r="AL73" s="341"/>
      <c r="AM73" s="342">
        <v>0</v>
      </c>
      <c r="AN73" s="341"/>
      <c r="AO73" s="342">
        <v>0</v>
      </c>
      <c r="AP73" s="341"/>
      <c r="AQ73" s="342">
        <v>0</v>
      </c>
      <c r="AR73" s="341"/>
      <c r="AS73" s="342">
        <v>0</v>
      </c>
      <c r="AU73" s="342">
        <v>0</v>
      </c>
      <c r="AW73" s="342">
        <v>0</v>
      </c>
      <c r="AY73" s="342">
        <v>0</v>
      </c>
      <c r="BA73" s="342">
        <v>0</v>
      </c>
      <c r="BC73" s="342">
        <v>0</v>
      </c>
      <c r="BE73" s="342">
        <v>0</v>
      </c>
      <c r="BG73" s="342">
        <v>0</v>
      </c>
      <c r="BI73" s="342">
        <v>0</v>
      </c>
      <c r="BK73" s="342">
        <v>0</v>
      </c>
      <c r="BM73" s="342">
        <v>0</v>
      </c>
      <c r="BN73" s="341"/>
      <c r="BO73" s="342">
        <v>0</v>
      </c>
      <c r="BP73" s="341"/>
      <c r="BQ73" s="342">
        <v>0</v>
      </c>
      <c r="BR73" s="341"/>
      <c r="BS73" s="342">
        <v>0</v>
      </c>
      <c r="BT73" s="341"/>
      <c r="BU73" s="342">
        <f>'Notes - Dec25'!BQ133</f>
        <v>0</v>
      </c>
      <c r="BV73" s="341"/>
      <c r="BW73" s="342">
        <v>0</v>
      </c>
      <c r="BX73" s="341"/>
      <c r="BY73" s="342">
        <f>+'Notes - Dec25'!BU133</f>
        <v>0</v>
      </c>
      <c r="BZ73" s="341"/>
      <c r="CA73" s="342">
        <v>7113192.6299999999</v>
      </c>
      <c r="CB73" s="341"/>
      <c r="CC73" s="342">
        <v>10927654.43</v>
      </c>
      <c r="CD73" s="341"/>
      <c r="CE73" s="342">
        <v>11124600.93</v>
      </c>
      <c r="CF73" s="341"/>
      <c r="CG73" s="342">
        <f>+'Notes - Dec25'!CC133</f>
        <v>10455931.109999999</v>
      </c>
      <c r="CH73" s="341"/>
      <c r="CI73" s="342">
        <v>9588283.1799999997</v>
      </c>
      <c r="CJ73" s="341"/>
      <c r="CK73" s="342">
        <v>8796000.5700000003</v>
      </c>
      <c r="CL73" s="341"/>
      <c r="CM73" s="342">
        <f>+'Notes - Dec25'!CI133</f>
        <v>15340363.449999999</v>
      </c>
      <c r="CN73" s="341"/>
      <c r="CO73" s="342">
        <f>+'Notes - Dec25'!CK133</f>
        <v>14514310.130000001</v>
      </c>
      <c r="CP73" s="341"/>
      <c r="CQ73" s="342">
        <f>+'Notes - Dec25'!CM133</f>
        <v>14099615.940000001</v>
      </c>
      <c r="CR73" s="341"/>
      <c r="CS73" s="342">
        <f>+'Notes - Dec25'!CO133</f>
        <v>12928857.9</v>
      </c>
      <c r="CT73" s="341"/>
      <c r="CU73" s="342">
        <f>+'Notes - Dec25'!CQ133</f>
        <v>102618518.78999999</v>
      </c>
      <c r="CV73" s="341"/>
      <c r="CW73" s="342">
        <f>+'Notes - Dec25'!CS133</f>
        <v>14529997.08</v>
      </c>
      <c r="CX73" s="341"/>
      <c r="CY73" s="343">
        <f>+'Notes - Dec25'!CU133</f>
        <v>14366358.68</v>
      </c>
      <c r="CZ73" s="341"/>
      <c r="DA73" s="343">
        <f>+'Notes - Dec25'!CW133</f>
        <v>18606762.75</v>
      </c>
      <c r="DB73" s="341"/>
      <c r="DC73" s="343">
        <f>+'Notes - Dec25'!CY133</f>
        <v>20542310.060000002</v>
      </c>
      <c r="DD73" s="344"/>
      <c r="DE73" s="343">
        <f>+'Notes - Dec25'!DA133</f>
        <v>25183198.729999997</v>
      </c>
      <c r="DF73" s="344"/>
      <c r="DG73" s="343">
        <f>+'Notes - Dec25'!DC133</f>
        <v>26225263.219999999</v>
      </c>
      <c r="DH73" s="344"/>
      <c r="DI73" s="343">
        <f>+'Notes - Dec25'!DE133</f>
        <v>26281479.170000002</v>
      </c>
      <c r="DJ73" s="344"/>
      <c r="DK73" s="666">
        <f>+'Notes - Dec25'!DG133</f>
        <v>25375431.630000003</v>
      </c>
      <c r="DL73" s="659"/>
      <c r="DM73" s="666">
        <f>+'Notes - Dec25'!DI133</f>
        <v>28962932.390000001</v>
      </c>
      <c r="DN73" s="659"/>
      <c r="DO73" s="666">
        <f>+'Notes - Dec25'!DK133</f>
        <v>37919316.07</v>
      </c>
      <c r="DP73" s="659"/>
      <c r="DQ73" s="666">
        <f>+'Notes - Dec25'!DM133</f>
        <v>39959469.869999997</v>
      </c>
      <c r="DR73" s="659"/>
      <c r="DS73" s="666">
        <v>41826726.310000002</v>
      </c>
      <c r="DT73" s="659"/>
      <c r="DU73" s="666">
        <v>41896501.019999996</v>
      </c>
      <c r="DV73" s="659"/>
      <c r="DW73" s="666">
        <v>40517065.978933334</v>
      </c>
      <c r="DX73" s="659"/>
      <c r="DY73" s="666">
        <v>46139959.389418967</v>
      </c>
      <c r="DZ73" s="659"/>
      <c r="EA73" s="666">
        <v>69518953.914973691</v>
      </c>
      <c r="EB73" s="659"/>
      <c r="EC73" s="666">
        <v>71631473.469999999</v>
      </c>
      <c r="ED73" s="659"/>
      <c r="EE73" s="666">
        <v>73912861.764024377</v>
      </c>
      <c r="EF73" s="659"/>
      <c r="EG73" s="666">
        <v>75140394.349999994</v>
      </c>
      <c r="EI73" s="666">
        <v>71878533.420000002</v>
      </c>
      <c r="EK73" s="666">
        <v>74311805.587147415</v>
      </c>
      <c r="EM73" s="666">
        <v>77879149.199999988</v>
      </c>
      <c r="EO73" s="666">
        <v>76642781.629999995</v>
      </c>
      <c r="EQ73" s="666">
        <v>72985577.75999999</v>
      </c>
      <c r="ES73" s="666">
        <v>67489125</v>
      </c>
      <c r="EU73" s="667">
        <v>64993472.020000011</v>
      </c>
      <c r="EV73" s="667"/>
      <c r="EW73" s="667">
        <v>63229455.780000001</v>
      </c>
      <c r="EX73" s="667"/>
      <c r="EY73" s="667">
        <v>49875952.950000003</v>
      </c>
      <c r="EZ73" s="667"/>
      <c r="FA73" s="667">
        <v>47881279.319999993</v>
      </c>
      <c r="FB73" s="667"/>
      <c r="FC73" s="667">
        <v>45432800.469999999</v>
      </c>
      <c r="FD73" s="667"/>
      <c r="FE73" s="667">
        <v>46801173.469999999</v>
      </c>
      <c r="FF73" s="667"/>
      <c r="FG73" s="667">
        <v>47859067.260000005</v>
      </c>
      <c r="FH73" s="667"/>
      <c r="FI73" s="667">
        <v>45351811.719999999</v>
      </c>
      <c r="FJ73" s="667"/>
      <c r="FK73" s="667">
        <v>44862603.659999996</v>
      </c>
      <c r="FL73" s="667"/>
      <c r="FM73" s="667">
        <v>43920546.870000005</v>
      </c>
      <c r="FN73" s="667"/>
      <c r="FO73" s="667">
        <v>33321703.639999997</v>
      </c>
      <c r="FP73" s="667"/>
      <c r="FQ73" s="667">
        <v>33112922.839999996</v>
      </c>
      <c r="FR73" s="667"/>
      <c r="FS73" s="667">
        <v>38579798.619999997</v>
      </c>
      <c r="FT73" s="667"/>
      <c r="FU73" s="667">
        <v>23210195.460000001</v>
      </c>
      <c r="FV73" s="667"/>
      <c r="FW73" s="667">
        <v>23105491.73</v>
      </c>
      <c r="FY73" s="667">
        <v>10613362.610000001</v>
      </c>
      <c r="FZ73" s="667"/>
      <c r="GA73" s="667">
        <v>11475974.739999998</v>
      </c>
      <c r="GB73" s="667"/>
      <c r="GC73" s="667">
        <v>10823876.309999999</v>
      </c>
      <c r="GD73" s="341"/>
      <c r="GE73" s="345"/>
      <c r="GF73" s="345"/>
      <c r="GG73" s="345"/>
      <c r="GH73" s="341"/>
      <c r="GI73" s="341"/>
      <c r="GJ73" s="341"/>
      <c r="GK73" s="341"/>
      <c r="GL73" s="341"/>
    </row>
    <row r="74" spans="1:194" ht="14.25" customHeight="1">
      <c r="A74" s="222"/>
      <c r="B74" s="340"/>
      <c r="C74" s="341"/>
      <c r="D74" s="341"/>
      <c r="E74" s="341" t="s">
        <v>509</v>
      </c>
      <c r="F74" s="341"/>
      <c r="G74" s="342">
        <f>'Notes - Dec25'!C60</f>
        <v>44868925.68</v>
      </c>
      <c r="H74" s="341"/>
      <c r="I74" s="342">
        <f>'Notes - Dec25'!E60</f>
        <v>36386439.25</v>
      </c>
      <c r="J74" s="341"/>
      <c r="K74" s="342">
        <f>'Notes - Dec25'!G60</f>
        <v>34239942.68</v>
      </c>
      <c r="L74" s="341"/>
      <c r="M74" s="342">
        <f>'Notes - Dec25'!I60</f>
        <v>34619442.07</v>
      </c>
      <c r="N74" s="341"/>
      <c r="O74" s="342">
        <f>'Notes - Dec25'!K60</f>
        <v>27599453.300000001</v>
      </c>
      <c r="P74" s="341"/>
      <c r="Q74" s="342">
        <f>'Notes - Dec25'!M60</f>
        <v>23216460.309999999</v>
      </c>
      <c r="R74" s="341"/>
      <c r="S74" s="342">
        <v>27201953.93</v>
      </c>
      <c r="T74" s="341"/>
      <c r="U74" s="342">
        <v>26144456</v>
      </c>
      <c r="V74" s="341"/>
      <c r="W74" s="342">
        <v>14351474</v>
      </c>
      <c r="X74" s="341"/>
      <c r="Y74" s="342">
        <v>6998466</v>
      </c>
      <c r="Z74" s="341"/>
      <c r="AA74" s="342">
        <v>0</v>
      </c>
      <c r="AB74" s="341"/>
      <c r="AC74" s="342">
        <v>0</v>
      </c>
      <c r="AD74" s="341"/>
      <c r="AE74" s="342">
        <v>0</v>
      </c>
      <c r="AF74" s="341"/>
      <c r="AG74" s="342">
        <v>0</v>
      </c>
      <c r="AH74" s="341"/>
      <c r="AI74" s="342">
        <v>0</v>
      </c>
      <c r="AJ74" s="341"/>
      <c r="AK74" s="342">
        <v>0</v>
      </c>
      <c r="AL74" s="341"/>
      <c r="AM74" s="342">
        <v>0</v>
      </c>
      <c r="AN74" s="341"/>
      <c r="AO74" s="342">
        <v>0</v>
      </c>
      <c r="AP74" s="341"/>
      <c r="AQ74" s="342">
        <v>0</v>
      </c>
      <c r="AR74" s="341"/>
      <c r="AS74" s="342">
        <v>0</v>
      </c>
      <c r="AU74" s="342">
        <v>0</v>
      </c>
      <c r="AW74" s="342">
        <v>0</v>
      </c>
      <c r="AY74" s="342">
        <v>0</v>
      </c>
      <c r="BA74" s="342">
        <v>0</v>
      </c>
      <c r="BC74" s="342">
        <v>0</v>
      </c>
      <c r="BE74" s="342">
        <v>0</v>
      </c>
      <c r="BG74" s="342">
        <v>0</v>
      </c>
      <c r="BI74" s="342">
        <v>0</v>
      </c>
      <c r="BK74" s="342">
        <v>0</v>
      </c>
      <c r="BM74" s="342">
        <v>0</v>
      </c>
      <c r="BN74" s="341"/>
      <c r="BO74" s="342">
        <v>0</v>
      </c>
      <c r="BP74" s="341"/>
      <c r="BQ74" s="342">
        <v>0</v>
      </c>
      <c r="BR74" s="341"/>
      <c r="BS74" s="342">
        <v>0</v>
      </c>
      <c r="BT74" s="341"/>
      <c r="BU74" s="342">
        <f>'Notes - Dec25'!BQ144</f>
        <v>0</v>
      </c>
      <c r="BV74" s="341"/>
      <c r="BW74" s="342">
        <v>0</v>
      </c>
      <c r="BX74" s="341"/>
      <c r="BY74" s="342">
        <f>+'Notes - Dec25'!BU144</f>
        <v>0</v>
      </c>
      <c r="BZ74" s="341"/>
      <c r="CA74" s="342">
        <v>7113192.6299999999</v>
      </c>
      <c r="CB74" s="341"/>
      <c r="CC74" s="342">
        <v>10927654.43</v>
      </c>
      <c r="CD74" s="341"/>
      <c r="CE74" s="342">
        <v>11124600.93</v>
      </c>
      <c r="CF74" s="341"/>
      <c r="CG74" s="342">
        <f>+'Notes - Dec25'!CC144</f>
        <v>10455931.109999999</v>
      </c>
      <c r="CH74" s="341"/>
      <c r="CI74" s="342">
        <v>9588283.1799999997</v>
      </c>
      <c r="CJ74" s="341"/>
      <c r="CK74" s="342">
        <v>8796000.5700000003</v>
      </c>
      <c r="CL74" s="341"/>
      <c r="CM74" s="342">
        <f>+'Notes - Dec25'!CI144</f>
        <v>14319880.060582232</v>
      </c>
      <c r="CN74" s="341"/>
      <c r="CO74" s="342">
        <f>+'Notes - Dec25'!CK144</f>
        <v>13437401.2971</v>
      </c>
      <c r="CP74" s="341"/>
      <c r="CQ74" s="342">
        <f>+'Notes - Dec25'!CM144</f>
        <v>13053666.87621641</v>
      </c>
      <c r="CR74" s="341"/>
      <c r="CS74" s="342">
        <f>+'Notes - Dec25'!CO144</f>
        <v>11720428.340770647</v>
      </c>
      <c r="CT74" s="341"/>
      <c r="CU74" s="342">
        <f>+'Notes - Dec25'!CQ144</f>
        <v>101579809.94986139</v>
      </c>
      <c r="CV74" s="341"/>
      <c r="CW74" s="342">
        <f>+'Notes - Dec25'!CS144</f>
        <v>10836586.77</v>
      </c>
      <c r="CX74" s="341"/>
      <c r="CY74" s="343">
        <f>+'Notes - Dec25'!CU144</f>
        <v>13315929.934907949</v>
      </c>
      <c r="CZ74" s="341"/>
      <c r="DA74" s="343">
        <f>+'Notes - Dec25'!CW144</f>
        <v>17241372.5</v>
      </c>
      <c r="DB74" s="341"/>
      <c r="DC74" s="343">
        <f>+'Notes - Dec25'!CY144</f>
        <v>19345982.32</v>
      </c>
      <c r="DD74" s="344"/>
      <c r="DE74" s="343">
        <f>+'Notes - Dec25'!DA144</f>
        <v>23801301.57</v>
      </c>
      <c r="DF74" s="344"/>
      <c r="DG74" s="343">
        <f>+'Notes - Dec25'!DC144</f>
        <v>25023106.229999997</v>
      </c>
      <c r="DH74" s="344"/>
      <c r="DI74" s="343">
        <f>+'Notes - Dec25'!DE144</f>
        <v>21986315.990000002</v>
      </c>
      <c r="DJ74" s="344"/>
      <c r="DK74" s="666">
        <f>+'Notes - Dec25'!DG144</f>
        <v>18336890.890000001</v>
      </c>
      <c r="DL74" s="659"/>
      <c r="DM74" s="666">
        <f>+'Notes - Dec25'!DI144</f>
        <v>28819028.16</v>
      </c>
      <c r="DN74" s="659"/>
      <c r="DO74" s="666">
        <f>+'Notes - Dec25'!DK144</f>
        <v>37432043.439999998</v>
      </c>
      <c r="DP74" s="659"/>
      <c r="DQ74" s="666">
        <f>+'Notes - Dec25'!DM144</f>
        <v>39717585.310000002</v>
      </c>
      <c r="DR74" s="659"/>
      <c r="DS74" s="666">
        <v>41790431.899999999</v>
      </c>
      <c r="DT74" s="659"/>
      <c r="DU74" s="666">
        <v>41196304.619999997</v>
      </c>
      <c r="DV74" s="659"/>
      <c r="DW74" s="666">
        <v>43883720.870000005</v>
      </c>
      <c r="DX74" s="659"/>
      <c r="DY74" s="666">
        <v>45473136.460000001</v>
      </c>
      <c r="DZ74" s="659"/>
      <c r="EA74" s="666">
        <v>66091969.130000003</v>
      </c>
      <c r="EB74" s="659"/>
      <c r="EC74" s="666">
        <v>67906122.430000007</v>
      </c>
      <c r="ED74" s="659"/>
      <c r="EE74" s="666">
        <v>69495225.156614155</v>
      </c>
      <c r="EF74" s="659"/>
      <c r="EG74" s="666">
        <v>71051834.650000006</v>
      </c>
      <c r="EI74" s="666">
        <v>64591356.950000003</v>
      </c>
      <c r="EK74" s="666">
        <v>69601311.372092366</v>
      </c>
      <c r="EM74" s="666">
        <v>72997631.460000008</v>
      </c>
      <c r="EO74" s="666">
        <v>71614817.486219898</v>
      </c>
      <c r="EQ74" s="666">
        <v>58104622.632272005</v>
      </c>
      <c r="ES74" s="666">
        <v>54581863.870000005</v>
      </c>
      <c r="EU74" s="667">
        <v>52403921.850000001</v>
      </c>
      <c r="EV74" s="667"/>
      <c r="EW74" s="667">
        <v>42283306.980000004</v>
      </c>
      <c r="EX74" s="667"/>
      <c r="EY74" s="667">
        <v>28230519.270000003</v>
      </c>
      <c r="EZ74" s="667"/>
      <c r="FA74" s="667">
        <v>24360519.270000003</v>
      </c>
      <c r="FB74" s="667"/>
      <c r="FC74" s="667">
        <v>24490038</v>
      </c>
      <c r="FD74" s="667"/>
      <c r="FE74" s="667">
        <v>23223738.600000001</v>
      </c>
      <c r="FF74" s="667"/>
      <c r="FG74" s="667">
        <v>22979134.229999997</v>
      </c>
      <c r="FH74" s="667"/>
      <c r="FI74" s="667">
        <v>42391199.899999999</v>
      </c>
      <c r="FJ74" s="667"/>
      <c r="FK74" s="667">
        <v>41972194.379999995</v>
      </c>
      <c r="FL74" s="667"/>
      <c r="FM74" s="667">
        <v>40843583.240000002</v>
      </c>
      <c r="FN74" s="667"/>
      <c r="FO74" s="667">
        <v>30297449.489999998</v>
      </c>
      <c r="FP74" s="667"/>
      <c r="FQ74" s="667">
        <v>30153373.169999998</v>
      </c>
      <c r="FR74" s="667"/>
      <c r="FS74" s="667">
        <v>34084205.740000002</v>
      </c>
      <c r="FT74" s="667"/>
      <c r="FU74" s="667">
        <v>18792935.830000002</v>
      </c>
      <c r="FV74" s="667"/>
      <c r="FW74" s="667">
        <v>18546624</v>
      </c>
      <c r="FY74" s="667">
        <v>6856720</v>
      </c>
      <c r="FZ74" s="667"/>
      <c r="GA74" s="667">
        <v>6853724.2000000002</v>
      </c>
      <c r="GB74" s="667"/>
      <c r="GC74" s="667">
        <v>6274740.375</v>
      </c>
      <c r="GD74" s="341"/>
      <c r="GE74" s="345"/>
      <c r="GF74" s="345"/>
      <c r="GG74" s="345"/>
      <c r="GH74" s="341"/>
      <c r="GI74" s="341"/>
      <c r="GJ74" s="341"/>
      <c r="GK74" s="341"/>
      <c r="GL74" s="341"/>
    </row>
    <row r="75" spans="1:194" ht="14.25" customHeight="1">
      <c r="B75" s="340"/>
      <c r="C75" s="341"/>
      <c r="D75" s="341"/>
      <c r="E75" s="341" t="s">
        <v>510</v>
      </c>
      <c r="F75" s="341"/>
      <c r="G75" s="342">
        <v>0</v>
      </c>
      <c r="H75" s="341"/>
      <c r="I75" s="342">
        <v>0</v>
      </c>
      <c r="J75" s="341"/>
      <c r="K75" s="342">
        <v>0</v>
      </c>
      <c r="L75" s="341"/>
      <c r="M75" s="342">
        <v>0</v>
      </c>
      <c r="N75" s="341"/>
      <c r="O75" s="342">
        <v>0</v>
      </c>
      <c r="P75" s="341"/>
      <c r="Q75" s="342">
        <v>0</v>
      </c>
      <c r="R75" s="341"/>
      <c r="S75" s="342">
        <v>0</v>
      </c>
      <c r="T75" s="341"/>
      <c r="U75" s="342">
        <v>0</v>
      </c>
      <c r="V75" s="341"/>
      <c r="W75" s="342">
        <v>0</v>
      </c>
      <c r="X75" s="341"/>
      <c r="Y75" s="342">
        <v>0</v>
      </c>
      <c r="Z75" s="341"/>
      <c r="AA75" s="342">
        <v>0</v>
      </c>
      <c r="AB75" s="341"/>
      <c r="AC75" s="342">
        <v>0</v>
      </c>
      <c r="AD75" s="341"/>
      <c r="AE75" s="342">
        <v>0</v>
      </c>
      <c r="AF75" s="341"/>
      <c r="AG75" s="342">
        <v>0</v>
      </c>
      <c r="AH75" s="341"/>
      <c r="AI75" s="342">
        <v>0</v>
      </c>
      <c r="AJ75" s="341"/>
      <c r="AK75" s="342">
        <v>0</v>
      </c>
      <c r="AL75" s="341"/>
      <c r="AM75" s="342">
        <v>0</v>
      </c>
      <c r="AN75" s="341"/>
      <c r="AO75" s="342">
        <v>0</v>
      </c>
      <c r="AP75" s="341"/>
      <c r="AQ75" s="342">
        <v>0</v>
      </c>
      <c r="AR75" s="341"/>
      <c r="AS75" s="342">
        <v>0</v>
      </c>
      <c r="AU75" s="342">
        <v>0</v>
      </c>
      <c r="AW75" s="342">
        <v>0</v>
      </c>
      <c r="AY75" s="342">
        <v>0</v>
      </c>
      <c r="BA75" s="342">
        <v>0</v>
      </c>
      <c r="BC75" s="342">
        <v>0</v>
      </c>
      <c r="BE75" s="342">
        <v>0</v>
      </c>
      <c r="BG75" s="342">
        <v>0</v>
      </c>
      <c r="BI75" s="342">
        <v>0</v>
      </c>
      <c r="BK75" s="342">
        <v>0</v>
      </c>
      <c r="BM75" s="342">
        <v>0</v>
      </c>
      <c r="BN75" s="341"/>
      <c r="BO75" s="342">
        <v>0</v>
      </c>
      <c r="BP75" s="341"/>
      <c r="BQ75" s="342">
        <v>0</v>
      </c>
      <c r="BR75" s="341"/>
      <c r="BS75" s="342">
        <v>0</v>
      </c>
      <c r="BT75" s="341"/>
      <c r="BU75" s="342">
        <f>'Notes - Dec25'!BQ146</f>
        <v>0</v>
      </c>
      <c r="BV75" s="341"/>
      <c r="BW75" s="342">
        <v>0</v>
      </c>
      <c r="BX75" s="341"/>
      <c r="BY75" s="342">
        <f>+'Notes - Dec25'!BU146</f>
        <v>0</v>
      </c>
      <c r="BZ75" s="341"/>
      <c r="CA75" s="342">
        <v>0</v>
      </c>
      <c r="CB75" s="341"/>
      <c r="CC75" s="342">
        <v>0</v>
      </c>
      <c r="CD75" s="341"/>
      <c r="CE75" s="342">
        <v>0</v>
      </c>
      <c r="CF75" s="341"/>
      <c r="CG75" s="342">
        <f>+'Notes - Dec25'!CC146</f>
        <v>0</v>
      </c>
      <c r="CH75" s="341"/>
      <c r="CI75" s="342">
        <v>0</v>
      </c>
      <c r="CJ75" s="341"/>
      <c r="CK75" s="342">
        <v>0</v>
      </c>
      <c r="CL75" s="341"/>
      <c r="CM75" s="342">
        <f>+'Notes - Dec25'!CI146</f>
        <v>1020483.3894177675</v>
      </c>
      <c r="CN75" s="341"/>
      <c r="CO75" s="342">
        <f>+'Notes - Dec25'!CK146</f>
        <v>1076908.8329000007</v>
      </c>
      <c r="CP75" s="341"/>
      <c r="CQ75" s="342">
        <f>+'Notes - Dec25'!CM146</f>
        <v>1045949.0637835916</v>
      </c>
      <c r="CR75" s="341"/>
      <c r="CS75" s="342">
        <f>+'Notes - Dec25'!CO146</f>
        <v>1208429.5592293534</v>
      </c>
      <c r="CT75" s="341"/>
      <c r="CU75" s="342">
        <f>+'Notes - Dec25'!CQ146</f>
        <v>1038708.8401385993</v>
      </c>
      <c r="CV75" s="341"/>
      <c r="CW75" s="342">
        <f>+'Notes - Dec25'!CS146</f>
        <v>3693410.3100000005</v>
      </c>
      <c r="CX75" s="341"/>
      <c r="CY75" s="343">
        <f>+'Notes - Dec25'!CU146</f>
        <v>1050428.7450920511</v>
      </c>
      <c r="CZ75" s="341"/>
      <c r="DA75" s="343">
        <f>+'Notes - Dec25'!CW146</f>
        <v>1365390.25</v>
      </c>
      <c r="DB75" s="341"/>
      <c r="DC75" s="343">
        <f>+'Notes - Dec25'!CY146</f>
        <v>1196327.7400000021</v>
      </c>
      <c r="DD75" s="344"/>
      <c r="DE75" s="343">
        <f>+'Notes - Dec25'!DA146</f>
        <v>1381897.1599999964</v>
      </c>
      <c r="DF75" s="344"/>
      <c r="DG75" s="343">
        <f>+'Notes - Dec25'!DC146</f>
        <v>1202156.9900000021</v>
      </c>
      <c r="DH75" s="344"/>
      <c r="DI75" s="343">
        <f>+'Notes - Dec25'!DE146</f>
        <v>4295163.18</v>
      </c>
      <c r="DJ75" s="344"/>
      <c r="DK75" s="666">
        <f>+'Notes - Dec25'!DG146</f>
        <v>7038540.7400000021</v>
      </c>
      <c r="DL75" s="659"/>
      <c r="DM75" s="666">
        <f>+'Notes - Dec25'!DI146</f>
        <v>143904.23000000045</v>
      </c>
      <c r="DN75" s="659"/>
      <c r="DO75" s="666">
        <f>+'Notes - Dec25'!DK146</f>
        <v>487272.63000000268</v>
      </c>
      <c r="DP75" s="659"/>
      <c r="DQ75" s="666">
        <f>+'Notes - Dec25'!DM146</f>
        <v>241884.55999999493</v>
      </c>
      <c r="DR75" s="659"/>
      <c r="DS75" s="666">
        <v>36294.410000003874</v>
      </c>
      <c r="DT75" s="659"/>
      <c r="DU75" s="666">
        <v>700196.39999999851</v>
      </c>
      <c r="DV75" s="659"/>
      <c r="DW75" s="666">
        <v>-3366654.8910666704</v>
      </c>
      <c r="DX75" s="659"/>
      <c r="DY75" s="666">
        <v>666822.92941896617</v>
      </c>
      <c r="DZ75" s="659"/>
      <c r="EA75" s="666">
        <v>3426984.7849736884</v>
      </c>
      <c r="EB75" s="659"/>
      <c r="EC75" s="666">
        <v>3725351.0399999917</v>
      </c>
      <c r="ED75" s="659"/>
      <c r="EE75" s="666">
        <v>4417636.6074102223</v>
      </c>
      <c r="EF75" s="659"/>
      <c r="EG75" s="666">
        <v>4088559.6999999881</v>
      </c>
      <c r="EI75" s="666">
        <v>7287176.4699999988</v>
      </c>
      <c r="EK75" s="666">
        <v>4710494.2150550485</v>
      </c>
      <c r="EM75" s="666">
        <v>4881517.7399999797</v>
      </c>
      <c r="EO75" s="666">
        <v>5027964.1437800974</v>
      </c>
      <c r="EQ75" s="666">
        <v>14880955.127727985</v>
      </c>
      <c r="ES75" s="666">
        <v>12907261.129999995</v>
      </c>
      <c r="EU75" s="667">
        <v>12589550.170000009</v>
      </c>
      <c r="EV75" s="667"/>
      <c r="EW75" s="667">
        <v>20946148.799999997</v>
      </c>
      <c r="EX75" s="667"/>
      <c r="EY75" s="667">
        <v>21645433.68</v>
      </c>
      <c r="EZ75" s="667"/>
      <c r="FA75" s="667">
        <v>23520760.04999999</v>
      </c>
      <c r="FB75" s="667"/>
      <c r="FC75" s="667">
        <v>20942762.469999999</v>
      </c>
      <c r="FD75" s="667"/>
      <c r="FE75" s="667">
        <v>23577434.869999997</v>
      </c>
      <c r="FF75" s="667"/>
      <c r="FG75" s="667">
        <v>24879933.030000009</v>
      </c>
      <c r="FH75" s="667"/>
      <c r="FI75" s="667">
        <v>2960611.8200000003</v>
      </c>
      <c r="FJ75" s="667"/>
      <c r="FK75" s="667">
        <v>2890409.2800000012</v>
      </c>
      <c r="FL75" s="667"/>
      <c r="FM75" s="667">
        <v>3076963.6300000027</v>
      </c>
      <c r="FN75" s="667"/>
      <c r="FO75" s="667">
        <v>3024254.1499999985</v>
      </c>
      <c r="FP75" s="667"/>
      <c r="FQ75" s="667">
        <v>2959549.6699999981</v>
      </c>
      <c r="FR75" s="667"/>
      <c r="FS75" s="667">
        <v>4495592.8799999952</v>
      </c>
      <c r="FT75" s="667"/>
      <c r="FU75" s="667">
        <v>4417259.629999999</v>
      </c>
      <c r="FV75" s="667"/>
      <c r="FW75" s="667">
        <v>4558867.7300000004</v>
      </c>
      <c r="FY75" s="667">
        <v>3756642.6100000013</v>
      </c>
      <c r="FZ75" s="667"/>
      <c r="GA75" s="667">
        <v>4622250.5399999982</v>
      </c>
      <c r="GB75" s="667"/>
      <c r="GC75" s="667">
        <v>4549135.9349999987</v>
      </c>
      <c r="GD75" s="341"/>
      <c r="GE75" s="345"/>
      <c r="GF75" s="345"/>
      <c r="GG75" s="345"/>
      <c r="GH75" s="341"/>
      <c r="GI75" s="341"/>
      <c r="GJ75" s="341"/>
      <c r="GK75" s="341"/>
      <c r="GL75" s="341"/>
    </row>
    <row r="76" spans="1:194" ht="14.25" customHeight="1">
      <c r="B76" s="340"/>
      <c r="C76" s="341"/>
      <c r="D76" s="341"/>
      <c r="E76" s="341" t="s">
        <v>232</v>
      </c>
      <c r="F76" s="341"/>
      <c r="G76" s="342">
        <f>+G53</f>
        <v>805226197.70000005</v>
      </c>
      <c r="H76" s="341"/>
      <c r="I76" s="342">
        <f>+I53</f>
        <v>557381569.10150695</v>
      </c>
      <c r="J76" s="341"/>
      <c r="K76" s="342">
        <f>+K53</f>
        <v>800448443.55083036</v>
      </c>
      <c r="L76" s="341"/>
      <c r="M76" s="342">
        <f>+M53</f>
        <v>798559795.18083036</v>
      </c>
      <c r="N76" s="341"/>
      <c r="O76" s="342">
        <f>+O53</f>
        <v>804190230.38999999</v>
      </c>
      <c r="P76" s="341"/>
      <c r="Q76" s="342">
        <f>+Q53</f>
        <v>800641531.87083042</v>
      </c>
      <c r="R76" s="341"/>
      <c r="S76" s="342">
        <v>881685771.9000001</v>
      </c>
      <c r="T76" s="341"/>
      <c r="U76" s="342">
        <v>879810443.78000009</v>
      </c>
      <c r="V76" s="341"/>
      <c r="W76" s="342">
        <v>888569415.62683225</v>
      </c>
      <c r="X76" s="341"/>
      <c r="Y76" s="342">
        <f>+Y53</f>
        <v>554076880.5</v>
      </c>
      <c r="Z76" s="341"/>
      <c r="AA76" s="342">
        <f>+AA53</f>
        <v>560518584.10000002</v>
      </c>
      <c r="AB76" s="341"/>
      <c r="AC76" s="342">
        <v>633550828.04999995</v>
      </c>
      <c r="AD76" s="341"/>
      <c r="AE76" s="342">
        <v>637729313.19000006</v>
      </c>
      <c r="AF76" s="341"/>
      <c r="AG76" s="342">
        <v>638340523.90999997</v>
      </c>
      <c r="AH76" s="341"/>
      <c r="AI76" s="342">
        <v>638936637.18000007</v>
      </c>
      <c r="AJ76" s="341"/>
      <c r="AK76" s="342">
        <v>641882567.62</v>
      </c>
      <c r="AL76" s="341"/>
      <c r="AM76" s="342">
        <v>642276932.21000004</v>
      </c>
      <c r="AN76" s="341"/>
      <c r="AO76" s="342">
        <v>641436337</v>
      </c>
      <c r="AP76" s="341"/>
      <c r="AQ76" s="342">
        <v>639583918.85000002</v>
      </c>
      <c r="AR76" s="341"/>
      <c r="AS76" s="342">
        <v>641468069.67999995</v>
      </c>
      <c r="AU76" s="342">
        <v>642507688.91000009</v>
      </c>
      <c r="AW76" s="342">
        <f>+AW53</f>
        <v>637381142.38999999</v>
      </c>
      <c r="AY76" s="342">
        <v>637381142.38999999</v>
      </c>
      <c r="BA76" s="342">
        <v>636490030.63999999</v>
      </c>
      <c r="BC76" s="342">
        <v>633448024.21000004</v>
      </c>
      <c r="BE76" s="342">
        <v>629403132.83000004</v>
      </c>
      <c r="BG76" s="342">
        <v>628339096.33000004</v>
      </c>
      <c r="BI76" s="342">
        <v>627344290.20000005</v>
      </c>
      <c r="BK76" s="342">
        <v>626724299.25999999</v>
      </c>
      <c r="BM76" s="342">
        <v>626798742.63</v>
      </c>
      <c r="BN76" s="341"/>
      <c r="BO76" s="342">
        <v>625152772.38</v>
      </c>
      <c r="BP76" s="341"/>
      <c r="BQ76" s="342">
        <v>622907473.91999996</v>
      </c>
      <c r="BR76" s="341"/>
      <c r="BS76" s="342">
        <v>620029783.80999994</v>
      </c>
      <c r="BT76" s="341"/>
      <c r="BU76" s="342">
        <f>+BU53</f>
        <v>618949702.19000006</v>
      </c>
      <c r="BV76" s="341"/>
      <c r="BW76" s="342">
        <v>618310883.98899996</v>
      </c>
      <c r="BX76" s="341"/>
      <c r="BY76" s="342">
        <f>+BY53</f>
        <v>628212132.21899998</v>
      </c>
      <c r="BZ76" s="341"/>
      <c r="CA76" s="342">
        <v>198678328.61899996</v>
      </c>
      <c r="CB76" s="341"/>
      <c r="CC76" s="342">
        <v>198813802.28899997</v>
      </c>
      <c r="CD76" s="341"/>
      <c r="CE76" s="342">
        <v>205991898.609</v>
      </c>
      <c r="CF76" s="341"/>
      <c r="CG76" s="342">
        <f>+CG53</f>
        <v>205350008.89899999</v>
      </c>
      <c r="CH76" s="341"/>
      <c r="CI76" s="342">
        <v>202365370.11899999</v>
      </c>
      <c r="CJ76" s="341"/>
      <c r="CK76" s="342">
        <v>199189447.639</v>
      </c>
      <c r="CL76" s="341"/>
      <c r="CM76" s="342">
        <f>+CM53</f>
        <v>197814195.109</v>
      </c>
      <c r="CN76" s="341"/>
      <c r="CO76" s="342">
        <f>+CO53</f>
        <v>194673846.68899998</v>
      </c>
      <c r="CP76" s="341"/>
      <c r="CQ76" s="342">
        <f>+CQ53</f>
        <v>195645764.49900001</v>
      </c>
      <c r="CR76" s="341"/>
      <c r="CS76" s="342">
        <f>+CS53</f>
        <v>188425403.89000002</v>
      </c>
      <c r="CT76" s="341"/>
      <c r="CU76" s="342">
        <f>+CU53</f>
        <v>102934429.29000001</v>
      </c>
      <c r="CV76" s="341"/>
      <c r="CW76" s="342">
        <f>+CW53</f>
        <v>152715907.59</v>
      </c>
      <c r="CX76" s="341"/>
      <c r="CY76" s="343">
        <f>+CY53</f>
        <v>107602697.31</v>
      </c>
      <c r="CZ76" s="341"/>
      <c r="DA76" s="343">
        <f>+DA53</f>
        <v>106553858.94</v>
      </c>
      <c r="DB76" s="341"/>
      <c r="DC76" s="343">
        <f>+DC53</f>
        <v>107557026.02</v>
      </c>
      <c r="DD76" s="344"/>
      <c r="DE76" s="343">
        <f>+DE53</f>
        <v>108154578.64999999</v>
      </c>
      <c r="DF76" s="344"/>
      <c r="DG76" s="343">
        <f>+DG53</f>
        <v>107924511.19</v>
      </c>
      <c r="DH76" s="344"/>
      <c r="DI76" s="343">
        <f>+DI53</f>
        <v>107796951.84</v>
      </c>
      <c r="DJ76" s="344"/>
      <c r="DK76" s="666">
        <f>+DK53</f>
        <v>106680830.55</v>
      </c>
      <c r="DL76" s="659"/>
      <c r="DM76" s="666">
        <f>+DM53</f>
        <v>106202573.95999999</v>
      </c>
      <c r="DN76" s="659"/>
      <c r="DO76" s="666">
        <f>+DO53</f>
        <v>105361632.56</v>
      </c>
      <c r="DP76" s="659"/>
      <c r="DQ76" s="666">
        <f>+DQ53</f>
        <v>104107446.28999999</v>
      </c>
      <c r="DR76" s="659"/>
      <c r="DS76" s="666">
        <v>103694409.42999999</v>
      </c>
      <c r="DT76" s="659"/>
      <c r="DU76" s="666">
        <v>103836502.88</v>
      </c>
      <c r="DV76" s="659"/>
      <c r="DW76" s="666">
        <v>102927624.31</v>
      </c>
      <c r="DX76" s="659"/>
      <c r="DY76" s="666">
        <v>102193067.19</v>
      </c>
      <c r="DZ76" s="659"/>
      <c r="EA76" s="666">
        <v>101563930.7</v>
      </c>
      <c r="EB76" s="659"/>
      <c r="EC76" s="666">
        <v>100674814.53999999</v>
      </c>
      <c r="ED76" s="659"/>
      <c r="EE76" s="666">
        <v>100122357.12</v>
      </c>
      <c r="EF76" s="659"/>
      <c r="EG76" s="666">
        <v>99185937.25</v>
      </c>
      <c r="EI76" s="666">
        <v>99364897.590000004</v>
      </c>
      <c r="EK76" s="666">
        <v>100729579.20999999</v>
      </c>
      <c r="EM76" s="666">
        <v>102546494.78999999</v>
      </c>
      <c r="EO76" s="666">
        <v>104367161.03</v>
      </c>
      <c r="EQ76" s="666">
        <v>106476544.97</v>
      </c>
      <c r="ES76" s="666">
        <v>108456971.22999999</v>
      </c>
      <c r="EU76" s="667">
        <v>107830844.61999999</v>
      </c>
      <c r="EV76" s="667"/>
      <c r="EW76" s="667">
        <v>108178892.67999999</v>
      </c>
      <c r="EX76" s="667"/>
      <c r="EY76" s="667">
        <v>108779599.05</v>
      </c>
      <c r="EZ76" s="667"/>
      <c r="FA76" s="667">
        <v>108267676.59</v>
      </c>
      <c r="FB76" s="667"/>
      <c r="FC76" s="667">
        <v>108167362.59</v>
      </c>
      <c r="FD76" s="667"/>
      <c r="FE76" s="667">
        <v>107364336.34999999</v>
      </c>
      <c r="FF76" s="667"/>
      <c r="FG76" s="667">
        <v>107591990.07000001</v>
      </c>
      <c r="FH76" s="667"/>
      <c r="FI76" s="667">
        <v>21695943.629999999</v>
      </c>
      <c r="FJ76" s="667"/>
      <c r="FK76" s="667">
        <v>21083322.359999999</v>
      </c>
      <c r="FL76" s="667"/>
      <c r="FM76" s="667">
        <v>20483098.919999998</v>
      </c>
      <c r="FN76" s="667"/>
      <c r="FO76" s="667">
        <v>19722655.599999998</v>
      </c>
      <c r="FP76" s="667"/>
      <c r="FQ76" s="667">
        <v>20098976.850000001</v>
      </c>
      <c r="FR76" s="667"/>
      <c r="FS76" s="667">
        <v>19022545.5</v>
      </c>
      <c r="FT76" s="667"/>
      <c r="FU76" s="667">
        <v>19363081.120000001</v>
      </c>
      <c r="FV76" s="667"/>
      <c r="FW76" s="667">
        <v>19345917.5</v>
      </c>
      <c r="FY76" s="667">
        <v>19284253.190000001</v>
      </c>
      <c r="FZ76" s="667"/>
      <c r="GA76" s="667">
        <v>19206556.449999999</v>
      </c>
      <c r="GB76" s="667"/>
      <c r="GC76" s="667">
        <v>18915538.449999999</v>
      </c>
      <c r="GD76" s="341"/>
      <c r="GE76" s="345"/>
      <c r="GF76" s="345"/>
      <c r="GG76" s="345"/>
      <c r="GH76" s="341"/>
      <c r="GI76" s="341"/>
      <c r="GJ76" s="341"/>
      <c r="GK76" s="341"/>
      <c r="GL76" s="341"/>
    </row>
    <row r="77" spans="1:194" ht="14.25" customHeight="1">
      <c r="B77" s="334"/>
      <c r="C77" s="222"/>
      <c r="D77" s="222"/>
      <c r="E77" s="222"/>
      <c r="F77" s="222" t="s">
        <v>511</v>
      </c>
      <c r="G77" s="349">
        <f>G75/G76</f>
        <v>0</v>
      </c>
      <c r="H77" s="222"/>
      <c r="I77" s="349">
        <f>I75/I76</f>
        <v>0</v>
      </c>
      <c r="J77" s="222"/>
      <c r="K77" s="349">
        <f>K75/K76</f>
        <v>0</v>
      </c>
      <c r="L77" s="222"/>
      <c r="M77" s="349">
        <f>M75/M76</f>
        <v>0</v>
      </c>
      <c r="N77" s="222"/>
      <c r="O77" s="349">
        <f>O75/O76</f>
        <v>0</v>
      </c>
      <c r="P77" s="222"/>
      <c r="Q77" s="349">
        <f>Q75/Q76</f>
        <v>0</v>
      </c>
      <c r="R77" s="222"/>
      <c r="S77" s="349">
        <v>0</v>
      </c>
      <c r="T77" s="222"/>
      <c r="U77" s="349">
        <v>0</v>
      </c>
      <c r="V77" s="222"/>
      <c r="W77" s="349">
        <v>0</v>
      </c>
      <c r="X77" s="222"/>
      <c r="Y77" s="349">
        <f>Y75/Y76</f>
        <v>0</v>
      </c>
      <c r="Z77" s="222"/>
      <c r="AA77" s="349">
        <f>AA75/AA76</f>
        <v>0</v>
      </c>
      <c r="AB77" s="222"/>
      <c r="AC77" s="349">
        <v>0</v>
      </c>
      <c r="AD77" s="222"/>
      <c r="AE77" s="349">
        <v>0</v>
      </c>
      <c r="AF77" s="222"/>
      <c r="AG77" s="349">
        <v>0</v>
      </c>
      <c r="AH77" s="222"/>
      <c r="AI77" s="349">
        <v>0</v>
      </c>
      <c r="AJ77" s="222"/>
      <c r="AK77" s="349">
        <v>0</v>
      </c>
      <c r="AL77" s="222"/>
      <c r="AM77" s="349">
        <v>0</v>
      </c>
      <c r="AN77" s="222"/>
      <c r="AO77" s="349">
        <v>0</v>
      </c>
      <c r="AP77" s="222"/>
      <c r="AQ77" s="349">
        <v>0</v>
      </c>
      <c r="AR77" s="222"/>
      <c r="AS77" s="349">
        <v>0</v>
      </c>
      <c r="AT77" s="808" t="str">
        <f>IF(AS77-AU77=0,"Investigate","Fine")</f>
        <v>Investigate</v>
      </c>
      <c r="AU77" s="349">
        <v>0</v>
      </c>
      <c r="AV77" s="808" t="str">
        <f>IF(AU77-AW77=0,"Investigate","Fine")</f>
        <v>Investigate</v>
      </c>
      <c r="AW77" s="349">
        <f>AW75/AW76</f>
        <v>0</v>
      </c>
      <c r="AX77" s="808" t="str">
        <f>IF(AW77-AY77=0,"Investigate","Fine")</f>
        <v>Investigate</v>
      </c>
      <c r="AY77" s="349">
        <v>0</v>
      </c>
      <c r="AZ77" s="808" t="str">
        <f>IF(AY77-BA77=0,"Investigate","Fine")</f>
        <v>Investigate</v>
      </c>
      <c r="BA77" s="349">
        <v>0</v>
      </c>
      <c r="BB77" s="808" t="str">
        <f>IF(BA77-BC77=0,"Investigate","Fine")</f>
        <v>Investigate</v>
      </c>
      <c r="BC77" s="349">
        <v>0</v>
      </c>
      <c r="BD77" s="808" t="str">
        <f>IF(BC77-BE77=0,"Investigate","Fine")</f>
        <v>Investigate</v>
      </c>
      <c r="BE77" s="349">
        <v>0</v>
      </c>
      <c r="BF77" s="808" t="str">
        <f>IF(BE77-BG77=0,"Investigate","Fine")</f>
        <v>Investigate</v>
      </c>
      <c r="BG77" s="349">
        <v>0</v>
      </c>
      <c r="BH77" s="808" t="str">
        <f>IF(BG77-BI77=0,"Investigate","Fine")</f>
        <v>Investigate</v>
      </c>
      <c r="BI77" s="349">
        <v>0</v>
      </c>
      <c r="BJ77" s="808" t="str">
        <f>IF(BI77-BK77=0,"Investigate","Fine")</f>
        <v>Investigate</v>
      </c>
      <c r="BK77" s="349">
        <v>0</v>
      </c>
      <c r="BL77" s="808" t="str">
        <f>IF(BK77-BM77=0,"Investigate","Fine")</f>
        <v>Investigate</v>
      </c>
      <c r="BM77" s="349">
        <v>0</v>
      </c>
      <c r="BN77" s="222"/>
      <c r="BO77" s="349">
        <v>0</v>
      </c>
      <c r="BP77" s="222"/>
      <c r="BQ77" s="349">
        <v>0</v>
      </c>
      <c r="BR77" s="222"/>
      <c r="BS77" s="349">
        <v>0</v>
      </c>
      <c r="BT77" s="222"/>
      <c r="BU77" s="349">
        <f>BU75/BU76</f>
        <v>0</v>
      </c>
      <c r="BV77" s="222"/>
      <c r="BW77" s="349">
        <v>0</v>
      </c>
      <c r="BX77" s="222"/>
      <c r="BY77" s="349">
        <f>BY75/BY76</f>
        <v>0</v>
      </c>
      <c r="BZ77" s="222"/>
      <c r="CA77" s="349">
        <v>0</v>
      </c>
      <c r="CB77" s="222"/>
      <c r="CC77" s="349">
        <v>0</v>
      </c>
      <c r="CD77" s="222"/>
      <c r="CE77" s="349">
        <v>0</v>
      </c>
      <c r="CF77" s="222"/>
      <c r="CG77" s="349">
        <f>CG75/CG76</f>
        <v>0</v>
      </c>
      <c r="CH77" s="222"/>
      <c r="CI77" s="349">
        <v>0</v>
      </c>
      <c r="CJ77" s="222"/>
      <c r="CK77" s="349">
        <v>0</v>
      </c>
      <c r="CL77" s="222"/>
      <c r="CM77" s="349">
        <f>CM75/CM76</f>
        <v>5.1587975719106435E-3</v>
      </c>
      <c r="CN77" s="222"/>
      <c r="CO77" s="349">
        <f>CO75/CO76</f>
        <v>5.5318618870279475E-3</v>
      </c>
      <c r="CP77" s="222"/>
      <c r="CQ77" s="349">
        <f>CQ75/CQ76</f>
        <v>5.3461370168784699E-3</v>
      </c>
      <c r="CR77" s="222"/>
      <c r="CS77" s="349">
        <f>CS75/CS76</f>
        <v>6.4133048637901122E-3</v>
      </c>
      <c r="CT77" s="222"/>
      <c r="CU77" s="349">
        <f>CU75/CU76</f>
        <v>1.0090975850385455E-2</v>
      </c>
      <c r="CV77" s="222"/>
      <c r="CW77" s="349">
        <f>CW75/CW76</f>
        <v>2.4184843401617244E-2</v>
      </c>
      <c r="CX77" s="222"/>
      <c r="CY77" s="350">
        <f>CY75/CY76</f>
        <v>9.7621042162707016E-3</v>
      </c>
      <c r="CZ77" s="222"/>
      <c r="DA77" s="350">
        <f>DA75/DA76</f>
        <v>1.2814085417299106E-2</v>
      </c>
      <c r="DB77" s="222"/>
      <c r="DC77" s="350">
        <f>DC75/DC76</f>
        <v>1.1122729813834269E-2</v>
      </c>
      <c r="DD77" s="285"/>
      <c r="DE77" s="350">
        <f>DE75/DE76</f>
        <v>1.2777056480169613E-2</v>
      </c>
      <c r="DF77" s="285"/>
      <c r="DG77" s="350">
        <f>DG75/DG76</f>
        <v>1.1138868981149398E-2</v>
      </c>
      <c r="DH77" s="285"/>
      <c r="DI77" s="350">
        <f>DI75/DI76</f>
        <v>3.9844940943925669E-2</v>
      </c>
      <c r="DJ77" s="285"/>
      <c r="DK77" s="673">
        <f>DK75/DK76</f>
        <v>6.597755851461172E-2</v>
      </c>
      <c r="DL77" s="690"/>
      <c r="DM77" s="673">
        <f>DM75/DM76</f>
        <v>1.3549975733563703E-3</v>
      </c>
      <c r="DN77" s="690"/>
      <c r="DO77" s="673">
        <f>DO75/DO76</f>
        <v>4.6247634756657443E-3</v>
      </c>
      <c r="DP77" s="690"/>
      <c r="DQ77" s="673">
        <f>DQ75/DQ76</f>
        <v>2.3234126723866155E-3</v>
      </c>
      <c r="DR77" s="690"/>
      <c r="DS77" s="673">
        <v>3.5001318006931513E-4</v>
      </c>
      <c r="DT77" s="677"/>
      <c r="DU77" s="673">
        <v>6.7432586862944486E-3</v>
      </c>
      <c r="DV77" s="677"/>
      <c r="DW77" s="673">
        <v>-3.2708953632572875E-2</v>
      </c>
      <c r="DX77" s="677"/>
      <c r="DY77" s="673">
        <v>6.5251288346125447E-3</v>
      </c>
      <c r="DZ77" s="677"/>
      <c r="EA77" s="673">
        <v>3.3742144099329234E-2</v>
      </c>
      <c r="EB77" s="677"/>
      <c r="EC77" s="673">
        <v>3.7003803354610003E-2</v>
      </c>
      <c r="ED77" s="677"/>
      <c r="EE77" s="673">
        <v>4.4122379201635621E-2</v>
      </c>
      <c r="EF77" s="677"/>
      <c r="EG77" s="674">
        <v>4.1221163134192072E-2</v>
      </c>
      <c r="EH77" s="678"/>
      <c r="EI77" s="674">
        <v>7.3337533140409278E-2</v>
      </c>
      <c r="EJ77" s="678"/>
      <c r="EK77" s="674">
        <v>4.6763763454572352E-2</v>
      </c>
      <c r="EL77" s="678"/>
      <c r="EM77" s="674">
        <v>4.7602970242879621E-2</v>
      </c>
      <c r="EN77" s="678"/>
      <c r="EO77" s="674">
        <v>4.817572974256553E-2</v>
      </c>
      <c r="EP77" s="678"/>
      <c r="EQ77" s="674">
        <v>0.13975805781377229</v>
      </c>
      <c r="ER77" s="678"/>
      <c r="ES77" s="674">
        <v>0.11900812814169526</v>
      </c>
      <c r="ET77" s="678"/>
      <c r="EU77" s="674">
        <v>0.11675277342365317</v>
      </c>
      <c r="EV77" s="674"/>
      <c r="EW77" s="674">
        <v>0.19362509895493227</v>
      </c>
      <c r="EX77" s="674"/>
      <c r="EY77" s="674">
        <v>0.19898431203125491</v>
      </c>
      <c r="EZ77" s="674"/>
      <c r="FA77" s="674">
        <v>0.21724637297862226</v>
      </c>
      <c r="FB77" s="674"/>
      <c r="FC77" s="674">
        <v>0.19361443201108558</v>
      </c>
      <c r="FD77" s="674"/>
      <c r="FE77" s="674">
        <v>0.21960211064071836</v>
      </c>
      <c r="FF77" s="674"/>
      <c r="FG77" s="674">
        <v>0.23124335755675651</v>
      </c>
      <c r="FH77" s="674"/>
      <c r="FI77" s="674">
        <v>0.136459232679155</v>
      </c>
      <c r="FJ77" s="674"/>
      <c r="FK77" s="674">
        <v>0.13709458265855598</v>
      </c>
      <c r="FL77" s="674"/>
      <c r="FM77" s="674">
        <v>0.15021963434427446</v>
      </c>
      <c r="FN77" s="674"/>
      <c r="FO77" s="674">
        <v>0.15333909445744207</v>
      </c>
      <c r="FP77" s="674"/>
      <c r="FQ77" s="674">
        <v>0.14724877251649743</v>
      </c>
      <c r="FR77" s="674"/>
      <c r="FS77" s="674">
        <v>0.23632972148758929</v>
      </c>
      <c r="FT77" s="674"/>
      <c r="FU77" s="674">
        <v>0.2281279308093917</v>
      </c>
      <c r="FV77" s="674"/>
      <c r="FW77" s="674">
        <v>0.2356501173955694</v>
      </c>
      <c r="FX77" s="674"/>
      <c r="FY77" s="674">
        <v>0.19480363449843302</v>
      </c>
      <c r="FZ77" s="674"/>
      <c r="GA77" s="674">
        <v>0.2406600346102124</v>
      </c>
      <c r="GB77" s="674"/>
      <c r="GC77" s="674">
        <v>0.24049730051432922</v>
      </c>
      <c r="GD77" s="222"/>
      <c r="GE77" s="288"/>
      <c r="GF77" s="357" t="s">
        <v>495</v>
      </c>
      <c r="GG77" s="222"/>
      <c r="GH77" s="222"/>
      <c r="GI77" s="222"/>
      <c r="GJ77" s="222"/>
      <c r="GK77" s="222"/>
      <c r="GL77" s="351" t="s">
        <v>495</v>
      </c>
    </row>
    <row r="78" spans="1:194" ht="14.25" customHeight="1">
      <c r="B78" s="334"/>
      <c r="CY78" s="359"/>
      <c r="DA78" s="359"/>
      <c r="DC78" s="359"/>
      <c r="DD78" s="157"/>
      <c r="DE78" s="359"/>
      <c r="DF78" s="157"/>
      <c r="DG78" s="359"/>
      <c r="DH78" s="157"/>
      <c r="DI78" s="359"/>
      <c r="DJ78" s="157"/>
      <c r="DK78" s="691"/>
      <c r="DL78" s="659"/>
      <c r="DM78" s="691"/>
      <c r="DN78" s="659"/>
      <c r="DO78" s="691"/>
      <c r="DP78" s="659"/>
      <c r="DQ78" s="691"/>
      <c r="DR78" s="659"/>
      <c r="DS78" s="691"/>
      <c r="DT78" s="659"/>
      <c r="DU78" s="691"/>
      <c r="DV78" s="659"/>
      <c r="DW78" s="691"/>
      <c r="DX78" s="659"/>
      <c r="DY78" s="691"/>
      <c r="DZ78" s="659"/>
      <c r="EA78" s="691"/>
      <c r="EB78" s="659"/>
      <c r="EC78" s="691"/>
      <c r="ED78" s="659"/>
      <c r="EE78" s="691"/>
      <c r="EF78" s="659"/>
      <c r="EG78" s="672"/>
      <c r="EI78" s="672"/>
      <c r="EK78" s="672"/>
      <c r="EM78" s="672"/>
      <c r="EO78" s="672"/>
      <c r="EQ78" s="672"/>
      <c r="ES78" s="672"/>
      <c r="EU78" s="672"/>
      <c r="EV78" s="672"/>
      <c r="EW78" s="672"/>
      <c r="EX78" s="672"/>
      <c r="EY78" s="672"/>
      <c r="EZ78" s="672"/>
      <c r="FA78" s="672"/>
      <c r="FB78" s="672"/>
      <c r="FC78" s="672"/>
      <c r="FD78" s="672"/>
      <c r="FE78" s="672"/>
      <c r="FF78" s="672"/>
      <c r="FG78" s="672"/>
      <c r="FH78" s="672"/>
      <c r="FI78" s="672"/>
      <c r="FJ78" s="672"/>
      <c r="FK78" s="672"/>
      <c r="FL78" s="672"/>
      <c r="FM78" s="672"/>
      <c r="FN78" s="672"/>
      <c r="FO78" s="672"/>
      <c r="FP78" s="672"/>
      <c r="FQ78" s="672"/>
      <c r="FR78" s="672"/>
      <c r="FS78" s="672"/>
      <c r="FT78" s="672"/>
      <c r="FU78" s="672"/>
      <c r="FV78" s="672"/>
      <c r="FW78" s="672"/>
      <c r="FY78" s="672"/>
      <c r="FZ78" s="672"/>
      <c r="GA78" s="672"/>
      <c r="GB78" s="672"/>
      <c r="GC78" s="672"/>
      <c r="GE78" s="335"/>
      <c r="GF78" s="335"/>
      <c r="GG78" s="335"/>
    </row>
    <row r="79" spans="1:194" ht="14.25" customHeight="1">
      <c r="B79" s="334"/>
      <c r="CY79" s="359"/>
      <c r="DA79" s="359"/>
      <c r="DC79" s="359"/>
      <c r="DD79" s="157"/>
      <c r="DE79" s="359"/>
      <c r="DF79" s="157"/>
      <c r="DG79" s="359"/>
      <c r="DH79" s="157"/>
      <c r="DI79" s="359"/>
      <c r="DJ79" s="157"/>
      <c r="DK79" s="691"/>
      <c r="DL79" s="659"/>
      <c r="DM79" s="691"/>
      <c r="DN79" s="659"/>
      <c r="DO79" s="691"/>
      <c r="DP79" s="659"/>
      <c r="DQ79" s="691"/>
      <c r="DR79" s="659"/>
      <c r="DS79" s="691"/>
      <c r="DT79" s="659"/>
      <c r="DU79" s="691"/>
      <c r="DV79" s="659"/>
      <c r="DW79" s="691"/>
      <c r="DX79" s="659"/>
      <c r="DY79" s="691"/>
      <c r="DZ79" s="659"/>
      <c r="EA79" s="691"/>
      <c r="EB79" s="659"/>
      <c r="EC79" s="691"/>
      <c r="ED79" s="659"/>
      <c r="EE79" s="691"/>
      <c r="EF79" s="659"/>
      <c r="EG79" s="672"/>
      <c r="EI79" s="672"/>
      <c r="EK79" s="672"/>
      <c r="EM79" s="672"/>
      <c r="EO79" s="672"/>
      <c r="EQ79" s="672"/>
      <c r="ES79" s="672"/>
      <c r="EU79" s="672"/>
      <c r="EV79" s="672"/>
      <c r="EW79" s="672"/>
      <c r="EX79" s="672"/>
      <c r="EY79" s="672"/>
      <c r="EZ79" s="672"/>
      <c r="FA79" s="672"/>
      <c r="FB79" s="672"/>
      <c r="FC79" s="672"/>
      <c r="FD79" s="672"/>
      <c r="FE79" s="672"/>
      <c r="FF79" s="672"/>
      <c r="FG79" s="672"/>
      <c r="FH79" s="672"/>
      <c r="FI79" s="672"/>
      <c r="FJ79" s="672"/>
      <c r="FK79" s="672"/>
      <c r="FL79" s="672"/>
      <c r="FM79" s="672"/>
      <c r="FN79" s="672"/>
      <c r="FO79" s="672"/>
      <c r="FP79" s="672"/>
      <c r="FQ79" s="672"/>
      <c r="FR79" s="672"/>
      <c r="FS79" s="672"/>
      <c r="FT79" s="672"/>
      <c r="FU79" s="672"/>
      <c r="FV79" s="672"/>
      <c r="FW79" s="672"/>
      <c r="FY79" s="672"/>
      <c r="FZ79" s="672"/>
      <c r="GA79" s="672"/>
      <c r="GB79" s="672"/>
      <c r="GC79" s="672"/>
      <c r="GE79" s="335"/>
      <c r="GF79" s="335"/>
      <c r="GG79" s="335"/>
    </row>
    <row r="80" spans="1:194" ht="14.25" customHeight="1">
      <c r="B80" s="337" t="s">
        <v>639</v>
      </c>
      <c r="C80" s="222" t="s">
        <v>513</v>
      </c>
      <c r="D80" s="222" t="s">
        <v>514</v>
      </c>
      <c r="CY80" s="359"/>
      <c r="DA80" s="359"/>
      <c r="DC80" s="359"/>
      <c r="DD80" s="157"/>
      <c r="DE80" s="359"/>
      <c r="DF80" s="157"/>
      <c r="DG80" s="359"/>
      <c r="DH80" s="157"/>
      <c r="DI80" s="359"/>
      <c r="DJ80" s="157"/>
      <c r="DK80" s="691"/>
      <c r="DL80" s="659"/>
      <c r="DM80" s="691"/>
      <c r="DN80" s="659"/>
      <c r="DO80" s="691"/>
      <c r="DP80" s="659"/>
      <c r="DQ80" s="691"/>
      <c r="DR80" s="659"/>
      <c r="DS80" s="691"/>
      <c r="DT80" s="659"/>
      <c r="DU80" s="691"/>
      <c r="DV80" s="659"/>
      <c r="DW80" s="691"/>
      <c r="DX80" s="659"/>
      <c r="DY80" s="691"/>
      <c r="DZ80" s="659"/>
      <c r="EA80" s="691"/>
      <c r="EB80" s="659"/>
      <c r="EC80" s="691"/>
      <c r="ED80" s="659"/>
      <c r="EE80" s="691"/>
      <c r="EF80" s="659"/>
      <c r="EG80" s="672"/>
      <c r="EI80" s="672"/>
      <c r="EK80" s="672"/>
      <c r="EM80" s="672"/>
      <c r="EO80" s="672"/>
      <c r="EQ80" s="672"/>
      <c r="ES80" s="672"/>
      <c r="EU80" s="672"/>
      <c r="EV80" s="672"/>
      <c r="EW80" s="672"/>
      <c r="EX80" s="672"/>
      <c r="EY80" s="672"/>
      <c r="EZ80" s="672"/>
      <c r="FA80" s="672"/>
      <c r="FB80" s="672"/>
      <c r="FC80" s="672"/>
      <c r="FD80" s="672"/>
      <c r="FE80" s="672"/>
      <c r="FF80" s="672"/>
      <c r="FG80" s="672"/>
      <c r="FH80" s="672"/>
      <c r="FI80" s="672"/>
      <c r="FJ80" s="672"/>
      <c r="FK80" s="672"/>
      <c r="FL80" s="672"/>
      <c r="FM80" s="672"/>
      <c r="FN80" s="672"/>
      <c r="FO80" s="672"/>
      <c r="FP80" s="672"/>
      <c r="FQ80" s="672"/>
      <c r="FR80" s="672"/>
      <c r="FS80" s="672"/>
      <c r="FT80" s="672"/>
      <c r="FU80" s="672"/>
      <c r="FV80" s="672"/>
      <c r="FW80" s="672"/>
      <c r="FY80" s="672"/>
      <c r="FZ80" s="672"/>
      <c r="GA80" s="672"/>
      <c r="GB80" s="672"/>
      <c r="GC80" s="672"/>
      <c r="GE80" s="335"/>
      <c r="GF80" s="335"/>
      <c r="GG80" s="335"/>
    </row>
    <row r="81" spans="1:194" ht="14.25" customHeight="1">
      <c r="B81" s="334"/>
      <c r="CY81" s="359"/>
      <c r="DA81" s="359"/>
      <c r="DC81" s="359"/>
      <c r="DD81" s="157"/>
      <c r="DE81" s="359"/>
      <c r="DF81" s="157"/>
      <c r="DG81" s="359"/>
      <c r="DH81" s="157"/>
      <c r="DI81" s="359"/>
      <c r="DJ81" s="157"/>
      <c r="DK81" s="691"/>
      <c r="DL81" s="659"/>
      <c r="DM81" s="691"/>
      <c r="DN81" s="659"/>
      <c r="DO81" s="691"/>
      <c r="DP81" s="659"/>
      <c r="DQ81" s="691"/>
      <c r="DR81" s="659"/>
      <c r="DS81" s="691"/>
      <c r="DT81" s="659"/>
      <c r="DU81" s="691"/>
      <c r="DV81" s="659"/>
      <c r="DW81" s="691"/>
      <c r="DX81" s="659"/>
      <c r="DY81" s="691"/>
      <c r="DZ81" s="659"/>
      <c r="EA81" s="691"/>
      <c r="EB81" s="659"/>
      <c r="EC81" s="691"/>
      <c r="ED81" s="659"/>
      <c r="EE81" s="691"/>
      <c r="EF81" s="659"/>
      <c r="EG81" s="672"/>
      <c r="EI81" s="672"/>
      <c r="EK81" s="672"/>
      <c r="EM81" s="672"/>
      <c r="EO81" s="672"/>
      <c r="EQ81" s="672"/>
      <c r="ES81" s="672"/>
      <c r="EU81" s="672"/>
      <c r="EV81" s="672"/>
      <c r="EW81" s="672"/>
      <c r="EX81" s="672"/>
      <c r="EY81" s="672"/>
      <c r="EZ81" s="672"/>
      <c r="FA81" s="672"/>
      <c r="FB81" s="672"/>
      <c r="FC81" s="672"/>
      <c r="FD81" s="672"/>
      <c r="FE81" s="672"/>
      <c r="FF81" s="672"/>
      <c r="FG81" s="672"/>
      <c r="FH81" s="672"/>
      <c r="FI81" s="672"/>
      <c r="FJ81" s="672"/>
      <c r="FK81" s="672"/>
      <c r="FL81" s="672"/>
      <c r="FM81" s="672"/>
      <c r="FN81" s="672"/>
      <c r="FO81" s="672"/>
      <c r="FP81" s="672"/>
      <c r="FQ81" s="672"/>
      <c r="FR81" s="672"/>
      <c r="FS81" s="672"/>
      <c r="FT81" s="672"/>
      <c r="FU81" s="672"/>
      <c r="FV81" s="672"/>
      <c r="FW81" s="672"/>
      <c r="FY81" s="672"/>
      <c r="FZ81" s="672"/>
      <c r="GA81" s="672"/>
      <c r="GB81" s="672"/>
      <c r="GC81" s="672"/>
      <c r="GE81" s="335"/>
      <c r="GF81" s="335"/>
      <c r="GG81" s="335"/>
    </row>
    <row r="82" spans="1:194" ht="14.25" customHeight="1">
      <c r="B82" s="334"/>
      <c r="E82" s="341" t="s">
        <v>515</v>
      </c>
      <c r="G82" s="342">
        <v>0</v>
      </c>
      <c r="I82" s="342">
        <v>0</v>
      </c>
      <c r="K82" s="342">
        <v>0</v>
      </c>
      <c r="M82" s="342">
        <v>0</v>
      </c>
      <c r="O82" s="342">
        <v>0</v>
      </c>
      <c r="Q82" s="342">
        <v>0</v>
      </c>
      <c r="S82" s="342">
        <v>0</v>
      </c>
      <c r="U82" s="342">
        <v>0</v>
      </c>
      <c r="W82" s="342">
        <v>0</v>
      </c>
      <c r="Y82" s="342">
        <v>0</v>
      </c>
      <c r="AA82" s="342">
        <v>0</v>
      </c>
      <c r="AC82" s="342">
        <v>0</v>
      </c>
      <c r="AE82" s="342">
        <v>0</v>
      </c>
      <c r="AG82" s="342">
        <v>0</v>
      </c>
      <c r="AI82" s="342">
        <v>0</v>
      </c>
      <c r="AK82" s="342">
        <v>0</v>
      </c>
      <c r="AM82" s="342">
        <v>0</v>
      </c>
      <c r="AO82" s="342">
        <v>0</v>
      </c>
      <c r="AQ82" s="342">
        <v>0</v>
      </c>
      <c r="AS82" s="342">
        <v>0</v>
      </c>
      <c r="AU82" s="342">
        <v>0</v>
      </c>
      <c r="AW82" s="342">
        <v>0</v>
      </c>
      <c r="AY82" s="342">
        <v>0</v>
      </c>
      <c r="BA82" s="342">
        <v>0</v>
      </c>
      <c r="BC82" s="342">
        <v>0</v>
      </c>
      <c r="BE82" s="342">
        <v>0</v>
      </c>
      <c r="BG82" s="342">
        <v>0</v>
      </c>
      <c r="BI82" s="342">
        <v>0</v>
      </c>
      <c r="BK82" s="342">
        <v>0</v>
      </c>
      <c r="BM82" s="342">
        <v>0</v>
      </c>
      <c r="BO82" s="342">
        <v>0</v>
      </c>
      <c r="BQ82" s="342">
        <v>0</v>
      </c>
      <c r="BS82" s="342">
        <v>0</v>
      </c>
      <c r="BU82" s="342">
        <v>0</v>
      </c>
      <c r="BW82" s="342">
        <v>0</v>
      </c>
      <c r="BY82" s="342">
        <v>0</v>
      </c>
      <c r="CA82" s="342">
        <v>0</v>
      </c>
      <c r="CC82" s="342">
        <v>0</v>
      </c>
      <c r="CE82" s="342">
        <v>0</v>
      </c>
      <c r="CG82" s="342">
        <v>0</v>
      </c>
      <c r="CI82" s="342">
        <v>0</v>
      </c>
      <c r="CK82" s="342">
        <v>0</v>
      </c>
      <c r="CM82" s="342">
        <v>0</v>
      </c>
      <c r="CO82" s="342">
        <v>0</v>
      </c>
      <c r="CQ82" s="342">
        <v>0</v>
      </c>
      <c r="CS82" s="342">
        <v>0</v>
      </c>
      <c r="CU82" s="342">
        <v>0</v>
      </c>
      <c r="CW82" s="342">
        <v>0</v>
      </c>
      <c r="CY82" s="343">
        <v>0</v>
      </c>
      <c r="DA82" s="343">
        <v>0</v>
      </c>
      <c r="DC82" s="343">
        <v>0</v>
      </c>
      <c r="DD82" s="157"/>
      <c r="DE82" s="343">
        <v>0</v>
      </c>
      <c r="DF82" s="157"/>
      <c r="DG82" s="343">
        <v>0</v>
      </c>
      <c r="DH82" s="157"/>
      <c r="DI82" s="343">
        <v>0</v>
      </c>
      <c r="DJ82" s="157"/>
      <c r="DK82" s="666">
        <v>0</v>
      </c>
      <c r="DL82" s="659"/>
      <c r="DM82" s="666">
        <v>0</v>
      </c>
      <c r="DN82" s="659"/>
      <c r="DO82" s="666">
        <v>0</v>
      </c>
      <c r="DP82" s="659"/>
      <c r="DQ82" s="666">
        <v>0</v>
      </c>
      <c r="DR82" s="659"/>
      <c r="DS82" s="666">
        <v>0</v>
      </c>
      <c r="DT82" s="659"/>
      <c r="DU82" s="666">
        <v>0</v>
      </c>
      <c r="DV82" s="659"/>
      <c r="DW82" s="666">
        <v>0</v>
      </c>
      <c r="DX82" s="659"/>
      <c r="DY82" s="666">
        <v>0</v>
      </c>
      <c r="DZ82" s="659"/>
      <c r="EA82" s="666">
        <v>0</v>
      </c>
      <c r="EB82" s="659"/>
      <c r="EC82" s="666">
        <v>0</v>
      </c>
      <c r="ED82" s="659"/>
      <c r="EE82" s="666">
        <v>0</v>
      </c>
      <c r="EF82" s="659"/>
      <c r="EG82" s="666">
        <v>0</v>
      </c>
      <c r="EI82" s="666">
        <v>0</v>
      </c>
      <c r="EK82" s="666">
        <v>0</v>
      </c>
      <c r="EM82" s="666">
        <v>0</v>
      </c>
      <c r="EO82" s="666">
        <v>0</v>
      </c>
      <c r="EQ82" s="666">
        <v>0</v>
      </c>
      <c r="ES82" s="666">
        <v>0</v>
      </c>
      <c r="EU82" s="667">
        <v>0</v>
      </c>
      <c r="EV82" s="667"/>
      <c r="EW82" s="667">
        <v>0</v>
      </c>
      <c r="EX82" s="667"/>
      <c r="EY82" s="667">
        <v>0</v>
      </c>
      <c r="EZ82" s="667"/>
      <c r="FA82" s="667">
        <v>0</v>
      </c>
      <c r="FB82" s="667"/>
      <c r="FC82" s="667">
        <v>0</v>
      </c>
      <c r="FD82" s="667"/>
      <c r="FE82" s="667">
        <v>0</v>
      </c>
      <c r="FF82" s="667"/>
      <c r="FG82" s="667">
        <v>0</v>
      </c>
      <c r="FH82" s="667"/>
      <c r="FI82" s="667">
        <v>0</v>
      </c>
      <c r="FJ82" s="667"/>
      <c r="FK82" s="667">
        <v>0</v>
      </c>
      <c r="FL82" s="667"/>
      <c r="FM82" s="667">
        <v>0</v>
      </c>
      <c r="FN82" s="667"/>
      <c r="FO82" s="667">
        <v>0</v>
      </c>
      <c r="FP82" s="667"/>
      <c r="FQ82" s="667">
        <v>0</v>
      </c>
      <c r="FR82" s="667"/>
      <c r="FS82" s="667">
        <v>0</v>
      </c>
      <c r="FT82" s="667"/>
      <c r="FU82" s="667">
        <v>0</v>
      </c>
      <c r="FV82" s="667"/>
      <c r="FW82" s="667">
        <v>0</v>
      </c>
      <c r="FY82" s="667">
        <v>0</v>
      </c>
      <c r="FZ82" s="672"/>
      <c r="GA82" s="667">
        <v>0</v>
      </c>
      <c r="GB82" s="672"/>
      <c r="GC82" s="667">
        <v>0</v>
      </c>
      <c r="GE82" s="335"/>
      <c r="GF82" s="335"/>
      <c r="GG82" s="335"/>
    </row>
    <row r="83" spans="1:194" ht="14.25" customHeight="1">
      <c r="B83" s="334"/>
      <c r="E83" s="341" t="s">
        <v>516</v>
      </c>
      <c r="G83" s="342">
        <f>G75</f>
        <v>0</v>
      </c>
      <c r="I83" s="342">
        <f>I75</f>
        <v>0</v>
      </c>
      <c r="K83" s="342">
        <f>K75</f>
        <v>0</v>
      </c>
      <c r="M83" s="342">
        <f>M75</f>
        <v>0</v>
      </c>
      <c r="O83" s="342">
        <f>O75</f>
        <v>0</v>
      </c>
      <c r="Q83" s="342">
        <f>Q75</f>
        <v>0</v>
      </c>
      <c r="S83" s="342">
        <v>0</v>
      </c>
      <c r="U83" s="342">
        <v>0</v>
      </c>
      <c r="W83" s="342">
        <v>0</v>
      </c>
      <c r="Y83" s="342">
        <f>Y75</f>
        <v>0</v>
      </c>
      <c r="AA83" s="342">
        <f>AA75</f>
        <v>0</v>
      </c>
      <c r="AC83" s="342">
        <v>0</v>
      </c>
      <c r="AE83" s="342">
        <v>0</v>
      </c>
      <c r="AG83" s="342">
        <v>0</v>
      </c>
      <c r="AI83" s="342">
        <v>0</v>
      </c>
      <c r="AK83" s="342">
        <v>0</v>
      </c>
      <c r="AM83" s="342">
        <v>0</v>
      </c>
      <c r="AO83" s="342">
        <v>0</v>
      </c>
      <c r="AQ83" s="342">
        <v>0</v>
      </c>
      <c r="AS83" s="342">
        <v>0</v>
      </c>
      <c r="AU83" s="342">
        <v>0</v>
      </c>
      <c r="AW83" s="342">
        <f>AW75</f>
        <v>0</v>
      </c>
      <c r="AY83" s="342">
        <v>0</v>
      </c>
      <c r="BA83" s="342">
        <v>0</v>
      </c>
      <c r="BC83" s="342">
        <v>0</v>
      </c>
      <c r="BE83" s="342">
        <v>0</v>
      </c>
      <c r="BG83" s="342">
        <v>0</v>
      </c>
      <c r="BI83" s="342">
        <v>0</v>
      </c>
      <c r="BK83" s="342">
        <v>0</v>
      </c>
      <c r="BM83" s="342">
        <v>0</v>
      </c>
      <c r="BO83" s="342">
        <v>0</v>
      </c>
      <c r="BQ83" s="342">
        <v>0</v>
      </c>
      <c r="BS83" s="342">
        <v>0</v>
      </c>
      <c r="BU83" s="342">
        <f>BU75</f>
        <v>0</v>
      </c>
      <c r="BW83" s="342">
        <v>0</v>
      </c>
      <c r="BY83" s="342">
        <f>+BY75</f>
        <v>0</v>
      </c>
      <c r="CA83" s="342">
        <v>0</v>
      </c>
      <c r="CC83" s="342">
        <v>0</v>
      </c>
      <c r="CE83" s="342">
        <v>0</v>
      </c>
      <c r="CG83" s="342">
        <f>+CG75</f>
        <v>0</v>
      </c>
      <c r="CI83" s="342">
        <v>0</v>
      </c>
      <c r="CK83" s="342">
        <v>0</v>
      </c>
      <c r="CM83" s="342">
        <f>+CM75</f>
        <v>1020483.3894177675</v>
      </c>
      <c r="CO83" s="342">
        <f>+CO75</f>
        <v>1076908.8329000007</v>
      </c>
      <c r="CQ83" s="342">
        <f>+CQ75</f>
        <v>1045949.0637835916</v>
      </c>
      <c r="CS83" s="342">
        <f>+CS75</f>
        <v>1208429.5592293534</v>
      </c>
      <c r="CU83" s="342">
        <f>+CU75</f>
        <v>1038708.8401385993</v>
      </c>
      <c r="CW83" s="342">
        <f>+CW75</f>
        <v>3693410.3100000005</v>
      </c>
      <c r="CY83" s="343">
        <f>+CY75</f>
        <v>1050428.7450920511</v>
      </c>
      <c r="DA83" s="343">
        <f>+DA75</f>
        <v>1365390.25</v>
      </c>
      <c r="DC83" s="343">
        <f>+DC75</f>
        <v>1196327.7400000021</v>
      </c>
      <c r="DD83" s="157"/>
      <c r="DE83" s="343">
        <f>+DE75</f>
        <v>1381897.1599999964</v>
      </c>
      <c r="DF83" s="157"/>
      <c r="DG83" s="343">
        <f>+DG75</f>
        <v>1202156.9900000021</v>
      </c>
      <c r="DH83" s="157"/>
      <c r="DI83" s="343">
        <f>+DI75</f>
        <v>4295163.18</v>
      </c>
      <c r="DJ83" s="157"/>
      <c r="DK83" s="666">
        <f>+DK75</f>
        <v>7038540.7400000021</v>
      </c>
      <c r="DL83" s="659"/>
      <c r="DM83" s="666">
        <f>+DM75</f>
        <v>143904.23000000045</v>
      </c>
      <c r="DN83" s="659"/>
      <c r="DO83" s="666">
        <f>+DO75</f>
        <v>487272.63000000268</v>
      </c>
      <c r="DP83" s="659"/>
      <c r="DQ83" s="666">
        <f>+DQ75</f>
        <v>241884.55999999493</v>
      </c>
      <c r="DR83" s="659"/>
      <c r="DS83" s="666">
        <v>36294.410000003874</v>
      </c>
      <c r="DT83" s="659"/>
      <c r="DU83" s="666">
        <v>700196.39999999851</v>
      </c>
      <c r="DV83" s="659"/>
      <c r="DW83" s="666">
        <v>-3366654.8910666704</v>
      </c>
      <c r="DX83" s="659"/>
      <c r="DY83" s="666">
        <v>666822.92941896617</v>
      </c>
      <c r="DZ83" s="659"/>
      <c r="EA83" s="666">
        <v>3426984.7849736884</v>
      </c>
      <c r="EB83" s="659"/>
      <c r="EC83" s="666">
        <v>3725351.0399999917</v>
      </c>
      <c r="ED83" s="659"/>
      <c r="EE83" s="666">
        <v>4417636.6074102223</v>
      </c>
      <c r="EF83" s="659"/>
      <c r="EG83" s="666">
        <v>4088559.6999999881</v>
      </c>
      <c r="EI83" s="666">
        <v>7287176.4699999988</v>
      </c>
      <c r="EK83" s="666">
        <v>4710494.2150550485</v>
      </c>
      <c r="EM83" s="666">
        <v>4881517.7399999797</v>
      </c>
      <c r="EO83" s="666">
        <v>5027964.1437800974</v>
      </c>
      <c r="EQ83" s="666">
        <v>14880955.127727985</v>
      </c>
      <c r="ES83" s="666">
        <v>12907261.129999995</v>
      </c>
      <c r="EU83" s="667">
        <v>12589550.170000009</v>
      </c>
      <c r="EV83" s="667"/>
      <c r="EW83" s="667">
        <v>20946148.799999997</v>
      </c>
      <c r="EX83" s="667"/>
      <c r="EY83" s="667">
        <v>21645433.68</v>
      </c>
      <c r="EZ83" s="667"/>
      <c r="FA83" s="667">
        <v>23520760.04999999</v>
      </c>
      <c r="FB83" s="667"/>
      <c r="FC83" s="667">
        <v>20942762.469999999</v>
      </c>
      <c r="FD83" s="667"/>
      <c r="FE83" s="667">
        <v>23577434.869999997</v>
      </c>
      <c r="FF83" s="667"/>
      <c r="FG83" s="667">
        <v>24879933.030000009</v>
      </c>
      <c r="FH83" s="667"/>
      <c r="FI83" s="667">
        <v>2960611.8200000003</v>
      </c>
      <c r="FJ83" s="667"/>
      <c r="FK83" s="667">
        <v>2890409.2800000012</v>
      </c>
      <c r="FL83" s="667"/>
      <c r="FM83" s="667">
        <v>3076963.6300000027</v>
      </c>
      <c r="FN83" s="667"/>
      <c r="FO83" s="667">
        <v>3024254.1499999985</v>
      </c>
      <c r="FP83" s="667"/>
      <c r="FQ83" s="667">
        <v>2959549.6699999981</v>
      </c>
      <c r="FR83" s="667"/>
      <c r="FS83" s="667">
        <v>4495592.8799999952</v>
      </c>
      <c r="FT83" s="667"/>
      <c r="FU83" s="667">
        <v>4417259.629999999</v>
      </c>
      <c r="FV83" s="667"/>
      <c r="FW83" s="667">
        <v>4558867.7300000004</v>
      </c>
      <c r="FY83" s="667">
        <v>3756642.6100000013</v>
      </c>
      <c r="FZ83" s="672"/>
      <c r="GA83" s="667">
        <v>4622250.5399999982</v>
      </c>
      <c r="GB83" s="672"/>
      <c r="GC83" s="667">
        <v>4549135.9349999987</v>
      </c>
      <c r="GE83" s="335"/>
      <c r="GF83" s="335"/>
      <c r="GG83" s="335"/>
    </row>
    <row r="84" spans="1:194" ht="14.25" customHeight="1">
      <c r="B84" s="334"/>
      <c r="E84" s="341" t="s">
        <v>517</v>
      </c>
      <c r="G84" s="342">
        <f>-G83</f>
        <v>0</v>
      </c>
      <c r="I84" s="342">
        <f>-I83</f>
        <v>0</v>
      </c>
      <c r="K84" s="342">
        <f>-K83</f>
        <v>0</v>
      </c>
      <c r="M84" s="342">
        <f>-M83</f>
        <v>0</v>
      </c>
      <c r="O84" s="342">
        <f>-O83</f>
        <v>0</v>
      </c>
      <c r="Q84" s="342">
        <f>-Q83</f>
        <v>0</v>
      </c>
      <c r="S84" s="342">
        <v>0</v>
      </c>
      <c r="U84" s="342">
        <v>0</v>
      </c>
      <c r="W84" s="342">
        <v>0</v>
      </c>
      <c r="Y84" s="342">
        <f>-Y83</f>
        <v>0</v>
      </c>
      <c r="AA84" s="342">
        <f>-AA83</f>
        <v>0</v>
      </c>
      <c r="AC84" s="342">
        <v>0</v>
      </c>
      <c r="AE84" s="342">
        <v>0</v>
      </c>
      <c r="AG84" s="342">
        <v>0</v>
      </c>
      <c r="AI84" s="342">
        <v>0</v>
      </c>
      <c r="AK84" s="342">
        <v>0</v>
      </c>
      <c r="AM84" s="342">
        <v>0</v>
      </c>
      <c r="AO84" s="342">
        <v>0</v>
      </c>
      <c r="AQ84" s="342">
        <v>0</v>
      </c>
      <c r="AS84" s="342">
        <v>0</v>
      </c>
      <c r="AU84" s="342">
        <v>0</v>
      </c>
      <c r="AW84" s="342">
        <f>-AW83</f>
        <v>0</v>
      </c>
      <c r="AY84" s="342">
        <v>0</v>
      </c>
      <c r="BA84" s="342">
        <v>0</v>
      </c>
      <c r="BC84" s="342">
        <v>0</v>
      </c>
      <c r="BE84" s="342">
        <v>0</v>
      </c>
      <c r="BG84" s="342">
        <v>0</v>
      </c>
      <c r="BI84" s="342">
        <v>0</v>
      </c>
      <c r="BK84" s="342">
        <v>0</v>
      </c>
      <c r="BM84" s="342">
        <v>0</v>
      </c>
      <c r="BO84" s="342">
        <v>0</v>
      </c>
      <c r="BQ84" s="342">
        <v>0</v>
      </c>
      <c r="BS84" s="342">
        <v>0</v>
      </c>
      <c r="BU84" s="342">
        <f>-BU83</f>
        <v>0</v>
      </c>
      <c r="BW84" s="342">
        <v>0</v>
      </c>
      <c r="BY84" s="342">
        <f>-BY83</f>
        <v>0</v>
      </c>
      <c r="CA84" s="342">
        <v>0</v>
      </c>
      <c r="CC84" s="342">
        <v>0</v>
      </c>
      <c r="CE84" s="342">
        <v>0</v>
      </c>
      <c r="CG84" s="342">
        <f>-CG83</f>
        <v>0</v>
      </c>
      <c r="CI84" s="342">
        <v>0</v>
      </c>
      <c r="CK84" s="342">
        <v>0</v>
      </c>
      <c r="CM84" s="342">
        <f>-CM83</f>
        <v>-1020483.3894177675</v>
      </c>
      <c r="CO84" s="342">
        <f>-CO83</f>
        <v>-1076908.8329000007</v>
      </c>
      <c r="CQ84" s="342">
        <f>-CQ83</f>
        <v>-1045949.0637835916</v>
      </c>
      <c r="CS84" s="342">
        <f>-CS83</f>
        <v>-1208429.5592293534</v>
      </c>
      <c r="CU84" s="342">
        <f>-CU83</f>
        <v>-1038708.8401385993</v>
      </c>
      <c r="CW84" s="342">
        <f>-CW83</f>
        <v>-3693410.3100000005</v>
      </c>
      <c r="CY84" s="343">
        <f>-CY83</f>
        <v>-1050428.7450920511</v>
      </c>
      <c r="DA84" s="343">
        <f>-DA83</f>
        <v>-1365390.25</v>
      </c>
      <c r="DC84" s="343">
        <f>-DC83</f>
        <v>-1196327.7400000021</v>
      </c>
      <c r="DD84" s="157"/>
      <c r="DE84" s="343">
        <f>-DE83</f>
        <v>-1381897.1599999964</v>
      </c>
      <c r="DF84" s="157"/>
      <c r="DG84" s="343">
        <f>-DG83</f>
        <v>-1202156.9900000021</v>
      </c>
      <c r="DH84" s="157"/>
      <c r="DI84" s="343">
        <f>-DI83</f>
        <v>-4295163.18</v>
      </c>
      <c r="DJ84" s="157"/>
      <c r="DK84" s="666">
        <f>-DK83</f>
        <v>-7038540.7400000021</v>
      </c>
      <c r="DL84" s="659"/>
      <c r="DM84" s="666">
        <f>-DM83</f>
        <v>-143904.23000000045</v>
      </c>
      <c r="DN84" s="659"/>
      <c r="DO84" s="666">
        <f>-DO83</f>
        <v>-487272.63000000268</v>
      </c>
      <c r="DP84" s="659"/>
      <c r="DQ84" s="666">
        <f>-DQ83</f>
        <v>-241884.55999999493</v>
      </c>
      <c r="DR84" s="659"/>
      <c r="DS84" s="666">
        <v>-36294.410000003874</v>
      </c>
      <c r="DT84" s="659"/>
      <c r="DU84" s="666">
        <v>-700196.39999999851</v>
      </c>
      <c r="DV84" s="659"/>
      <c r="DW84" s="666">
        <v>3366654.8910666704</v>
      </c>
      <c r="DX84" s="659"/>
      <c r="DY84" s="666">
        <v>-666822.92941896617</v>
      </c>
      <c r="DZ84" s="659"/>
      <c r="EA84" s="666">
        <v>-3426984.7849736884</v>
      </c>
      <c r="EB84" s="659"/>
      <c r="EC84" s="666">
        <v>-3725351.0399999917</v>
      </c>
      <c r="ED84" s="659"/>
      <c r="EE84" s="666">
        <v>-4417636.6074102223</v>
      </c>
      <c r="EF84" s="659"/>
      <c r="EG84" s="666">
        <v>-4088559.6999999881</v>
      </c>
      <c r="EI84" s="666">
        <v>-7287176.4699999988</v>
      </c>
      <c r="EK84" s="666">
        <v>-4710494.2150550485</v>
      </c>
      <c r="EM84" s="666">
        <v>-4881517.7399999797</v>
      </c>
      <c r="EO84" s="666">
        <v>-5027964.1437800974</v>
      </c>
      <c r="EQ84" s="666">
        <v>-14880955.127727985</v>
      </c>
      <c r="ES84" s="666">
        <v>-12907261.129999995</v>
      </c>
      <c r="EU84" s="667">
        <v>-12589550.170000009</v>
      </c>
      <c r="EV84" s="667"/>
      <c r="EW84" s="667">
        <v>-20946148.799999997</v>
      </c>
      <c r="EX84" s="667"/>
      <c r="EY84" s="667">
        <v>-21645433.68</v>
      </c>
      <c r="EZ84" s="667"/>
      <c r="FA84" s="667">
        <v>-23520760.04999999</v>
      </c>
      <c r="FB84" s="667"/>
      <c r="FC84" s="667">
        <v>-20942762.469999999</v>
      </c>
      <c r="FD84" s="667"/>
      <c r="FE84" s="667">
        <v>-23577434.869999997</v>
      </c>
      <c r="FF84" s="667"/>
      <c r="FG84" s="667">
        <v>-24879933.030000009</v>
      </c>
      <c r="FH84" s="667"/>
      <c r="FI84" s="667">
        <v>-2960611.8200000003</v>
      </c>
      <c r="FJ84" s="667"/>
      <c r="FK84" s="667">
        <v>-2890409.2800000012</v>
      </c>
      <c r="FL84" s="667"/>
      <c r="FM84" s="667">
        <v>-3076963.6300000027</v>
      </c>
      <c r="FN84" s="667"/>
      <c r="FO84" s="667">
        <v>-3024254.1499999985</v>
      </c>
      <c r="FP84" s="667"/>
      <c r="FQ84" s="667">
        <v>-2959549.6699999981</v>
      </c>
      <c r="FR84" s="667"/>
      <c r="FS84" s="667">
        <v>-4495592.8799999952</v>
      </c>
      <c r="FT84" s="667"/>
      <c r="FU84" s="667">
        <v>-4417259.629999999</v>
      </c>
      <c r="FV84" s="667"/>
      <c r="FW84" s="667">
        <v>-4558867.7300000004</v>
      </c>
      <c r="FY84" s="667">
        <v>-3756642.6100000013</v>
      </c>
      <c r="FZ84" s="672"/>
      <c r="GA84" s="667">
        <v>-4622250.5399999982</v>
      </c>
      <c r="GB84" s="672"/>
      <c r="GC84" s="667">
        <v>-4549135.9349999987</v>
      </c>
      <c r="GE84" s="335"/>
      <c r="GF84" s="335"/>
      <c r="GG84" s="335"/>
    </row>
    <row r="85" spans="1:194" ht="14.25" customHeight="1">
      <c r="B85" s="334"/>
      <c r="E85" s="341" t="s">
        <v>232</v>
      </c>
      <c r="G85" s="342">
        <f>+G76</f>
        <v>805226197.70000005</v>
      </c>
      <c r="I85" s="342">
        <f>+I76</f>
        <v>557381569.10150695</v>
      </c>
      <c r="K85" s="342">
        <f>+K76</f>
        <v>800448443.55083036</v>
      </c>
      <c r="M85" s="342">
        <f>+M76</f>
        <v>798559795.18083036</v>
      </c>
      <c r="O85" s="342">
        <f>+O76</f>
        <v>804190230.38999999</v>
      </c>
      <c r="Q85" s="342">
        <f>+Q76</f>
        <v>800641531.87083042</v>
      </c>
      <c r="S85" s="342">
        <v>881685771.9000001</v>
      </c>
      <c r="U85" s="342">
        <v>879810443.78000009</v>
      </c>
      <c r="W85" s="342">
        <v>888569415.62683225</v>
      </c>
      <c r="Y85" s="342">
        <f>+Y76</f>
        <v>554076880.5</v>
      </c>
      <c r="AA85" s="342">
        <f>+AA76</f>
        <v>560518584.10000002</v>
      </c>
      <c r="AC85" s="342">
        <v>633550828.04999995</v>
      </c>
      <c r="AE85" s="342">
        <v>637729313.19000006</v>
      </c>
      <c r="AG85" s="342">
        <v>638340523.90999997</v>
      </c>
      <c r="AI85" s="342">
        <v>638936637.18000007</v>
      </c>
      <c r="AK85" s="342">
        <v>641882567.62</v>
      </c>
      <c r="AM85" s="342">
        <v>642276932.21000004</v>
      </c>
      <c r="AO85" s="342">
        <v>641436337</v>
      </c>
      <c r="AQ85" s="342">
        <v>639583918.85000002</v>
      </c>
      <c r="AS85" s="342">
        <v>641468069.67999995</v>
      </c>
      <c r="AU85" s="342">
        <v>642507688.91000009</v>
      </c>
      <c r="AW85" s="342">
        <f>+AW76</f>
        <v>637381142.38999999</v>
      </c>
      <c r="AY85" s="342">
        <v>637381142.38999999</v>
      </c>
      <c r="BA85" s="342">
        <v>636490030.63999999</v>
      </c>
      <c r="BC85" s="342">
        <v>633448024.21000004</v>
      </c>
      <c r="BE85" s="342">
        <v>629403132.83000004</v>
      </c>
      <c r="BG85" s="342">
        <v>628339096.33000004</v>
      </c>
      <c r="BI85" s="342">
        <v>627344290.20000005</v>
      </c>
      <c r="BK85" s="342">
        <v>626724299.25999999</v>
      </c>
      <c r="BM85" s="342">
        <v>626798742.63</v>
      </c>
      <c r="BO85" s="342">
        <v>625152772.38</v>
      </c>
      <c r="BQ85" s="342">
        <v>622907473.91999996</v>
      </c>
      <c r="BS85" s="342">
        <v>620029783.80999994</v>
      </c>
      <c r="BU85" s="342">
        <f>+BU76</f>
        <v>618949702.19000006</v>
      </c>
      <c r="BW85" s="342">
        <v>618310883.98899996</v>
      </c>
      <c r="BY85" s="342">
        <f>+BY76</f>
        <v>628212132.21899998</v>
      </c>
      <c r="CA85" s="342">
        <v>198678328.61899996</v>
      </c>
      <c r="CC85" s="342">
        <v>198813802.28899997</v>
      </c>
      <c r="CE85" s="342">
        <v>205991898.609</v>
      </c>
      <c r="CG85" s="342">
        <f>+CG76</f>
        <v>205350008.89899999</v>
      </c>
      <c r="CI85" s="342">
        <v>202365370.11899999</v>
      </c>
      <c r="CK85" s="342">
        <v>199189447.639</v>
      </c>
      <c r="CM85" s="342">
        <f>+CM76</f>
        <v>197814195.109</v>
      </c>
      <c r="CO85" s="342">
        <f>+CO76</f>
        <v>194673846.68899998</v>
      </c>
      <c r="CQ85" s="342">
        <f>+CQ76</f>
        <v>195645764.49900001</v>
      </c>
      <c r="CS85" s="342">
        <f>+CS76</f>
        <v>188425403.89000002</v>
      </c>
      <c r="CU85" s="342">
        <f>+CU76</f>
        <v>102934429.29000001</v>
      </c>
      <c r="CW85" s="342">
        <f>+CW76</f>
        <v>152715907.59</v>
      </c>
      <c r="CY85" s="343">
        <f>+CY76</f>
        <v>107602697.31</v>
      </c>
      <c r="DA85" s="343">
        <f>+DA76</f>
        <v>106553858.94</v>
      </c>
      <c r="DC85" s="343">
        <f>+DC76</f>
        <v>107557026.02</v>
      </c>
      <c r="DD85" s="157"/>
      <c r="DE85" s="343">
        <f>+DE76</f>
        <v>108154578.64999999</v>
      </c>
      <c r="DF85" s="157"/>
      <c r="DG85" s="343">
        <f>+DG76</f>
        <v>107924511.19</v>
      </c>
      <c r="DH85" s="157"/>
      <c r="DI85" s="343">
        <f>+DI76</f>
        <v>107796951.84</v>
      </c>
      <c r="DJ85" s="157"/>
      <c r="DK85" s="666">
        <f>+DK76</f>
        <v>106680830.55</v>
      </c>
      <c r="DL85" s="659"/>
      <c r="DM85" s="666">
        <f>+DM76</f>
        <v>106202573.95999999</v>
      </c>
      <c r="DN85" s="659"/>
      <c r="DO85" s="666">
        <f>+DO76</f>
        <v>105361632.56</v>
      </c>
      <c r="DP85" s="659"/>
      <c r="DQ85" s="666">
        <f>+DQ76</f>
        <v>104107446.28999999</v>
      </c>
      <c r="DR85" s="659"/>
      <c r="DS85" s="666">
        <v>103694409.42999999</v>
      </c>
      <c r="DT85" s="659"/>
      <c r="DU85" s="666">
        <v>103836502.88</v>
      </c>
      <c r="DV85" s="659"/>
      <c r="DW85" s="666">
        <v>102927624.31</v>
      </c>
      <c r="DX85" s="659"/>
      <c r="DY85" s="666">
        <v>102193067.19</v>
      </c>
      <c r="DZ85" s="659"/>
      <c r="EA85" s="666">
        <v>101563930.7</v>
      </c>
      <c r="EB85" s="659"/>
      <c r="EC85" s="666">
        <v>100674814.53999999</v>
      </c>
      <c r="ED85" s="659"/>
      <c r="EE85" s="666">
        <v>100122357.12</v>
      </c>
      <c r="EF85" s="659"/>
      <c r="EG85" s="666">
        <v>99185937.25</v>
      </c>
      <c r="EI85" s="666">
        <v>99364897.590000004</v>
      </c>
      <c r="EK85" s="666">
        <v>100729579.20999999</v>
      </c>
      <c r="EM85" s="666">
        <v>102546494.78999999</v>
      </c>
      <c r="EO85" s="666">
        <v>104367161.03</v>
      </c>
      <c r="EQ85" s="666">
        <v>106476544.97</v>
      </c>
      <c r="ES85" s="666">
        <v>108456971.22999999</v>
      </c>
      <c r="EU85" s="667">
        <v>107830844.61999999</v>
      </c>
      <c r="EV85" s="667"/>
      <c r="EW85" s="667">
        <v>108178892.67999999</v>
      </c>
      <c r="EX85" s="667"/>
      <c r="EY85" s="667">
        <v>108779599.05</v>
      </c>
      <c r="EZ85" s="667"/>
      <c r="FA85" s="667">
        <v>108267676.59</v>
      </c>
      <c r="FB85" s="667"/>
      <c r="FC85" s="667">
        <v>108167362.59</v>
      </c>
      <c r="FD85" s="667"/>
      <c r="FE85" s="667">
        <v>107364336.34999999</v>
      </c>
      <c r="FF85" s="667"/>
      <c r="FG85" s="667">
        <v>107591990.07000001</v>
      </c>
      <c r="FH85" s="667"/>
      <c r="FI85" s="667">
        <v>21695943.629999999</v>
      </c>
      <c r="FJ85" s="667"/>
      <c r="FK85" s="667">
        <v>21083322.359999999</v>
      </c>
      <c r="FL85" s="667"/>
      <c r="FM85" s="667">
        <v>20483098.919999998</v>
      </c>
      <c r="FN85" s="667"/>
      <c r="FO85" s="667">
        <v>19722655.599999998</v>
      </c>
      <c r="FP85" s="667"/>
      <c r="FQ85" s="667">
        <v>20098976.850000001</v>
      </c>
      <c r="FR85" s="667"/>
      <c r="FS85" s="667">
        <v>19022545.5</v>
      </c>
      <c r="FT85" s="667"/>
      <c r="FU85" s="667">
        <v>19363081.120000001</v>
      </c>
      <c r="FV85" s="667"/>
      <c r="FW85" s="667">
        <v>19345917.5</v>
      </c>
      <c r="FY85" s="667">
        <v>19284253.190000001</v>
      </c>
      <c r="FZ85" s="672"/>
      <c r="GA85" s="667">
        <v>19206556.449999999</v>
      </c>
      <c r="GB85" s="672"/>
      <c r="GC85" s="667">
        <v>18915538.449999999</v>
      </c>
      <c r="GE85" s="335"/>
      <c r="GF85" s="335"/>
      <c r="GG85" s="335"/>
    </row>
    <row r="86" spans="1:194" ht="14.25" customHeight="1">
      <c r="B86" s="334"/>
      <c r="C86" s="222"/>
      <c r="D86" s="222"/>
      <c r="E86" s="222"/>
      <c r="F86" s="222" t="s">
        <v>511</v>
      </c>
      <c r="G86" s="349">
        <f>G84/G85</f>
        <v>0</v>
      </c>
      <c r="H86" s="222"/>
      <c r="I86" s="349">
        <f>I84/I85</f>
        <v>0</v>
      </c>
      <c r="J86" s="222"/>
      <c r="K86" s="349">
        <f>K84/K85</f>
        <v>0</v>
      </c>
      <c r="L86" s="222"/>
      <c r="M86" s="349">
        <f>M84/M85</f>
        <v>0</v>
      </c>
      <c r="N86" s="222"/>
      <c r="O86" s="349">
        <f>O84/O85</f>
        <v>0</v>
      </c>
      <c r="P86" s="222"/>
      <c r="Q86" s="349">
        <f>Q84/Q85</f>
        <v>0</v>
      </c>
      <c r="R86" s="222"/>
      <c r="S86" s="349">
        <v>0</v>
      </c>
      <c r="T86" s="222"/>
      <c r="U86" s="349">
        <v>0</v>
      </c>
      <c r="V86" s="222"/>
      <c r="W86" s="349">
        <v>0</v>
      </c>
      <c r="X86" s="222"/>
      <c r="Y86" s="349">
        <f>Y84/Y85</f>
        <v>0</v>
      </c>
      <c r="Z86" s="222"/>
      <c r="AA86" s="349">
        <f>AA84/AA85</f>
        <v>0</v>
      </c>
      <c r="AB86" s="222"/>
      <c r="AC86" s="349">
        <v>0</v>
      </c>
      <c r="AD86" s="222"/>
      <c r="AE86" s="349">
        <v>0</v>
      </c>
      <c r="AF86" s="222"/>
      <c r="AG86" s="349">
        <v>0</v>
      </c>
      <c r="AH86" s="222"/>
      <c r="AI86" s="349">
        <v>0</v>
      </c>
      <c r="AJ86" s="222"/>
      <c r="AK86" s="349">
        <v>0</v>
      </c>
      <c r="AL86" s="222"/>
      <c r="AM86" s="349">
        <v>0</v>
      </c>
      <c r="AN86" s="222"/>
      <c r="AO86" s="349">
        <v>0</v>
      </c>
      <c r="AP86" s="222"/>
      <c r="AQ86" s="349">
        <v>0</v>
      </c>
      <c r="AR86" s="222"/>
      <c r="AS86" s="349">
        <v>0</v>
      </c>
      <c r="AT86" s="808" t="str">
        <f>IF(AS86-AU86=0,"Investigate","Fine")</f>
        <v>Investigate</v>
      </c>
      <c r="AU86" s="349">
        <v>0</v>
      </c>
      <c r="AV86" s="808" t="str">
        <f>IF(AU86-AW86=0,"Investigate","Fine")</f>
        <v>Investigate</v>
      </c>
      <c r="AW86" s="349">
        <f>AW84/AW85</f>
        <v>0</v>
      </c>
      <c r="AX86" s="808" t="str">
        <f>IF(AW86-AY86=0,"Investigate","Fine")</f>
        <v>Investigate</v>
      </c>
      <c r="AY86" s="349">
        <v>0</v>
      </c>
      <c r="AZ86" s="808" t="str">
        <f>IF(AY86-BA86=0,"Investigate","Fine")</f>
        <v>Investigate</v>
      </c>
      <c r="BA86" s="349">
        <v>0</v>
      </c>
      <c r="BB86" s="808" t="str">
        <f>IF(BA86-BC86=0,"Investigate","Fine")</f>
        <v>Investigate</v>
      </c>
      <c r="BC86" s="349">
        <v>0</v>
      </c>
      <c r="BD86" s="808" t="str">
        <f>IF(BC86-BE86=0,"Investigate","Fine")</f>
        <v>Investigate</v>
      </c>
      <c r="BE86" s="349">
        <v>0</v>
      </c>
      <c r="BF86" s="808" t="str">
        <f>IF(BE86-BG86=0,"Investigate","Fine")</f>
        <v>Investigate</v>
      </c>
      <c r="BG86" s="349">
        <v>0</v>
      </c>
      <c r="BH86" s="808" t="str">
        <f>IF(BG86-BI86=0,"Investigate","Fine")</f>
        <v>Investigate</v>
      </c>
      <c r="BI86" s="349">
        <v>0</v>
      </c>
      <c r="BJ86" s="808" t="str">
        <f>IF(BI86-BK86=0,"Investigate","Fine")</f>
        <v>Investigate</v>
      </c>
      <c r="BK86" s="349">
        <v>0</v>
      </c>
      <c r="BL86" s="808" t="str">
        <f>IF(BK86-BM86=0,"Investigate","Fine")</f>
        <v>Investigate</v>
      </c>
      <c r="BM86" s="349">
        <v>0</v>
      </c>
      <c r="BN86" s="222"/>
      <c r="BO86" s="349">
        <v>0</v>
      </c>
      <c r="BP86" s="222"/>
      <c r="BQ86" s="349">
        <v>0</v>
      </c>
      <c r="BR86" s="222"/>
      <c r="BS86" s="349">
        <v>0</v>
      </c>
      <c r="BT86" s="222"/>
      <c r="BU86" s="349">
        <f>BU84/BU85</f>
        <v>0</v>
      </c>
      <c r="BV86" s="222"/>
      <c r="BW86" s="349">
        <v>0</v>
      </c>
      <c r="BX86" s="222"/>
      <c r="BY86" s="349">
        <f>BY84/BY85</f>
        <v>0</v>
      </c>
      <c r="BZ86" s="222"/>
      <c r="CA86" s="349">
        <v>0</v>
      </c>
      <c r="CB86" s="222"/>
      <c r="CC86" s="349">
        <v>0</v>
      </c>
      <c r="CD86" s="222"/>
      <c r="CE86" s="349">
        <v>0</v>
      </c>
      <c r="CF86" s="222"/>
      <c r="CG86" s="349">
        <f>CG84/CG85</f>
        <v>0</v>
      </c>
      <c r="CH86" s="222"/>
      <c r="CI86" s="349">
        <f>CI84/CI85</f>
        <v>0</v>
      </c>
      <c r="CJ86" s="222"/>
      <c r="CK86" s="349">
        <f>CK84/CK85</f>
        <v>0</v>
      </c>
      <c r="CL86" s="222"/>
      <c r="CM86" s="349">
        <f>CM84/CM85</f>
        <v>-5.1587975719106435E-3</v>
      </c>
      <c r="CN86" s="222"/>
      <c r="CO86" s="349">
        <f>CO84/CO85</f>
        <v>-5.5318618870279475E-3</v>
      </c>
      <c r="CP86" s="222"/>
      <c r="CQ86" s="349">
        <f>CQ84/CQ85</f>
        <v>-5.3461370168784699E-3</v>
      </c>
      <c r="CR86" s="222"/>
      <c r="CS86" s="349">
        <f>CS84/CS85</f>
        <v>-6.4133048637901122E-3</v>
      </c>
      <c r="CT86" s="222"/>
      <c r="CU86" s="349">
        <f>CU84/CU85</f>
        <v>-1.0090975850385455E-2</v>
      </c>
      <c r="CV86" s="222"/>
      <c r="CW86" s="349">
        <f>CW84/CW85</f>
        <v>-2.4184843401617244E-2</v>
      </c>
      <c r="CX86" s="222"/>
      <c r="CY86" s="350">
        <f>CY84/CY85</f>
        <v>-9.7621042162707016E-3</v>
      </c>
      <c r="CZ86" s="222"/>
      <c r="DA86" s="350">
        <f>DA84/DA85</f>
        <v>-1.2814085417299106E-2</v>
      </c>
      <c r="DB86" s="222"/>
      <c r="DC86" s="350">
        <f>DC84/DC85</f>
        <v>-1.1122729813834269E-2</v>
      </c>
      <c r="DD86" s="212"/>
      <c r="DE86" s="350">
        <f>DE84/DE85</f>
        <v>-1.2777056480169613E-2</v>
      </c>
      <c r="DF86" s="212"/>
      <c r="DG86" s="350">
        <f>DG84/DG85</f>
        <v>-1.1138868981149398E-2</v>
      </c>
      <c r="DH86" s="212"/>
      <c r="DI86" s="350">
        <f>DI84/DI85</f>
        <v>-3.9844940943925669E-2</v>
      </c>
      <c r="DJ86" s="212"/>
      <c r="DK86" s="673">
        <f>DK84/DK85</f>
        <v>-6.597755851461172E-2</v>
      </c>
      <c r="DL86" s="677"/>
      <c r="DM86" s="673">
        <f>DM84/DM85</f>
        <v>-1.3549975733563703E-3</v>
      </c>
      <c r="DN86" s="677"/>
      <c r="DO86" s="673">
        <f>DO84/DO85</f>
        <v>-4.6247634756657443E-3</v>
      </c>
      <c r="DP86" s="677"/>
      <c r="DQ86" s="673">
        <f>DQ84/DQ85</f>
        <v>-2.3234126723866155E-3</v>
      </c>
      <c r="DR86" s="677"/>
      <c r="DS86" s="673">
        <v>-3.5001318006931513E-4</v>
      </c>
      <c r="DT86" s="677"/>
      <c r="DU86" s="673">
        <v>-6.7432586862944486E-3</v>
      </c>
      <c r="DV86" s="677"/>
      <c r="DW86" s="673">
        <v>3.2708953632572875E-2</v>
      </c>
      <c r="DX86" s="677"/>
      <c r="DY86" s="673">
        <v>-6.5251288346125447E-3</v>
      </c>
      <c r="DZ86" s="677"/>
      <c r="EA86" s="673">
        <v>-3.3742144099329234E-2</v>
      </c>
      <c r="EB86" s="677"/>
      <c r="EC86" s="673">
        <v>-3.7003803354610003E-2</v>
      </c>
      <c r="ED86" s="677"/>
      <c r="EE86" s="673">
        <v>-4.4122379201635621E-2</v>
      </c>
      <c r="EF86" s="677"/>
      <c r="EG86" s="674">
        <v>-4.1221163134192072E-2</v>
      </c>
      <c r="EH86" s="678"/>
      <c r="EI86" s="674">
        <v>-7.3337533140409278E-2</v>
      </c>
      <c r="EJ86" s="678"/>
      <c r="EK86" s="674">
        <v>-4.6763763454572352E-2</v>
      </c>
      <c r="EL86" s="678"/>
      <c r="EM86" s="674">
        <v>-4.7602970242879621E-2</v>
      </c>
      <c r="EN86" s="678"/>
      <c r="EO86" s="674">
        <v>-4.817572974256553E-2</v>
      </c>
      <c r="EP86" s="678"/>
      <c r="EQ86" s="674">
        <v>-0.13975805781377229</v>
      </c>
      <c r="ER86" s="678"/>
      <c r="ES86" s="674">
        <v>-0.11900812814169526</v>
      </c>
      <c r="ET86" s="678"/>
      <c r="EU86" s="674">
        <v>-0.11675277342365317</v>
      </c>
      <c r="EV86" s="674"/>
      <c r="EW86" s="674">
        <v>-0.19362509895493227</v>
      </c>
      <c r="EX86" s="674"/>
      <c r="EY86" s="674">
        <v>-0.19898431203125491</v>
      </c>
      <c r="EZ86" s="674"/>
      <c r="FA86" s="674">
        <v>-0.21724637297862226</v>
      </c>
      <c r="FB86" s="674"/>
      <c r="FC86" s="674">
        <v>-0.19361443201108558</v>
      </c>
      <c r="FD86" s="674"/>
      <c r="FE86" s="674">
        <v>-0.21960211064071836</v>
      </c>
      <c r="FF86" s="674"/>
      <c r="FG86" s="674">
        <v>-0.23124335755675651</v>
      </c>
      <c r="FH86" s="674"/>
      <c r="FI86" s="674">
        <v>-0.136459232679155</v>
      </c>
      <c r="FJ86" s="674"/>
      <c r="FK86" s="674">
        <v>-0.13709458265855598</v>
      </c>
      <c r="FL86" s="674"/>
      <c r="FM86" s="674">
        <v>-0.15021963434427446</v>
      </c>
      <c r="FN86" s="674"/>
      <c r="FO86" s="674">
        <v>-0.15333909445744207</v>
      </c>
      <c r="FP86" s="674"/>
      <c r="FQ86" s="674">
        <v>-0.14724877251649743</v>
      </c>
      <c r="FR86" s="674"/>
      <c r="FS86" s="674">
        <v>-0.23632972148758929</v>
      </c>
      <c r="FT86" s="674"/>
      <c r="FU86" s="674">
        <v>-0.2281279308093917</v>
      </c>
      <c r="FV86" s="674"/>
      <c r="FW86" s="674">
        <v>-0.2356501173955694</v>
      </c>
      <c r="FX86" s="674"/>
      <c r="FY86" s="674">
        <v>-0.19480363449843302</v>
      </c>
      <c r="FZ86" s="686"/>
      <c r="GA86" s="674">
        <v>-0.2406600346102124</v>
      </c>
      <c r="GB86" s="686"/>
      <c r="GC86" s="674">
        <v>-0.24049730051432922</v>
      </c>
      <c r="GD86" s="222"/>
      <c r="GE86" s="288"/>
      <c r="GF86" s="357" t="s">
        <v>495</v>
      </c>
      <c r="GG86" s="288"/>
      <c r="GH86" s="222"/>
      <c r="GI86" s="222"/>
      <c r="GJ86" s="348" t="s">
        <v>495</v>
      </c>
      <c r="GK86" s="222"/>
      <c r="GL86" s="222"/>
    </row>
    <row r="87" spans="1:194" ht="14.25" customHeight="1">
      <c r="B87" s="334"/>
      <c r="E87" s="341"/>
      <c r="CY87" s="343"/>
      <c r="DA87" s="343"/>
      <c r="DC87" s="343"/>
      <c r="DD87" s="157"/>
      <c r="DE87" s="343"/>
      <c r="DF87" s="157"/>
      <c r="DG87" s="343"/>
      <c r="DH87" s="157"/>
      <c r="DI87" s="343"/>
      <c r="DJ87" s="157"/>
      <c r="DK87" s="666"/>
      <c r="DL87" s="659"/>
      <c r="DM87" s="666"/>
      <c r="DN87" s="659"/>
      <c r="DO87" s="666"/>
      <c r="DP87" s="659"/>
      <c r="DQ87" s="666"/>
      <c r="DR87" s="659"/>
      <c r="DS87" s="666"/>
      <c r="DT87" s="659"/>
      <c r="DU87" s="666"/>
      <c r="DV87" s="659"/>
      <c r="DW87" s="666"/>
      <c r="DX87" s="659"/>
      <c r="DY87" s="666"/>
      <c r="DZ87" s="659"/>
      <c r="EA87" s="666"/>
      <c r="EB87" s="659"/>
      <c r="EC87" s="666"/>
      <c r="ED87" s="659"/>
      <c r="EE87" s="666"/>
      <c r="EF87" s="659"/>
      <c r="EG87" s="667"/>
      <c r="EI87" s="667"/>
      <c r="EK87" s="667"/>
      <c r="EM87" s="667"/>
      <c r="EO87" s="667"/>
      <c r="EQ87" s="667"/>
      <c r="ES87" s="667"/>
      <c r="EU87" s="667"/>
      <c r="EV87" s="667"/>
      <c r="EW87" s="667"/>
      <c r="EX87" s="667"/>
      <c r="EY87" s="667"/>
      <c r="EZ87" s="667"/>
      <c r="FA87" s="667"/>
      <c r="FB87" s="667"/>
      <c r="FC87" s="667"/>
      <c r="FD87" s="667"/>
      <c r="FE87" s="667"/>
      <c r="FF87" s="667"/>
      <c r="FG87" s="667"/>
      <c r="FH87" s="667"/>
      <c r="FI87" s="667"/>
      <c r="FJ87" s="667"/>
      <c r="FK87" s="667"/>
      <c r="FL87" s="667"/>
      <c r="FM87" s="667"/>
      <c r="FN87" s="667"/>
      <c r="FO87" s="667"/>
      <c r="FP87" s="667"/>
      <c r="FQ87" s="667"/>
      <c r="FR87" s="667"/>
      <c r="FS87" s="667"/>
      <c r="FT87" s="667"/>
      <c r="FU87" s="667"/>
      <c r="FV87" s="667"/>
      <c r="FW87" s="667"/>
      <c r="FY87" s="667"/>
      <c r="FZ87" s="672"/>
      <c r="GA87" s="667"/>
      <c r="GB87" s="672"/>
      <c r="GC87" s="667"/>
      <c r="GE87" s="335"/>
      <c r="GF87" s="335"/>
      <c r="GG87" s="335"/>
    </row>
    <row r="88" spans="1:194" ht="14.25" hidden="1" customHeight="1" outlineLevel="1">
      <c r="B88" s="337" t="s">
        <v>642</v>
      </c>
      <c r="C88" s="222" t="s">
        <v>513</v>
      </c>
      <c r="D88" s="222" t="s">
        <v>518</v>
      </c>
      <c r="E88" s="341"/>
      <c r="CY88" s="343"/>
      <c r="DA88" s="343"/>
      <c r="DC88" s="343"/>
      <c r="DD88" s="157"/>
      <c r="DE88" s="343"/>
      <c r="DF88" s="157"/>
      <c r="DG88" s="343"/>
      <c r="DH88" s="157"/>
      <c r="DI88" s="343"/>
      <c r="DJ88" s="157"/>
      <c r="DK88" s="666"/>
      <c r="DL88" s="659"/>
      <c r="DM88" s="666"/>
      <c r="DN88" s="659"/>
      <c r="DO88" s="666"/>
      <c r="DP88" s="659"/>
      <c r="DQ88" s="666"/>
      <c r="DR88" s="659"/>
      <c r="DS88" s="666"/>
      <c r="DT88" s="659"/>
      <c r="DU88" s="666"/>
      <c r="DV88" s="659"/>
      <c r="DW88" s="666"/>
      <c r="DX88" s="659"/>
      <c r="DY88" s="666"/>
      <c r="DZ88" s="659"/>
      <c r="EA88" s="666"/>
      <c r="EB88" s="659"/>
      <c r="EC88" s="666"/>
      <c r="ED88" s="659"/>
      <c r="EE88" s="666"/>
      <c r="EF88" s="659"/>
      <c r="EG88" s="667"/>
      <c r="EI88" s="667"/>
      <c r="EK88" s="667"/>
      <c r="EM88" s="667"/>
      <c r="EO88" s="667"/>
      <c r="EQ88" s="667"/>
      <c r="ES88" s="667"/>
      <c r="EU88" s="667"/>
      <c r="EV88" s="667"/>
      <c r="EW88" s="667"/>
      <c r="EX88" s="667"/>
      <c r="EY88" s="667"/>
      <c r="EZ88" s="667"/>
      <c r="FA88" s="667"/>
      <c r="FB88" s="667"/>
      <c r="FC88" s="667"/>
      <c r="FD88" s="667"/>
      <c r="FE88" s="667"/>
      <c r="FF88" s="667"/>
      <c r="FG88" s="667"/>
      <c r="FH88" s="667"/>
      <c r="FI88" s="667"/>
      <c r="FJ88" s="667"/>
      <c r="FK88" s="667"/>
      <c r="FL88" s="667"/>
      <c r="FM88" s="667"/>
      <c r="FN88" s="667"/>
      <c r="FO88" s="667"/>
      <c r="FP88" s="667"/>
      <c r="FQ88" s="667"/>
      <c r="FR88" s="667"/>
      <c r="FS88" s="667"/>
      <c r="FT88" s="667"/>
      <c r="FU88" s="667"/>
      <c r="FV88" s="667"/>
      <c r="FW88" s="667"/>
      <c r="FY88" s="667"/>
      <c r="FZ88" s="672"/>
      <c r="GA88" s="667"/>
      <c r="GB88" s="672"/>
      <c r="GC88" s="667"/>
      <c r="GE88" s="335"/>
      <c r="GF88" s="335"/>
    </row>
    <row r="89" spans="1:194" ht="14.25" hidden="1" customHeight="1" outlineLevel="1">
      <c r="B89" s="334"/>
      <c r="C89" s="339" t="s">
        <v>493</v>
      </c>
      <c r="D89" s="360" t="s">
        <v>519</v>
      </c>
      <c r="E89" s="341"/>
      <c r="CY89" s="343"/>
      <c r="DA89" s="343"/>
      <c r="DC89" s="343"/>
      <c r="DD89" s="157"/>
      <c r="DE89" s="343"/>
      <c r="DF89" s="157"/>
      <c r="DG89" s="343"/>
      <c r="DH89" s="157"/>
      <c r="DI89" s="343"/>
      <c r="DJ89" s="157"/>
      <c r="DK89" s="666"/>
      <c r="DL89" s="659"/>
      <c r="DM89" s="666"/>
      <c r="DN89" s="659"/>
      <c r="DO89" s="666"/>
      <c r="DP89" s="659"/>
      <c r="DQ89" s="666"/>
      <c r="DR89" s="659"/>
      <c r="DS89" s="666"/>
      <c r="DT89" s="659"/>
      <c r="DU89" s="666"/>
      <c r="DV89" s="659"/>
      <c r="DW89" s="666"/>
      <c r="DX89" s="659"/>
      <c r="DY89" s="666"/>
      <c r="DZ89" s="659"/>
      <c r="EA89" s="666"/>
      <c r="EB89" s="659"/>
      <c r="EC89" s="666"/>
      <c r="ED89" s="659"/>
      <c r="EE89" s="666"/>
      <c r="EF89" s="659"/>
      <c r="EG89" s="667"/>
      <c r="EI89" s="667"/>
      <c r="EK89" s="667"/>
      <c r="EM89" s="667"/>
      <c r="EO89" s="667"/>
      <c r="EQ89" s="667"/>
      <c r="ES89" s="667"/>
      <c r="EU89" s="667"/>
      <c r="EV89" s="667"/>
      <c r="EW89" s="667"/>
      <c r="EX89" s="667"/>
      <c r="EY89" s="667"/>
      <c r="EZ89" s="667"/>
      <c r="FA89" s="667"/>
      <c r="FB89" s="667"/>
      <c r="FC89" s="667"/>
      <c r="FD89" s="667"/>
      <c r="FE89" s="667"/>
      <c r="FF89" s="667"/>
      <c r="FG89" s="667"/>
      <c r="FH89" s="667"/>
      <c r="FI89" s="667"/>
      <c r="FJ89" s="667"/>
      <c r="FK89" s="667"/>
      <c r="FL89" s="667"/>
      <c r="FM89" s="667"/>
      <c r="FN89" s="667"/>
      <c r="FO89" s="667"/>
      <c r="FP89" s="667"/>
      <c r="FQ89" s="667"/>
      <c r="FR89" s="667"/>
      <c r="FS89" s="667"/>
      <c r="FT89" s="667"/>
      <c r="FU89" s="667"/>
      <c r="FV89" s="667"/>
      <c r="FW89" s="667"/>
      <c r="FY89" s="667"/>
      <c r="FZ89" s="672"/>
      <c r="GA89" s="667"/>
      <c r="GB89" s="672"/>
      <c r="GC89" s="667"/>
      <c r="GE89" s="335"/>
      <c r="GF89" s="335"/>
      <c r="GG89" s="335"/>
    </row>
    <row r="90" spans="1:194" ht="14.25" hidden="1" customHeight="1" outlineLevel="1">
      <c r="B90" s="334"/>
      <c r="E90" s="361" t="s">
        <v>520</v>
      </c>
      <c r="CY90" s="343"/>
      <c r="DA90" s="343"/>
      <c r="DC90" s="343"/>
      <c r="DD90" s="157"/>
      <c r="DE90" s="343"/>
      <c r="DF90" s="157"/>
      <c r="DG90" s="343"/>
      <c r="DH90" s="157"/>
      <c r="DI90" s="343"/>
      <c r="DJ90" s="157"/>
      <c r="DK90" s="666"/>
      <c r="DL90" s="659"/>
      <c r="DM90" s="666"/>
      <c r="DN90" s="659"/>
      <c r="DO90" s="666"/>
      <c r="DP90" s="659"/>
      <c r="DQ90" s="666"/>
      <c r="DR90" s="659"/>
      <c r="DS90" s="666"/>
      <c r="DT90" s="659"/>
      <c r="DU90" s="666"/>
      <c r="DV90" s="659"/>
      <c r="DW90" s="666"/>
      <c r="DX90" s="659"/>
      <c r="DY90" s="666"/>
      <c r="DZ90" s="659"/>
      <c r="EA90" s="666"/>
      <c r="EB90" s="659"/>
      <c r="EC90" s="666"/>
      <c r="ED90" s="659"/>
      <c r="EE90" s="666"/>
      <c r="EF90" s="659"/>
      <c r="EG90" s="667"/>
      <c r="EI90" s="667"/>
      <c r="EK90" s="667"/>
      <c r="EM90" s="667"/>
      <c r="EO90" s="667"/>
      <c r="EQ90" s="667"/>
      <c r="ES90" s="667"/>
      <c r="EU90" s="667"/>
      <c r="EV90" s="667"/>
      <c r="EW90" s="667"/>
      <c r="EX90" s="667"/>
      <c r="EY90" s="667"/>
      <c r="EZ90" s="667"/>
      <c r="FA90" s="667"/>
      <c r="FB90" s="667"/>
      <c r="FC90" s="667"/>
      <c r="FD90" s="667"/>
      <c r="FE90" s="667"/>
      <c r="FF90" s="667"/>
      <c r="FG90" s="667"/>
      <c r="FH90" s="667"/>
      <c r="FI90" s="667"/>
      <c r="FJ90" s="667"/>
      <c r="FK90" s="667"/>
      <c r="FL90" s="667"/>
      <c r="FM90" s="667"/>
      <c r="FN90" s="667"/>
      <c r="FO90" s="667"/>
      <c r="FP90" s="667"/>
      <c r="FQ90" s="667"/>
      <c r="FR90" s="667"/>
      <c r="FS90" s="667"/>
      <c r="FT90" s="667"/>
      <c r="FU90" s="667"/>
      <c r="FV90" s="667"/>
      <c r="FW90" s="667"/>
      <c r="FY90" s="667"/>
      <c r="FZ90" s="672"/>
      <c r="GA90" s="667"/>
      <c r="GB90" s="672"/>
      <c r="GC90" s="667"/>
      <c r="GE90" s="335"/>
      <c r="GF90" s="335"/>
      <c r="GG90" s="335"/>
    </row>
    <row r="91" spans="1:194" ht="14.25" hidden="1" customHeight="1" outlineLevel="1">
      <c r="A91" s="222"/>
      <c r="B91" s="334"/>
      <c r="E91" s="341" t="s">
        <v>521</v>
      </c>
      <c r="G91" s="557">
        <v>0</v>
      </c>
      <c r="I91" s="557">
        <v>0</v>
      </c>
      <c r="K91" s="557">
        <v>0</v>
      </c>
      <c r="M91" s="557">
        <v>0</v>
      </c>
      <c r="O91" s="557">
        <v>0</v>
      </c>
      <c r="Q91" s="557">
        <v>0</v>
      </c>
      <c r="S91" s="557">
        <v>0</v>
      </c>
      <c r="U91" s="557">
        <v>0</v>
      </c>
      <c r="W91" s="557">
        <v>0</v>
      </c>
      <c r="Y91" s="557">
        <v>0</v>
      </c>
      <c r="AA91" s="557">
        <v>0</v>
      </c>
      <c r="AC91" s="557">
        <v>0</v>
      </c>
      <c r="AE91" s="557">
        <v>0</v>
      </c>
      <c r="AG91" s="557">
        <v>0</v>
      </c>
      <c r="AI91" s="557">
        <v>0</v>
      </c>
      <c r="AK91" s="557">
        <v>0</v>
      </c>
      <c r="AM91" s="557">
        <v>0</v>
      </c>
      <c r="AO91" s="557">
        <v>0</v>
      </c>
      <c r="AQ91" s="557">
        <v>0</v>
      </c>
      <c r="AS91" s="557">
        <v>0</v>
      </c>
      <c r="AU91" s="557">
        <v>0</v>
      </c>
      <c r="AW91" s="557">
        <v>0</v>
      </c>
      <c r="AY91" s="557">
        <v>0</v>
      </c>
      <c r="BA91" s="557">
        <v>0</v>
      </c>
      <c r="BC91" s="557">
        <v>0</v>
      </c>
      <c r="BE91" s="557">
        <v>0</v>
      </c>
      <c r="BG91" s="557">
        <v>0</v>
      </c>
      <c r="BI91" s="343">
        <v>0</v>
      </c>
      <c r="BK91" s="343">
        <v>0</v>
      </c>
      <c r="BM91" s="343">
        <v>0</v>
      </c>
      <c r="BO91" s="343">
        <v>0</v>
      </c>
      <c r="BQ91" s="343">
        <v>0</v>
      </c>
      <c r="BS91" s="343">
        <v>0</v>
      </c>
      <c r="BU91" s="343">
        <v>0</v>
      </c>
      <c r="BW91" s="557">
        <v>0</v>
      </c>
      <c r="BY91" s="343">
        <v>0</v>
      </c>
      <c r="CA91" s="343">
        <v>0</v>
      </c>
      <c r="CC91" s="557">
        <v>0</v>
      </c>
      <c r="CE91" s="557">
        <v>0</v>
      </c>
      <c r="CG91" s="343">
        <v>0</v>
      </c>
      <c r="CI91" s="557">
        <v>0</v>
      </c>
      <c r="CK91" s="557">
        <v>0</v>
      </c>
      <c r="CM91" s="343">
        <v>0</v>
      </c>
      <c r="CO91" s="343">
        <v>0</v>
      </c>
      <c r="CQ91" s="343">
        <v>0</v>
      </c>
      <c r="CS91" s="343">
        <v>0</v>
      </c>
      <c r="CU91" s="343">
        <v>0</v>
      </c>
      <c r="CW91" s="343">
        <v>0</v>
      </c>
      <c r="CY91" s="343">
        <v>0</v>
      </c>
      <c r="DA91" s="343">
        <v>0</v>
      </c>
      <c r="DC91" s="343">
        <v>0</v>
      </c>
      <c r="DD91" s="157"/>
      <c r="DE91" s="343">
        <v>0</v>
      </c>
      <c r="DF91" s="157"/>
      <c r="DG91" s="343">
        <v>0</v>
      </c>
      <c r="DH91" s="157"/>
      <c r="DI91" s="343">
        <v>0</v>
      </c>
      <c r="DJ91" s="157"/>
      <c r="DK91" s="666">
        <v>0</v>
      </c>
      <c r="DL91" s="659"/>
      <c r="DM91" s="666">
        <v>0</v>
      </c>
      <c r="DN91" s="659"/>
      <c r="DO91" s="666">
        <v>0</v>
      </c>
      <c r="DP91" s="659"/>
      <c r="DQ91" s="666">
        <v>0</v>
      </c>
      <c r="DR91" s="659"/>
      <c r="DS91" s="666">
        <v>0</v>
      </c>
      <c r="DT91" s="659"/>
      <c r="DU91" s="666">
        <v>0</v>
      </c>
      <c r="DV91" s="659"/>
      <c r="DW91" s="666">
        <v>0</v>
      </c>
      <c r="DX91" s="659"/>
      <c r="DY91" s="666">
        <v>0</v>
      </c>
      <c r="DZ91" s="659"/>
      <c r="EA91" s="666">
        <v>0</v>
      </c>
      <c r="EB91" s="659"/>
      <c r="EC91" s="666">
        <v>0</v>
      </c>
      <c r="ED91" s="659"/>
      <c r="EE91" s="666">
        <v>0</v>
      </c>
      <c r="EF91" s="659"/>
      <c r="EG91" s="666">
        <v>0</v>
      </c>
      <c r="EI91" s="666">
        <v>0</v>
      </c>
      <c r="EK91" s="666">
        <v>0</v>
      </c>
      <c r="EM91" s="666">
        <v>0</v>
      </c>
      <c r="EO91" s="666">
        <v>0</v>
      </c>
      <c r="EQ91" s="666">
        <v>0</v>
      </c>
      <c r="ES91" s="666">
        <v>0</v>
      </c>
      <c r="EU91" s="667">
        <v>0</v>
      </c>
      <c r="EV91" s="667"/>
      <c r="EW91" s="667">
        <v>0</v>
      </c>
      <c r="EX91" s="667"/>
      <c r="EY91" s="667">
        <v>0</v>
      </c>
      <c r="EZ91" s="667"/>
      <c r="FA91" s="667">
        <v>0</v>
      </c>
      <c r="FB91" s="667"/>
      <c r="FC91" s="667">
        <v>0</v>
      </c>
      <c r="FD91" s="667"/>
      <c r="FE91" s="667">
        <v>0</v>
      </c>
      <c r="FF91" s="667"/>
      <c r="FG91" s="667">
        <v>0</v>
      </c>
      <c r="FH91" s="667"/>
      <c r="FI91" s="667">
        <v>0</v>
      </c>
      <c r="FJ91" s="667"/>
      <c r="FK91" s="667">
        <v>0</v>
      </c>
      <c r="FL91" s="667"/>
      <c r="FM91" s="667">
        <v>0</v>
      </c>
      <c r="FN91" s="667"/>
      <c r="FO91" s="667">
        <v>0</v>
      </c>
      <c r="FP91" s="667"/>
      <c r="FQ91" s="667">
        <v>0</v>
      </c>
      <c r="FR91" s="667"/>
      <c r="FS91" s="667">
        <v>0</v>
      </c>
      <c r="FT91" s="667"/>
      <c r="FU91" s="667">
        <v>0</v>
      </c>
      <c r="FV91" s="667"/>
      <c r="FW91" s="667">
        <v>0</v>
      </c>
      <c r="FY91" s="667">
        <v>0</v>
      </c>
      <c r="FZ91" s="672"/>
      <c r="GA91" s="667">
        <v>0</v>
      </c>
      <c r="GB91" s="672"/>
      <c r="GC91" s="667">
        <v>0</v>
      </c>
      <c r="GE91" s="335"/>
      <c r="GF91" s="335"/>
      <c r="GG91" s="335"/>
    </row>
    <row r="92" spans="1:194" ht="14.25" hidden="1" customHeight="1" outlineLevel="1">
      <c r="A92" s="222"/>
      <c r="B92" s="334"/>
      <c r="E92" s="341" t="s">
        <v>522</v>
      </c>
      <c r="G92" s="557">
        <v>0</v>
      </c>
      <c r="I92" s="557">
        <v>0</v>
      </c>
      <c r="K92" s="557">
        <v>0</v>
      </c>
      <c r="M92" s="557">
        <v>0</v>
      </c>
      <c r="O92" s="557">
        <v>0</v>
      </c>
      <c r="Q92" s="557">
        <v>0</v>
      </c>
      <c r="S92" s="557">
        <v>0</v>
      </c>
      <c r="U92" s="557">
        <v>0</v>
      </c>
      <c r="W92" s="557">
        <v>0</v>
      </c>
      <c r="Y92" s="557">
        <v>0</v>
      </c>
      <c r="AA92" s="557">
        <v>0</v>
      </c>
      <c r="AC92" s="557">
        <v>0</v>
      </c>
      <c r="AE92" s="557">
        <v>0</v>
      </c>
      <c r="AG92" s="557">
        <v>0</v>
      </c>
      <c r="AI92" s="557">
        <v>0</v>
      </c>
      <c r="AK92" s="557">
        <v>0</v>
      </c>
      <c r="AM92" s="557">
        <v>0</v>
      </c>
      <c r="AO92" s="557">
        <v>0</v>
      </c>
      <c r="AQ92" s="557">
        <v>0</v>
      </c>
      <c r="AS92" s="557">
        <v>0</v>
      </c>
      <c r="AU92" s="557">
        <v>0</v>
      </c>
      <c r="AW92" s="557">
        <v>0</v>
      </c>
      <c r="AY92" s="557">
        <v>0</v>
      </c>
      <c r="BA92" s="557">
        <v>0</v>
      </c>
      <c r="BC92" s="557">
        <v>0</v>
      </c>
      <c r="BE92" s="557">
        <v>0</v>
      </c>
      <c r="BG92" s="557">
        <v>0</v>
      </c>
      <c r="BI92" s="343">
        <v>0</v>
      </c>
      <c r="BK92" s="343">
        <v>0</v>
      </c>
      <c r="BM92" s="343">
        <v>0</v>
      </c>
      <c r="BO92" s="343">
        <v>0</v>
      </c>
      <c r="BQ92" s="343">
        <v>0</v>
      </c>
      <c r="BS92" s="343">
        <v>0</v>
      </c>
      <c r="BU92" s="343">
        <v>0</v>
      </c>
      <c r="BW92" s="557">
        <v>0</v>
      </c>
      <c r="BY92" s="343">
        <v>0</v>
      </c>
      <c r="CA92" s="343">
        <v>0</v>
      </c>
      <c r="CC92" s="557">
        <v>0</v>
      </c>
      <c r="CE92" s="557">
        <v>0</v>
      </c>
      <c r="CG92" s="343">
        <v>0</v>
      </c>
      <c r="CI92" s="557">
        <v>0</v>
      </c>
      <c r="CK92" s="557">
        <v>0</v>
      </c>
      <c r="CM92" s="343">
        <v>0</v>
      </c>
      <c r="CO92" s="343">
        <v>0</v>
      </c>
      <c r="CQ92" s="343">
        <v>0</v>
      </c>
      <c r="CS92" s="343">
        <v>0</v>
      </c>
      <c r="CU92" s="343">
        <v>0</v>
      </c>
      <c r="CW92" s="343">
        <v>0</v>
      </c>
      <c r="CY92" s="343">
        <v>0</v>
      </c>
      <c r="DA92" s="343">
        <v>0</v>
      </c>
      <c r="DC92" s="343">
        <v>0</v>
      </c>
      <c r="DD92" s="157"/>
      <c r="DE92" s="343">
        <v>0</v>
      </c>
      <c r="DF92" s="157"/>
      <c r="DG92" s="343">
        <v>0</v>
      </c>
      <c r="DH92" s="157"/>
      <c r="DI92" s="343">
        <v>0</v>
      </c>
      <c r="DJ92" s="157"/>
      <c r="DK92" s="666">
        <v>0</v>
      </c>
      <c r="DL92" s="659"/>
      <c r="DM92" s="666">
        <v>0</v>
      </c>
      <c r="DN92" s="659"/>
      <c r="DO92" s="666">
        <v>0</v>
      </c>
      <c r="DP92" s="659"/>
      <c r="DQ92" s="666">
        <v>0</v>
      </c>
      <c r="DR92" s="659"/>
      <c r="DS92" s="666">
        <v>0</v>
      </c>
      <c r="DT92" s="659"/>
      <c r="DU92" s="666">
        <v>0</v>
      </c>
      <c r="DV92" s="659"/>
      <c r="DW92" s="666">
        <v>0</v>
      </c>
      <c r="DX92" s="659"/>
      <c r="DY92" s="666">
        <v>0</v>
      </c>
      <c r="DZ92" s="659"/>
      <c r="EA92" s="666">
        <v>0</v>
      </c>
      <c r="EB92" s="659"/>
      <c r="EC92" s="666">
        <v>0</v>
      </c>
      <c r="ED92" s="659"/>
      <c r="EE92" s="666">
        <v>0</v>
      </c>
      <c r="EF92" s="659"/>
      <c r="EG92" s="666">
        <v>0</v>
      </c>
      <c r="EI92" s="666">
        <v>0</v>
      </c>
      <c r="EK92" s="666">
        <v>0</v>
      </c>
      <c r="EM92" s="666">
        <v>0</v>
      </c>
      <c r="EO92" s="666">
        <v>0</v>
      </c>
      <c r="EQ92" s="666">
        <v>0</v>
      </c>
      <c r="ES92" s="666">
        <v>0</v>
      </c>
      <c r="EU92" s="667">
        <v>0</v>
      </c>
      <c r="EV92" s="667"/>
      <c r="EW92" s="667">
        <v>0</v>
      </c>
      <c r="EX92" s="667"/>
      <c r="EY92" s="667">
        <v>0</v>
      </c>
      <c r="EZ92" s="667"/>
      <c r="FA92" s="667">
        <v>0</v>
      </c>
      <c r="FB92" s="667"/>
      <c r="FC92" s="667">
        <v>0</v>
      </c>
      <c r="FD92" s="667"/>
      <c r="FE92" s="667">
        <v>0</v>
      </c>
      <c r="FF92" s="667"/>
      <c r="FG92" s="667">
        <v>0</v>
      </c>
      <c r="FH92" s="667"/>
      <c r="FI92" s="667">
        <v>0</v>
      </c>
      <c r="FJ92" s="667"/>
      <c r="FK92" s="667">
        <v>0</v>
      </c>
      <c r="FL92" s="667"/>
      <c r="FM92" s="667">
        <v>0</v>
      </c>
      <c r="FN92" s="667"/>
      <c r="FO92" s="667">
        <v>0</v>
      </c>
      <c r="FP92" s="667"/>
      <c r="FQ92" s="667">
        <v>0</v>
      </c>
      <c r="FR92" s="667"/>
      <c r="FS92" s="667">
        <v>0</v>
      </c>
      <c r="FT92" s="667"/>
      <c r="FU92" s="667">
        <v>0</v>
      </c>
      <c r="FV92" s="667"/>
      <c r="FW92" s="667">
        <v>0</v>
      </c>
      <c r="FY92" s="667">
        <v>0</v>
      </c>
      <c r="FZ92" s="672"/>
      <c r="GA92" s="667">
        <v>0</v>
      </c>
      <c r="GB92" s="672"/>
      <c r="GC92" s="667">
        <v>0</v>
      </c>
      <c r="GE92" s="335"/>
      <c r="GF92" s="335"/>
      <c r="GG92" s="335"/>
    </row>
    <row r="93" spans="1:194" ht="14.25" hidden="1" customHeight="1" outlineLevel="1">
      <c r="A93" s="222"/>
      <c r="B93" s="334"/>
      <c r="E93" s="341" t="s">
        <v>232</v>
      </c>
      <c r="G93" s="342">
        <f>+G85</f>
        <v>805226197.70000005</v>
      </c>
      <c r="I93" s="342">
        <f>+I85</f>
        <v>557381569.10150695</v>
      </c>
      <c r="K93" s="342">
        <f>+K85</f>
        <v>800448443.55083036</v>
      </c>
      <c r="M93" s="342">
        <f>+M85</f>
        <v>798559795.18083036</v>
      </c>
      <c r="O93" s="342">
        <f>+O85</f>
        <v>804190230.38999999</v>
      </c>
      <c r="Q93" s="342">
        <f>+Q85</f>
        <v>800641531.87083042</v>
      </c>
      <c r="S93" s="342">
        <v>881685771.9000001</v>
      </c>
      <c r="U93" s="342">
        <v>879810443.78000009</v>
      </c>
      <c r="W93" s="342">
        <v>888569415.62683225</v>
      </c>
      <c r="Y93" s="342">
        <f>+Y85</f>
        <v>554076880.5</v>
      </c>
      <c r="AA93" s="342">
        <f>+AA85</f>
        <v>560518584.10000002</v>
      </c>
      <c r="AC93" s="342">
        <v>633550828.04999995</v>
      </c>
      <c r="AE93" s="342">
        <v>637729313.19000006</v>
      </c>
      <c r="AG93" s="342">
        <v>638340523.90999997</v>
      </c>
      <c r="AI93" s="342">
        <v>638936637.18000007</v>
      </c>
      <c r="AK93" s="342">
        <v>641882567.62</v>
      </c>
      <c r="AM93" s="342">
        <v>642276932.21000004</v>
      </c>
      <c r="AO93" s="342">
        <v>641436337</v>
      </c>
      <c r="AQ93" s="342">
        <v>639583918.85000002</v>
      </c>
      <c r="AS93" s="342">
        <v>641468069.67999995</v>
      </c>
      <c r="AU93" s="342">
        <v>642507688.91000009</v>
      </c>
      <c r="AW93" s="342">
        <f>+AW85</f>
        <v>637381142.38999999</v>
      </c>
      <c r="AY93" s="342">
        <v>637381142.38999999</v>
      </c>
      <c r="BA93" s="342">
        <v>636490030.63999999</v>
      </c>
      <c r="BC93" s="342">
        <v>633448024.21000004</v>
      </c>
      <c r="BE93" s="342">
        <v>629403132.83000004</v>
      </c>
      <c r="BG93" s="342">
        <v>628339096.33000004</v>
      </c>
      <c r="BI93" s="342">
        <v>627344290.20000005</v>
      </c>
      <c r="BK93" s="342">
        <v>626724299.25999999</v>
      </c>
      <c r="BM93" s="342">
        <v>626798742.63</v>
      </c>
      <c r="BO93" s="342">
        <v>625152772.38</v>
      </c>
      <c r="BQ93" s="342">
        <v>622907473.91999996</v>
      </c>
      <c r="BS93" s="342">
        <v>620029783.80999994</v>
      </c>
      <c r="BU93" s="342">
        <f>+BU85</f>
        <v>618949702.19000006</v>
      </c>
      <c r="BW93" s="342">
        <v>618310883.98899996</v>
      </c>
      <c r="BY93" s="342">
        <f>+BY85</f>
        <v>628212132.21899998</v>
      </c>
      <c r="CA93" s="342">
        <v>198678328.61899996</v>
      </c>
      <c r="CC93" s="342">
        <v>198813802.28899997</v>
      </c>
      <c r="CE93" s="342">
        <v>205991898.609</v>
      </c>
      <c r="CG93" s="342">
        <f>+CG85</f>
        <v>205350008.89899999</v>
      </c>
      <c r="CI93" s="342">
        <v>202365370.11899999</v>
      </c>
      <c r="CK93" s="342">
        <v>199189447.639</v>
      </c>
      <c r="CM93" s="342">
        <f>+CM85</f>
        <v>197814195.109</v>
      </c>
      <c r="CO93" s="342">
        <f>+CO85</f>
        <v>194673846.68899998</v>
      </c>
      <c r="CQ93" s="342">
        <f>+CQ85</f>
        <v>195645764.49900001</v>
      </c>
      <c r="CS93" s="342">
        <f>+CS85</f>
        <v>188425403.89000002</v>
      </c>
      <c r="CU93" s="342">
        <f>+CU85</f>
        <v>102934429.29000001</v>
      </c>
      <c r="CW93" s="342">
        <f>+CW85</f>
        <v>152715907.59</v>
      </c>
      <c r="CY93" s="343">
        <f>+CY85</f>
        <v>107602697.31</v>
      </c>
      <c r="DA93" s="343">
        <f>+DA85</f>
        <v>106553858.94</v>
      </c>
      <c r="DC93" s="343">
        <f>+DC85</f>
        <v>107557026.02</v>
      </c>
      <c r="DD93" s="157"/>
      <c r="DE93" s="343">
        <f>+DE85</f>
        <v>108154578.64999999</v>
      </c>
      <c r="DF93" s="157"/>
      <c r="DG93" s="343">
        <f>+DG85</f>
        <v>107924511.19</v>
      </c>
      <c r="DH93" s="157"/>
      <c r="DI93" s="343">
        <f>+DI85</f>
        <v>107796951.84</v>
      </c>
      <c r="DJ93" s="157"/>
      <c r="DK93" s="666">
        <f>+DK85</f>
        <v>106680830.55</v>
      </c>
      <c r="DL93" s="659"/>
      <c r="DM93" s="666">
        <f>+DM85</f>
        <v>106202573.95999999</v>
      </c>
      <c r="DN93" s="659"/>
      <c r="DO93" s="666">
        <f>+DO85</f>
        <v>105361632.56</v>
      </c>
      <c r="DP93" s="659"/>
      <c r="DQ93" s="666">
        <f>+DQ85</f>
        <v>104107446.28999999</v>
      </c>
      <c r="DR93" s="659"/>
      <c r="DS93" s="666">
        <v>103694409.42999999</v>
      </c>
      <c r="DT93" s="659"/>
      <c r="DU93" s="666">
        <v>103836502.88</v>
      </c>
      <c r="DV93" s="659"/>
      <c r="DW93" s="666">
        <v>102927624.31</v>
      </c>
      <c r="DX93" s="659"/>
      <c r="DY93" s="666">
        <v>102193067.19</v>
      </c>
      <c r="DZ93" s="659"/>
      <c r="EA93" s="666">
        <v>101563930.7</v>
      </c>
      <c r="EB93" s="659"/>
      <c r="EC93" s="666">
        <v>100674814.53999999</v>
      </c>
      <c r="ED93" s="659"/>
      <c r="EE93" s="666">
        <v>100122357.12</v>
      </c>
      <c r="EF93" s="659"/>
      <c r="EG93" s="666">
        <v>99185937.25</v>
      </c>
      <c r="EI93" s="666">
        <v>99364897.590000004</v>
      </c>
      <c r="EK93" s="666">
        <v>100729579.20999999</v>
      </c>
      <c r="EM93" s="666">
        <v>102546494.78999999</v>
      </c>
      <c r="EO93" s="666">
        <v>104367161.03</v>
      </c>
      <c r="EQ93" s="666">
        <v>106476544.97</v>
      </c>
      <c r="ES93" s="666">
        <v>108456971.22999999</v>
      </c>
      <c r="EU93" s="667">
        <v>107830844.61999999</v>
      </c>
      <c r="EV93" s="667"/>
      <c r="EW93" s="667">
        <v>108178892.67999999</v>
      </c>
      <c r="EX93" s="667"/>
      <c r="EY93" s="667">
        <v>108779599.05</v>
      </c>
      <c r="EZ93" s="667"/>
      <c r="FA93" s="667">
        <v>108267676.59</v>
      </c>
      <c r="FB93" s="667"/>
      <c r="FC93" s="667">
        <v>108167362.59</v>
      </c>
      <c r="FD93" s="667"/>
      <c r="FE93" s="667">
        <v>107364336.34999999</v>
      </c>
      <c r="FF93" s="667"/>
      <c r="FG93" s="667">
        <v>107591990.07000001</v>
      </c>
      <c r="FH93" s="667"/>
      <c r="FI93" s="667">
        <v>21695943.629999999</v>
      </c>
      <c r="FJ93" s="667"/>
      <c r="FK93" s="667">
        <v>21083322.359999999</v>
      </c>
      <c r="FL93" s="667"/>
      <c r="FM93" s="667">
        <v>20483098.919999998</v>
      </c>
      <c r="FN93" s="667"/>
      <c r="FO93" s="667">
        <v>19722655.599999998</v>
      </c>
      <c r="FP93" s="667"/>
      <c r="FQ93" s="667">
        <v>20098976.850000001</v>
      </c>
      <c r="FR93" s="667"/>
      <c r="FS93" s="667">
        <v>19022545.5</v>
      </c>
      <c r="FT93" s="667"/>
      <c r="FU93" s="667">
        <v>19363081.120000001</v>
      </c>
      <c r="FV93" s="667"/>
      <c r="FW93" s="667">
        <v>19345917.5</v>
      </c>
      <c r="FY93" s="667">
        <v>19284253.190000001</v>
      </c>
      <c r="FZ93" s="672"/>
      <c r="GA93" s="667">
        <v>19206556.449999999</v>
      </c>
      <c r="GB93" s="672"/>
      <c r="GC93" s="667">
        <v>18915538.449999999</v>
      </c>
      <c r="GE93" s="335"/>
      <c r="GF93" s="335"/>
      <c r="GG93" s="335"/>
    </row>
    <row r="94" spans="1:194" ht="14.25" hidden="1" customHeight="1" outlineLevel="1">
      <c r="A94" s="222"/>
      <c r="B94" s="334"/>
      <c r="C94" s="222"/>
      <c r="D94" s="222"/>
      <c r="E94" s="222"/>
      <c r="F94" s="222" t="s">
        <v>523</v>
      </c>
      <c r="G94" s="558">
        <v>0</v>
      </c>
      <c r="H94" s="222"/>
      <c r="I94" s="558">
        <v>0</v>
      </c>
      <c r="J94" s="222"/>
      <c r="K94" s="558">
        <v>0</v>
      </c>
      <c r="L94" s="222"/>
      <c r="M94" s="558">
        <v>0</v>
      </c>
      <c r="N94" s="222"/>
      <c r="O94" s="558">
        <v>0</v>
      </c>
      <c r="P94" s="222"/>
      <c r="Q94" s="558">
        <v>0</v>
      </c>
      <c r="R94" s="222"/>
      <c r="S94" s="558">
        <v>0</v>
      </c>
      <c r="T94" s="222"/>
      <c r="U94" s="558">
        <v>0</v>
      </c>
      <c r="V94" s="222"/>
      <c r="W94" s="558">
        <v>0</v>
      </c>
      <c r="X94" s="222"/>
      <c r="Y94" s="558">
        <v>0</v>
      </c>
      <c r="Z94" s="222"/>
      <c r="AA94" s="558">
        <v>0</v>
      </c>
      <c r="AB94" s="222"/>
      <c r="AC94" s="558">
        <v>0</v>
      </c>
      <c r="AD94" s="222"/>
      <c r="AE94" s="558">
        <v>0</v>
      </c>
      <c r="AF94" s="222"/>
      <c r="AG94" s="558">
        <v>0</v>
      </c>
      <c r="AH94" s="222"/>
      <c r="AI94" s="558">
        <v>0</v>
      </c>
      <c r="AJ94" s="222"/>
      <c r="AK94" s="558">
        <v>0</v>
      </c>
      <c r="AL94" s="222"/>
      <c r="AM94" s="558">
        <v>0</v>
      </c>
      <c r="AN94" s="222"/>
      <c r="AO94" s="558">
        <v>0</v>
      </c>
      <c r="AP94" s="222"/>
      <c r="AQ94" s="558">
        <v>0</v>
      </c>
      <c r="AR94" s="222"/>
      <c r="AS94" s="558">
        <v>0</v>
      </c>
      <c r="AT94" s="807"/>
      <c r="AU94" s="558">
        <v>0</v>
      </c>
      <c r="AV94" s="807"/>
      <c r="AW94" s="558">
        <v>0</v>
      </c>
      <c r="AX94" s="807"/>
      <c r="AY94" s="558">
        <v>0</v>
      </c>
      <c r="AZ94" s="807"/>
      <c r="BA94" s="558">
        <v>0</v>
      </c>
      <c r="BB94" s="807"/>
      <c r="BC94" s="558">
        <v>0</v>
      </c>
      <c r="BD94" s="807"/>
      <c r="BE94" s="558">
        <v>0</v>
      </c>
      <c r="BF94" s="807"/>
      <c r="BG94" s="558">
        <v>0</v>
      </c>
      <c r="BH94" s="807"/>
      <c r="BI94" s="350">
        <v>0</v>
      </c>
      <c r="BJ94" s="807"/>
      <c r="BK94" s="350">
        <v>0</v>
      </c>
      <c r="BL94" s="807"/>
      <c r="BM94" s="350">
        <v>0</v>
      </c>
      <c r="BN94" s="222"/>
      <c r="BO94" s="350">
        <v>0</v>
      </c>
      <c r="BP94" s="222"/>
      <c r="BQ94" s="350">
        <v>0</v>
      </c>
      <c r="BR94" s="222"/>
      <c r="BS94" s="350">
        <v>0</v>
      </c>
      <c r="BT94" s="222"/>
      <c r="BU94" s="350">
        <v>0</v>
      </c>
      <c r="BV94" s="222"/>
      <c r="BW94" s="558">
        <v>0</v>
      </c>
      <c r="BX94" s="222"/>
      <c r="BY94" s="350">
        <v>0</v>
      </c>
      <c r="BZ94" s="222"/>
      <c r="CA94" s="350">
        <v>0</v>
      </c>
      <c r="CB94" s="222"/>
      <c r="CC94" s="558">
        <v>0</v>
      </c>
      <c r="CD94" s="222"/>
      <c r="CE94" s="558">
        <v>0</v>
      </c>
      <c r="CF94" s="222"/>
      <c r="CG94" s="350">
        <v>0</v>
      </c>
      <c r="CH94" s="222"/>
      <c r="CI94" s="558">
        <v>0</v>
      </c>
      <c r="CJ94" s="222"/>
      <c r="CK94" s="558">
        <v>0</v>
      </c>
      <c r="CL94" s="222"/>
      <c r="CM94" s="350">
        <v>0</v>
      </c>
      <c r="CN94" s="222"/>
      <c r="CO94" s="350">
        <v>0</v>
      </c>
      <c r="CP94" s="222"/>
      <c r="CQ94" s="350">
        <v>0</v>
      </c>
      <c r="CR94" s="222"/>
      <c r="CS94" s="350">
        <v>0</v>
      </c>
      <c r="CT94" s="222"/>
      <c r="CU94" s="350">
        <v>0</v>
      </c>
      <c r="CV94" s="222"/>
      <c r="CW94" s="350">
        <v>0</v>
      </c>
      <c r="CX94" s="222"/>
      <c r="CY94" s="350">
        <v>0</v>
      </c>
      <c r="CZ94" s="222"/>
      <c r="DA94" s="350">
        <v>0</v>
      </c>
      <c r="DB94" s="222"/>
      <c r="DC94" s="350">
        <v>0</v>
      </c>
      <c r="DD94" s="212"/>
      <c r="DE94" s="350">
        <v>0</v>
      </c>
      <c r="DF94" s="212"/>
      <c r="DG94" s="350">
        <v>0</v>
      </c>
      <c r="DH94" s="212"/>
      <c r="DI94" s="350">
        <v>0</v>
      </c>
      <c r="DJ94" s="212"/>
      <c r="DK94" s="673">
        <v>0</v>
      </c>
      <c r="DL94" s="677"/>
      <c r="DM94" s="673">
        <v>0</v>
      </c>
      <c r="DN94" s="677"/>
      <c r="DO94" s="673">
        <v>0</v>
      </c>
      <c r="DP94" s="677"/>
      <c r="DQ94" s="673">
        <v>0</v>
      </c>
      <c r="DR94" s="677"/>
      <c r="DS94" s="673">
        <v>0</v>
      </c>
      <c r="DT94" s="677"/>
      <c r="DU94" s="673">
        <v>0</v>
      </c>
      <c r="DV94" s="677"/>
      <c r="DW94" s="673">
        <v>0</v>
      </c>
      <c r="DX94" s="677"/>
      <c r="DY94" s="673">
        <v>0</v>
      </c>
      <c r="DZ94" s="677"/>
      <c r="EA94" s="673">
        <v>0</v>
      </c>
      <c r="EB94" s="677"/>
      <c r="EC94" s="673">
        <v>0</v>
      </c>
      <c r="ED94" s="677"/>
      <c r="EE94" s="673">
        <v>0</v>
      </c>
      <c r="EF94" s="677"/>
      <c r="EG94" s="674">
        <v>0</v>
      </c>
      <c r="EH94" s="678"/>
      <c r="EI94" s="674">
        <v>0</v>
      </c>
      <c r="EJ94" s="678"/>
      <c r="EK94" s="674">
        <v>0</v>
      </c>
      <c r="EL94" s="678"/>
      <c r="EM94" s="674">
        <v>0</v>
      </c>
      <c r="EN94" s="678"/>
      <c r="EO94" s="674">
        <v>0</v>
      </c>
      <c r="EP94" s="678"/>
      <c r="EQ94" s="674">
        <v>0</v>
      </c>
      <c r="ER94" s="678"/>
      <c r="ES94" s="674">
        <v>0</v>
      </c>
      <c r="ET94" s="678"/>
      <c r="EU94" s="674">
        <v>0</v>
      </c>
      <c r="EV94" s="674"/>
      <c r="EW94" s="674">
        <v>0</v>
      </c>
      <c r="EX94" s="674"/>
      <c r="EY94" s="674">
        <v>0</v>
      </c>
      <c r="EZ94" s="674"/>
      <c r="FA94" s="674">
        <v>0</v>
      </c>
      <c r="FB94" s="674"/>
      <c r="FC94" s="674">
        <v>0</v>
      </c>
      <c r="FD94" s="674"/>
      <c r="FE94" s="674">
        <v>0</v>
      </c>
      <c r="FF94" s="674"/>
      <c r="FG94" s="674">
        <v>0</v>
      </c>
      <c r="FH94" s="674"/>
      <c r="FI94" s="674">
        <v>0</v>
      </c>
      <c r="FJ94" s="674"/>
      <c r="FK94" s="674">
        <v>0</v>
      </c>
      <c r="FL94" s="674"/>
      <c r="FM94" s="674">
        <v>0</v>
      </c>
      <c r="FN94" s="674"/>
      <c r="FO94" s="674">
        <v>0</v>
      </c>
      <c r="FP94" s="674"/>
      <c r="FQ94" s="674">
        <v>0</v>
      </c>
      <c r="FR94" s="674"/>
      <c r="FS94" s="674">
        <v>0</v>
      </c>
      <c r="FT94" s="674"/>
      <c r="FU94" s="674">
        <v>0</v>
      </c>
      <c r="FV94" s="674"/>
      <c r="FW94" s="674">
        <v>0</v>
      </c>
      <c r="FX94" s="678"/>
      <c r="FY94" s="674">
        <v>0</v>
      </c>
      <c r="FZ94" s="686"/>
      <c r="GA94" s="674">
        <v>0</v>
      </c>
      <c r="GB94" s="686"/>
      <c r="GC94" s="674">
        <v>0</v>
      </c>
      <c r="GD94" s="222"/>
      <c r="GE94" s="288"/>
      <c r="GF94" s="351" t="s">
        <v>495</v>
      </c>
      <c r="GG94" s="351" t="s">
        <v>495</v>
      </c>
      <c r="GH94" s="222"/>
      <c r="GI94" s="222"/>
      <c r="GJ94" s="222"/>
    </row>
    <row r="95" spans="1:194" ht="14.25" hidden="1" customHeight="1" outlineLevel="1">
      <c r="A95" s="222"/>
      <c r="B95" s="334"/>
      <c r="C95" s="222"/>
      <c r="E95" s="341"/>
      <c r="CY95" s="343"/>
      <c r="DA95" s="343"/>
      <c r="DC95" s="343"/>
      <c r="DD95" s="157"/>
      <c r="DE95" s="343"/>
      <c r="DF95" s="157"/>
      <c r="DG95" s="343"/>
      <c r="DH95" s="157"/>
      <c r="DI95" s="343"/>
      <c r="DJ95" s="157"/>
      <c r="DK95" s="666"/>
      <c r="DL95" s="659"/>
      <c r="DM95" s="666"/>
      <c r="DN95" s="659"/>
      <c r="DO95" s="666"/>
      <c r="DP95" s="659"/>
      <c r="DQ95" s="666"/>
      <c r="DR95" s="659"/>
      <c r="DS95" s="666"/>
      <c r="DT95" s="659"/>
      <c r="DU95" s="666"/>
      <c r="DV95" s="659"/>
      <c r="DW95" s="666"/>
      <c r="DX95" s="659"/>
      <c r="DY95" s="666"/>
      <c r="DZ95" s="659"/>
      <c r="EA95" s="666"/>
      <c r="EB95" s="659"/>
      <c r="EC95" s="666"/>
      <c r="ED95" s="659"/>
      <c r="EE95" s="666"/>
      <c r="EF95" s="659"/>
      <c r="EG95" s="667"/>
      <c r="EI95" s="667"/>
      <c r="EK95" s="667"/>
      <c r="EM95" s="667"/>
      <c r="EO95" s="667"/>
      <c r="EQ95" s="667"/>
      <c r="ES95" s="667"/>
      <c r="EU95" s="667"/>
      <c r="EV95" s="667"/>
      <c r="EW95" s="667"/>
      <c r="EX95" s="667"/>
      <c r="EY95" s="667"/>
      <c r="EZ95" s="667"/>
      <c r="FA95" s="667"/>
      <c r="FB95" s="667"/>
      <c r="FC95" s="667"/>
      <c r="FD95" s="667"/>
      <c r="FE95" s="667"/>
      <c r="FF95" s="667"/>
      <c r="FG95" s="667"/>
      <c r="FH95" s="667"/>
      <c r="FI95" s="667"/>
      <c r="FJ95" s="667"/>
      <c r="FK95" s="667"/>
      <c r="FL95" s="667"/>
      <c r="FM95" s="667"/>
      <c r="FN95" s="667"/>
      <c r="FO95" s="667"/>
      <c r="FP95" s="667"/>
      <c r="FQ95" s="667"/>
      <c r="FR95" s="667"/>
      <c r="FS95" s="667"/>
      <c r="FT95" s="667"/>
      <c r="FU95" s="667"/>
      <c r="FV95" s="667"/>
      <c r="FW95" s="667"/>
      <c r="FY95" s="667"/>
      <c r="FZ95" s="672"/>
      <c r="GA95" s="667"/>
      <c r="GB95" s="672"/>
      <c r="GC95" s="667"/>
      <c r="GE95" s="335"/>
      <c r="GF95" s="335"/>
      <c r="GG95" s="335"/>
    </row>
    <row r="96" spans="1:194" ht="14.25" hidden="1" customHeight="1" outlineLevel="1">
      <c r="A96" s="222"/>
      <c r="B96" s="337" t="s">
        <v>643</v>
      </c>
      <c r="C96" s="222" t="s">
        <v>513</v>
      </c>
      <c r="D96" s="222" t="s">
        <v>524</v>
      </c>
      <c r="E96" s="341"/>
      <c r="CY96" s="343"/>
      <c r="DA96" s="343"/>
      <c r="DC96" s="343"/>
      <c r="DD96" s="157"/>
      <c r="DE96" s="343"/>
      <c r="DF96" s="157"/>
      <c r="DG96" s="343"/>
      <c r="DH96" s="157"/>
      <c r="DI96" s="343"/>
      <c r="DJ96" s="157"/>
      <c r="DK96" s="666"/>
      <c r="DL96" s="659"/>
      <c r="DM96" s="666"/>
      <c r="DN96" s="659"/>
      <c r="DO96" s="666"/>
      <c r="DP96" s="659"/>
      <c r="DQ96" s="666"/>
      <c r="DR96" s="659"/>
      <c r="DS96" s="666"/>
      <c r="DT96" s="659"/>
      <c r="DU96" s="666"/>
      <c r="DV96" s="659"/>
      <c r="DW96" s="666"/>
      <c r="DX96" s="659"/>
      <c r="DY96" s="666"/>
      <c r="DZ96" s="659"/>
      <c r="EA96" s="666"/>
      <c r="EB96" s="659"/>
      <c r="EC96" s="666"/>
      <c r="ED96" s="659"/>
      <c r="EE96" s="666"/>
      <c r="EF96" s="659"/>
      <c r="EG96" s="667"/>
      <c r="EI96" s="667"/>
      <c r="EK96" s="667"/>
      <c r="EM96" s="667"/>
      <c r="EO96" s="667"/>
      <c r="EQ96" s="667"/>
      <c r="ES96" s="667"/>
      <c r="EU96" s="667"/>
      <c r="EV96" s="667"/>
      <c r="EW96" s="667"/>
      <c r="EX96" s="667"/>
      <c r="EY96" s="667"/>
      <c r="EZ96" s="667"/>
      <c r="FA96" s="667"/>
      <c r="FB96" s="667"/>
      <c r="FC96" s="667"/>
      <c r="FD96" s="667"/>
      <c r="FE96" s="667"/>
      <c r="FF96" s="667"/>
      <c r="FG96" s="667"/>
      <c r="FH96" s="667"/>
      <c r="FI96" s="667"/>
      <c r="FJ96" s="667"/>
      <c r="FK96" s="667"/>
      <c r="FL96" s="667"/>
      <c r="FM96" s="667"/>
      <c r="FN96" s="667"/>
      <c r="FO96" s="667"/>
      <c r="FP96" s="667"/>
      <c r="FQ96" s="667"/>
      <c r="FR96" s="667"/>
      <c r="FS96" s="667"/>
      <c r="FT96" s="667"/>
      <c r="FU96" s="667"/>
      <c r="FV96" s="667"/>
      <c r="FW96" s="667"/>
      <c r="FY96" s="667"/>
      <c r="FZ96" s="672"/>
      <c r="GA96" s="667"/>
      <c r="GB96" s="672"/>
      <c r="GC96" s="667"/>
      <c r="GE96" s="335"/>
      <c r="GF96" s="335"/>
      <c r="GG96" s="335"/>
    </row>
    <row r="97" spans="1:192" ht="14.25" hidden="1" customHeight="1" outlineLevel="1">
      <c r="A97" s="222"/>
      <c r="B97" s="334"/>
      <c r="C97" s="339" t="s">
        <v>493</v>
      </c>
      <c r="D97" s="360"/>
      <c r="E97" s="361" t="s">
        <v>525</v>
      </c>
      <c r="CY97" s="343"/>
      <c r="DA97" s="343"/>
      <c r="DC97" s="343"/>
      <c r="DD97" s="157"/>
      <c r="DE97" s="343"/>
      <c r="DF97" s="157"/>
      <c r="DG97" s="343"/>
      <c r="DH97" s="157"/>
      <c r="DI97" s="343"/>
      <c r="DJ97" s="157"/>
      <c r="DK97" s="666"/>
      <c r="DL97" s="659"/>
      <c r="DM97" s="666"/>
      <c r="DN97" s="659"/>
      <c r="DO97" s="666"/>
      <c r="DP97" s="659"/>
      <c r="DQ97" s="666"/>
      <c r="DR97" s="659"/>
      <c r="DS97" s="666"/>
      <c r="DT97" s="659"/>
      <c r="DU97" s="666"/>
      <c r="DV97" s="659"/>
      <c r="DW97" s="666"/>
      <c r="DX97" s="659"/>
      <c r="DY97" s="666"/>
      <c r="DZ97" s="659"/>
      <c r="EA97" s="666"/>
      <c r="EB97" s="659"/>
      <c r="EC97" s="666"/>
      <c r="ED97" s="659"/>
      <c r="EE97" s="666"/>
      <c r="EF97" s="659"/>
      <c r="EG97" s="667"/>
      <c r="EI97" s="667"/>
      <c r="EK97" s="667"/>
      <c r="EM97" s="667"/>
      <c r="EO97" s="667"/>
      <c r="EQ97" s="667"/>
      <c r="ES97" s="667"/>
      <c r="EU97" s="667"/>
      <c r="EV97" s="667"/>
      <c r="EW97" s="667"/>
      <c r="EX97" s="667"/>
      <c r="EY97" s="667"/>
      <c r="EZ97" s="667"/>
      <c r="FA97" s="667"/>
      <c r="FB97" s="667"/>
      <c r="FC97" s="667"/>
      <c r="FD97" s="667"/>
      <c r="FE97" s="667"/>
      <c r="FF97" s="667"/>
      <c r="FG97" s="667"/>
      <c r="FH97" s="667"/>
      <c r="FI97" s="667"/>
      <c r="FJ97" s="667"/>
      <c r="FK97" s="667"/>
      <c r="FL97" s="667"/>
      <c r="FM97" s="667"/>
      <c r="FN97" s="667"/>
      <c r="FO97" s="667"/>
      <c r="FP97" s="667"/>
      <c r="FQ97" s="667"/>
      <c r="FR97" s="667"/>
      <c r="FS97" s="667"/>
      <c r="FT97" s="667"/>
      <c r="FU97" s="667"/>
      <c r="FV97" s="667"/>
      <c r="FW97" s="667"/>
      <c r="FY97" s="667"/>
      <c r="FZ97" s="672"/>
      <c r="GA97" s="667"/>
      <c r="GB97" s="672"/>
      <c r="GC97" s="667"/>
      <c r="GE97" s="335"/>
      <c r="GF97" s="335"/>
      <c r="GG97" s="335"/>
    </row>
    <row r="98" spans="1:192" ht="14.25" hidden="1" customHeight="1" outlineLevel="1">
      <c r="A98" s="222"/>
      <c r="B98" s="334"/>
      <c r="E98" s="341" t="s">
        <v>515</v>
      </c>
      <c r="G98" s="342">
        <v>0</v>
      </c>
      <c r="I98" s="342">
        <v>0</v>
      </c>
      <c r="K98" s="342">
        <v>0</v>
      </c>
      <c r="M98" s="342">
        <v>0</v>
      </c>
      <c r="O98" s="342">
        <v>0</v>
      </c>
      <c r="Q98" s="342">
        <v>0</v>
      </c>
      <c r="S98" s="342">
        <v>0</v>
      </c>
      <c r="U98" s="342">
        <v>0</v>
      </c>
      <c r="W98" s="342">
        <v>0</v>
      </c>
      <c r="Y98" s="342">
        <v>0</v>
      </c>
      <c r="AA98" s="342">
        <v>0</v>
      </c>
      <c r="AC98" s="342">
        <v>0</v>
      </c>
      <c r="AE98" s="342">
        <v>0</v>
      </c>
      <c r="AG98" s="342">
        <v>0</v>
      </c>
      <c r="AI98" s="342">
        <v>0</v>
      </c>
      <c r="AK98" s="342">
        <v>0</v>
      </c>
      <c r="AM98" s="342">
        <v>0</v>
      </c>
      <c r="AO98" s="342">
        <v>0</v>
      </c>
      <c r="AQ98" s="342">
        <v>0</v>
      </c>
      <c r="AS98" s="342">
        <v>0</v>
      </c>
      <c r="AU98" s="342">
        <v>0</v>
      </c>
      <c r="AW98" s="342">
        <v>0</v>
      </c>
      <c r="AY98" s="342">
        <v>0</v>
      </c>
      <c r="BA98" s="342">
        <v>0</v>
      </c>
      <c r="BC98" s="342">
        <v>0</v>
      </c>
      <c r="BE98" s="342">
        <v>0</v>
      </c>
      <c r="BG98" s="342">
        <v>0</v>
      </c>
      <c r="BI98" s="342">
        <v>0</v>
      </c>
      <c r="BK98" s="342">
        <v>0</v>
      </c>
      <c r="BM98" s="342">
        <v>0</v>
      </c>
      <c r="BO98" s="342">
        <v>0</v>
      </c>
      <c r="BQ98" s="342">
        <v>0</v>
      </c>
      <c r="BS98" s="342">
        <v>0</v>
      </c>
      <c r="BU98" s="342">
        <v>0</v>
      </c>
      <c r="BW98" s="342">
        <v>0</v>
      </c>
      <c r="BY98" s="342">
        <v>0</v>
      </c>
      <c r="CA98" s="342">
        <v>0</v>
      </c>
      <c r="CC98" s="342">
        <v>0</v>
      </c>
      <c r="CE98" s="342">
        <v>0</v>
      </c>
      <c r="CG98" s="342">
        <v>0</v>
      </c>
      <c r="CI98" s="342">
        <v>0</v>
      </c>
      <c r="CK98" s="342">
        <v>0</v>
      </c>
      <c r="CM98" s="342">
        <v>0</v>
      </c>
      <c r="CO98" s="342">
        <v>0</v>
      </c>
      <c r="CQ98" s="342">
        <v>0</v>
      </c>
      <c r="CS98" s="342">
        <v>0</v>
      </c>
      <c r="CU98" s="342">
        <v>0</v>
      </c>
      <c r="CW98" s="342">
        <v>0</v>
      </c>
      <c r="CY98" s="343">
        <v>0</v>
      </c>
      <c r="DA98" s="343">
        <v>0</v>
      </c>
      <c r="DC98" s="343">
        <v>0</v>
      </c>
      <c r="DD98" s="157"/>
      <c r="DE98" s="343">
        <v>0</v>
      </c>
      <c r="DF98" s="157"/>
      <c r="DG98" s="343">
        <v>0</v>
      </c>
      <c r="DH98" s="157"/>
      <c r="DI98" s="343">
        <v>0</v>
      </c>
      <c r="DJ98" s="157"/>
      <c r="DK98" s="666">
        <v>0</v>
      </c>
      <c r="DL98" s="659"/>
      <c r="DM98" s="666">
        <v>0</v>
      </c>
      <c r="DN98" s="659"/>
      <c r="DO98" s="666">
        <v>0</v>
      </c>
      <c r="DP98" s="659"/>
      <c r="DQ98" s="666">
        <v>0</v>
      </c>
      <c r="DR98" s="659"/>
      <c r="DS98" s="666">
        <v>0</v>
      </c>
      <c r="DT98" s="659"/>
      <c r="DU98" s="666">
        <v>0</v>
      </c>
      <c r="DV98" s="659"/>
      <c r="DW98" s="666">
        <v>0</v>
      </c>
      <c r="DX98" s="659"/>
      <c r="DY98" s="666">
        <v>0</v>
      </c>
      <c r="DZ98" s="659"/>
      <c r="EA98" s="666">
        <v>0</v>
      </c>
      <c r="EB98" s="659"/>
      <c r="EC98" s="666">
        <v>0</v>
      </c>
      <c r="ED98" s="659"/>
      <c r="EE98" s="666">
        <v>0</v>
      </c>
      <c r="EF98" s="659"/>
      <c r="EG98" s="666">
        <v>0</v>
      </c>
      <c r="EI98" s="666">
        <v>0</v>
      </c>
      <c r="EK98" s="666">
        <v>0</v>
      </c>
      <c r="EM98" s="666">
        <v>0</v>
      </c>
      <c r="EO98" s="666">
        <v>0</v>
      </c>
      <c r="EQ98" s="666">
        <v>0</v>
      </c>
      <c r="ES98" s="666">
        <v>0</v>
      </c>
      <c r="EU98" s="667">
        <v>0</v>
      </c>
      <c r="EV98" s="667"/>
      <c r="EW98" s="667">
        <v>0</v>
      </c>
      <c r="EX98" s="667"/>
      <c r="EY98" s="667">
        <v>0</v>
      </c>
      <c r="EZ98" s="667"/>
      <c r="FA98" s="667">
        <v>0</v>
      </c>
      <c r="FB98" s="667"/>
      <c r="FC98" s="667">
        <v>0</v>
      </c>
      <c r="FD98" s="667"/>
      <c r="FE98" s="667">
        <v>0</v>
      </c>
      <c r="FF98" s="667"/>
      <c r="FG98" s="667">
        <v>0</v>
      </c>
      <c r="FH98" s="667"/>
      <c r="FI98" s="667">
        <v>0</v>
      </c>
      <c r="FJ98" s="667"/>
      <c r="FK98" s="667">
        <v>0</v>
      </c>
      <c r="FL98" s="667"/>
      <c r="FM98" s="667">
        <v>0</v>
      </c>
      <c r="FN98" s="667"/>
      <c r="FO98" s="667">
        <v>0</v>
      </c>
      <c r="FP98" s="667"/>
      <c r="FQ98" s="667">
        <v>0</v>
      </c>
      <c r="FR98" s="667"/>
      <c r="FS98" s="667">
        <v>0</v>
      </c>
      <c r="FT98" s="667"/>
      <c r="FU98" s="667">
        <v>0</v>
      </c>
      <c r="FV98" s="667"/>
      <c r="FW98" s="667">
        <v>0</v>
      </c>
      <c r="FY98" s="667">
        <v>0</v>
      </c>
      <c r="FZ98" s="672"/>
      <c r="GA98" s="667">
        <v>0</v>
      </c>
      <c r="GB98" s="672"/>
      <c r="GC98" s="667">
        <v>0</v>
      </c>
      <c r="GE98" s="335"/>
      <c r="GF98" s="335"/>
      <c r="GG98" s="335"/>
    </row>
    <row r="99" spans="1:192" ht="14.25" hidden="1" customHeight="1" outlineLevel="1">
      <c r="A99" s="222"/>
      <c r="B99" s="334"/>
      <c r="E99" s="341" t="s">
        <v>516</v>
      </c>
      <c r="G99" s="342">
        <f>+G83</f>
        <v>0</v>
      </c>
      <c r="I99" s="342">
        <f>+I83</f>
        <v>0</v>
      </c>
      <c r="K99" s="342">
        <f>+K83</f>
        <v>0</v>
      </c>
      <c r="M99" s="342">
        <f>+M83</f>
        <v>0</v>
      </c>
      <c r="O99" s="342">
        <f>+O83</f>
        <v>0</v>
      </c>
      <c r="Q99" s="342">
        <f>+Q83</f>
        <v>0</v>
      </c>
      <c r="S99" s="342">
        <v>0</v>
      </c>
      <c r="U99" s="342">
        <v>0</v>
      </c>
      <c r="W99" s="342">
        <v>0</v>
      </c>
      <c r="Y99" s="342">
        <f>+Y83</f>
        <v>0</v>
      </c>
      <c r="AA99" s="342">
        <f>+AA83</f>
        <v>0</v>
      </c>
      <c r="AC99" s="342">
        <v>0</v>
      </c>
      <c r="AE99" s="342">
        <v>0</v>
      </c>
      <c r="AG99" s="342">
        <v>0</v>
      </c>
      <c r="AI99" s="342">
        <v>0</v>
      </c>
      <c r="AK99" s="342">
        <v>0</v>
      </c>
      <c r="AM99" s="342">
        <v>0</v>
      </c>
      <c r="AO99" s="342">
        <v>0</v>
      </c>
      <c r="AQ99" s="342">
        <v>0</v>
      </c>
      <c r="AS99" s="342">
        <v>0</v>
      </c>
      <c r="AU99" s="342">
        <v>0</v>
      </c>
      <c r="AW99" s="342">
        <f>+AW83</f>
        <v>0</v>
      </c>
      <c r="AY99" s="342">
        <v>0</v>
      </c>
      <c r="BA99" s="342">
        <v>0</v>
      </c>
      <c r="BC99" s="342">
        <v>0</v>
      </c>
      <c r="BE99" s="342">
        <v>0</v>
      </c>
      <c r="BG99" s="342">
        <v>0</v>
      </c>
      <c r="BI99" s="342">
        <v>0</v>
      </c>
      <c r="BK99" s="342">
        <v>0</v>
      </c>
      <c r="BM99" s="342">
        <v>0</v>
      </c>
      <c r="BO99" s="342">
        <v>0</v>
      </c>
      <c r="BQ99" s="342">
        <v>0</v>
      </c>
      <c r="BS99" s="342">
        <v>0</v>
      </c>
      <c r="BU99" s="342">
        <f>+BU83</f>
        <v>0</v>
      </c>
      <c r="BW99" s="342">
        <v>0</v>
      </c>
      <c r="BY99" s="342">
        <f>+BY83</f>
        <v>0</v>
      </c>
      <c r="CA99" s="342">
        <v>0</v>
      </c>
      <c r="CC99" s="342">
        <v>0</v>
      </c>
      <c r="CE99" s="342">
        <v>0</v>
      </c>
      <c r="CG99" s="342">
        <f>+CG83</f>
        <v>0</v>
      </c>
      <c r="CI99" s="342">
        <v>0</v>
      </c>
      <c r="CK99" s="342">
        <v>0</v>
      </c>
      <c r="CM99" s="342">
        <f>+CM83</f>
        <v>1020483.3894177675</v>
      </c>
      <c r="CO99" s="342">
        <f>+CO83</f>
        <v>1076908.8329000007</v>
      </c>
      <c r="CQ99" s="342">
        <f>+CQ83</f>
        <v>1045949.0637835916</v>
      </c>
      <c r="CS99" s="342">
        <f>+CS83</f>
        <v>1208429.5592293534</v>
      </c>
      <c r="CU99" s="342">
        <f>+CU83</f>
        <v>1038708.8401385993</v>
      </c>
      <c r="CW99" s="342">
        <f>+CW83</f>
        <v>3693410.3100000005</v>
      </c>
      <c r="CY99" s="343">
        <f>+CY83</f>
        <v>1050428.7450920511</v>
      </c>
      <c r="DA99" s="343">
        <f>+DA83</f>
        <v>1365390.25</v>
      </c>
      <c r="DC99" s="343">
        <f>+DC83</f>
        <v>1196327.7400000021</v>
      </c>
      <c r="DD99" s="157"/>
      <c r="DE99" s="343">
        <f>+DE83</f>
        <v>1381897.1599999964</v>
      </c>
      <c r="DF99" s="157"/>
      <c r="DG99" s="343">
        <f>+DG83</f>
        <v>1202156.9900000021</v>
      </c>
      <c r="DH99" s="157"/>
      <c r="DI99" s="343">
        <f>+DI83</f>
        <v>4295163.18</v>
      </c>
      <c r="DJ99" s="157"/>
      <c r="DK99" s="666">
        <f>+DK83</f>
        <v>7038540.7400000021</v>
      </c>
      <c r="DL99" s="659"/>
      <c r="DM99" s="666">
        <f>+DM83</f>
        <v>143904.23000000045</v>
      </c>
      <c r="DN99" s="659"/>
      <c r="DO99" s="666">
        <f>+DO83</f>
        <v>487272.63000000268</v>
      </c>
      <c r="DP99" s="659"/>
      <c r="DQ99" s="666">
        <f>+DQ83</f>
        <v>241884.55999999493</v>
      </c>
      <c r="DR99" s="659"/>
      <c r="DS99" s="666">
        <v>36294.410000003874</v>
      </c>
      <c r="DT99" s="659"/>
      <c r="DU99" s="666">
        <v>700196.39999999851</v>
      </c>
      <c r="DV99" s="659"/>
      <c r="DW99" s="666">
        <v>-3366654.8910666704</v>
      </c>
      <c r="DX99" s="659"/>
      <c r="DY99" s="666">
        <v>666822.92941896617</v>
      </c>
      <c r="DZ99" s="659"/>
      <c r="EA99" s="666">
        <v>3426984.7849736884</v>
      </c>
      <c r="EB99" s="659"/>
      <c r="EC99" s="666">
        <v>3725351.0399999917</v>
      </c>
      <c r="ED99" s="659"/>
      <c r="EE99" s="666">
        <v>4417636.6074102223</v>
      </c>
      <c r="EF99" s="659"/>
      <c r="EG99" s="666">
        <v>4088559.6999999881</v>
      </c>
      <c r="EI99" s="666">
        <v>7287176.4699999988</v>
      </c>
      <c r="EK99" s="666">
        <v>4710494.2150550485</v>
      </c>
      <c r="EM99" s="666">
        <v>4881517.7399999797</v>
      </c>
      <c r="EO99" s="666">
        <v>5027964.1437800974</v>
      </c>
      <c r="EQ99" s="666">
        <v>14880955.127727985</v>
      </c>
      <c r="ES99" s="666">
        <v>12907261.129999995</v>
      </c>
      <c r="EU99" s="667">
        <v>12589550.170000009</v>
      </c>
      <c r="EV99" s="667"/>
      <c r="EW99" s="667">
        <v>20946148.799999997</v>
      </c>
      <c r="EX99" s="667"/>
      <c r="EY99" s="667">
        <v>21645433.68</v>
      </c>
      <c r="EZ99" s="667"/>
      <c r="FA99" s="667">
        <v>23520760.04999999</v>
      </c>
      <c r="FB99" s="667"/>
      <c r="FC99" s="667">
        <v>20942762.469999999</v>
      </c>
      <c r="FD99" s="667"/>
      <c r="FE99" s="667">
        <v>23577434.869999997</v>
      </c>
      <c r="FF99" s="667"/>
      <c r="FG99" s="667">
        <v>24879933.030000009</v>
      </c>
      <c r="FH99" s="667"/>
      <c r="FI99" s="667">
        <v>2960611.8200000003</v>
      </c>
      <c r="FJ99" s="667"/>
      <c r="FK99" s="667">
        <v>2890409.2800000012</v>
      </c>
      <c r="FL99" s="667"/>
      <c r="FM99" s="667">
        <v>3076963.6300000027</v>
      </c>
      <c r="FN99" s="667"/>
      <c r="FO99" s="667">
        <v>3024254.1499999985</v>
      </c>
      <c r="FP99" s="667"/>
      <c r="FQ99" s="667">
        <v>2959549.6699999981</v>
      </c>
      <c r="FR99" s="667"/>
      <c r="FS99" s="667">
        <v>4495592.8799999952</v>
      </c>
      <c r="FT99" s="667"/>
      <c r="FU99" s="667">
        <v>4417259.629999999</v>
      </c>
      <c r="FV99" s="667"/>
      <c r="FW99" s="667">
        <v>4558867.7300000004</v>
      </c>
      <c r="FY99" s="667">
        <v>3756642.6100000013</v>
      </c>
      <c r="FZ99" s="672"/>
      <c r="GA99" s="667">
        <v>4622250.5399999982</v>
      </c>
      <c r="GB99" s="672"/>
      <c r="GC99" s="667">
        <v>4549135.9349999987</v>
      </c>
      <c r="GE99" s="335"/>
      <c r="GF99" s="335"/>
      <c r="GG99" s="335"/>
    </row>
    <row r="100" spans="1:192" ht="14.25" hidden="1" customHeight="1" outlineLevel="1">
      <c r="A100" s="222"/>
      <c r="B100" s="334"/>
      <c r="E100" s="341" t="s">
        <v>517</v>
      </c>
      <c r="G100" s="342">
        <f>-G99</f>
        <v>0</v>
      </c>
      <c r="I100" s="342">
        <f>-I99</f>
        <v>0</v>
      </c>
      <c r="K100" s="342">
        <f>-K99</f>
        <v>0</v>
      </c>
      <c r="M100" s="342">
        <f>-M99</f>
        <v>0</v>
      </c>
      <c r="O100" s="342">
        <f>-O99</f>
        <v>0</v>
      </c>
      <c r="Q100" s="342">
        <f>-Q99</f>
        <v>0</v>
      </c>
      <c r="S100" s="342">
        <v>0</v>
      </c>
      <c r="U100" s="342">
        <v>0</v>
      </c>
      <c r="W100" s="342">
        <v>0</v>
      </c>
      <c r="Y100" s="342">
        <f>-Y99</f>
        <v>0</v>
      </c>
      <c r="AA100" s="342">
        <f>-AA99</f>
        <v>0</v>
      </c>
      <c r="AC100" s="342">
        <v>0</v>
      </c>
      <c r="AE100" s="342">
        <v>0</v>
      </c>
      <c r="AG100" s="342">
        <v>0</v>
      </c>
      <c r="AI100" s="342">
        <v>0</v>
      </c>
      <c r="AK100" s="342">
        <v>0</v>
      </c>
      <c r="AM100" s="342">
        <v>0</v>
      </c>
      <c r="AO100" s="342">
        <v>0</v>
      </c>
      <c r="AQ100" s="342">
        <v>0</v>
      </c>
      <c r="AS100" s="342">
        <v>0</v>
      </c>
      <c r="AU100" s="342">
        <v>0</v>
      </c>
      <c r="AW100" s="342">
        <f>-AW99</f>
        <v>0</v>
      </c>
      <c r="AY100" s="342">
        <v>0</v>
      </c>
      <c r="BA100" s="342">
        <v>0</v>
      </c>
      <c r="BC100" s="342">
        <v>0</v>
      </c>
      <c r="BE100" s="342">
        <v>0</v>
      </c>
      <c r="BG100" s="342">
        <v>0</v>
      </c>
      <c r="BI100" s="342">
        <v>0</v>
      </c>
      <c r="BK100" s="342">
        <v>0</v>
      </c>
      <c r="BM100" s="342">
        <v>0</v>
      </c>
      <c r="BO100" s="342">
        <v>0</v>
      </c>
      <c r="BQ100" s="342">
        <v>0</v>
      </c>
      <c r="BS100" s="342">
        <v>0</v>
      </c>
      <c r="BU100" s="342">
        <f>-BU99</f>
        <v>0</v>
      </c>
      <c r="BW100" s="342">
        <v>0</v>
      </c>
      <c r="BY100" s="342">
        <f>-BY99</f>
        <v>0</v>
      </c>
      <c r="CA100" s="342">
        <v>0</v>
      </c>
      <c r="CC100" s="342">
        <v>0</v>
      </c>
      <c r="CE100" s="342">
        <v>0</v>
      </c>
      <c r="CG100" s="342">
        <f>-CG99</f>
        <v>0</v>
      </c>
      <c r="CI100" s="342">
        <v>0</v>
      </c>
      <c r="CK100" s="342">
        <v>0</v>
      </c>
      <c r="CM100" s="342">
        <f>-CM99</f>
        <v>-1020483.3894177675</v>
      </c>
      <c r="CO100" s="342">
        <f>-CO99</f>
        <v>-1076908.8329000007</v>
      </c>
      <c r="CQ100" s="342">
        <f>-CQ99</f>
        <v>-1045949.0637835916</v>
      </c>
      <c r="CS100" s="342">
        <f>-CS99</f>
        <v>-1208429.5592293534</v>
      </c>
      <c r="CU100" s="342">
        <f>-CU99</f>
        <v>-1038708.8401385993</v>
      </c>
      <c r="CW100" s="342">
        <f>-CW99</f>
        <v>-3693410.3100000005</v>
      </c>
      <c r="CY100" s="343">
        <f>-CY99</f>
        <v>-1050428.7450920511</v>
      </c>
      <c r="DA100" s="343">
        <f>-DA99</f>
        <v>-1365390.25</v>
      </c>
      <c r="DC100" s="343">
        <f>-DC99</f>
        <v>-1196327.7400000021</v>
      </c>
      <c r="DD100" s="157"/>
      <c r="DE100" s="343">
        <f>-DE99</f>
        <v>-1381897.1599999964</v>
      </c>
      <c r="DF100" s="157"/>
      <c r="DG100" s="343">
        <f>-DG99</f>
        <v>-1202156.9900000021</v>
      </c>
      <c r="DH100" s="157"/>
      <c r="DI100" s="343">
        <f>-DI99</f>
        <v>-4295163.18</v>
      </c>
      <c r="DJ100" s="157"/>
      <c r="DK100" s="666">
        <f>-DK99</f>
        <v>-7038540.7400000021</v>
      </c>
      <c r="DL100" s="659"/>
      <c r="DM100" s="666">
        <f>-DM99</f>
        <v>-143904.23000000045</v>
      </c>
      <c r="DN100" s="659"/>
      <c r="DO100" s="666">
        <f>-DO99</f>
        <v>-487272.63000000268</v>
      </c>
      <c r="DP100" s="659"/>
      <c r="DQ100" s="666">
        <f>-DQ99</f>
        <v>-241884.55999999493</v>
      </c>
      <c r="DR100" s="659"/>
      <c r="DS100" s="666">
        <v>-36294.410000003874</v>
      </c>
      <c r="DT100" s="659"/>
      <c r="DU100" s="666">
        <v>-700196.39999999851</v>
      </c>
      <c r="DV100" s="659"/>
      <c r="DW100" s="666">
        <v>3366654.8910666704</v>
      </c>
      <c r="DX100" s="659"/>
      <c r="DY100" s="666">
        <v>-666822.92941896617</v>
      </c>
      <c r="DZ100" s="659"/>
      <c r="EA100" s="666">
        <v>-3426984.7849736884</v>
      </c>
      <c r="EB100" s="659"/>
      <c r="EC100" s="666">
        <v>-3725351.0399999917</v>
      </c>
      <c r="ED100" s="659"/>
      <c r="EE100" s="666">
        <v>-4417636.6074102223</v>
      </c>
      <c r="EF100" s="659"/>
      <c r="EG100" s="666">
        <v>-4088559.6999999881</v>
      </c>
      <c r="EI100" s="666">
        <v>-7287176.4699999988</v>
      </c>
      <c r="EK100" s="666">
        <v>-4710494.2150550485</v>
      </c>
      <c r="EM100" s="666">
        <v>-4881517.7399999797</v>
      </c>
      <c r="EO100" s="666">
        <v>-5027964.1437800974</v>
      </c>
      <c r="EQ100" s="666">
        <v>-14880955.127727985</v>
      </c>
      <c r="ES100" s="666">
        <v>-12907261.129999995</v>
      </c>
      <c r="EU100" s="667">
        <v>-12589550.170000009</v>
      </c>
      <c r="EV100" s="667"/>
      <c r="EW100" s="667">
        <v>-20946148.799999997</v>
      </c>
      <c r="EX100" s="667"/>
      <c r="EY100" s="667">
        <v>-21645433.68</v>
      </c>
      <c r="EZ100" s="667"/>
      <c r="FA100" s="667">
        <v>-23520760.04999999</v>
      </c>
      <c r="FB100" s="667"/>
      <c r="FC100" s="667">
        <v>-20942762.469999999</v>
      </c>
      <c r="FD100" s="667"/>
      <c r="FE100" s="667">
        <v>-23577434.869999997</v>
      </c>
      <c r="FF100" s="667"/>
      <c r="FG100" s="667">
        <v>-24879933.030000009</v>
      </c>
      <c r="FH100" s="667"/>
      <c r="FI100" s="667">
        <v>-2960611.8200000003</v>
      </c>
      <c r="FJ100" s="667"/>
      <c r="FK100" s="667">
        <v>-2890409.2800000012</v>
      </c>
      <c r="FL100" s="667"/>
      <c r="FM100" s="667">
        <v>-3076963.6300000027</v>
      </c>
      <c r="FN100" s="667"/>
      <c r="FO100" s="667">
        <v>-3024254.1499999985</v>
      </c>
      <c r="FP100" s="667"/>
      <c r="FQ100" s="667">
        <v>-2959549.6699999981</v>
      </c>
      <c r="FR100" s="667"/>
      <c r="FS100" s="667">
        <v>-4495592.8799999952</v>
      </c>
      <c r="FT100" s="667"/>
      <c r="FU100" s="667">
        <v>-4417259.629999999</v>
      </c>
      <c r="FV100" s="667"/>
      <c r="FW100" s="667">
        <v>-4558867.7300000004</v>
      </c>
      <c r="FY100" s="667">
        <v>-3756642.6100000013</v>
      </c>
      <c r="FZ100" s="672"/>
      <c r="GA100" s="667">
        <v>-4622250.5399999982</v>
      </c>
      <c r="GB100" s="672"/>
      <c r="GC100" s="667">
        <v>-4549135.9349999987</v>
      </c>
      <c r="GE100" s="335"/>
      <c r="GF100" s="335"/>
      <c r="GG100" s="335"/>
    </row>
    <row r="101" spans="1:192" ht="14.25" hidden="1" customHeight="1" outlineLevel="1">
      <c r="A101" s="222"/>
      <c r="B101" s="334"/>
      <c r="E101" s="341" t="s">
        <v>232</v>
      </c>
      <c r="G101" s="342">
        <f>+G85</f>
        <v>805226197.70000005</v>
      </c>
      <c r="I101" s="342">
        <f>+I85</f>
        <v>557381569.10150695</v>
      </c>
      <c r="K101" s="342">
        <f>+K85</f>
        <v>800448443.55083036</v>
      </c>
      <c r="M101" s="342">
        <f>+M85</f>
        <v>798559795.18083036</v>
      </c>
      <c r="O101" s="342">
        <f>+O85</f>
        <v>804190230.38999999</v>
      </c>
      <c r="Q101" s="342">
        <f>+Q85</f>
        <v>800641531.87083042</v>
      </c>
      <c r="S101" s="342">
        <v>881685771.9000001</v>
      </c>
      <c r="U101" s="342">
        <v>879810443.78000009</v>
      </c>
      <c r="W101" s="342">
        <v>888569415.62683225</v>
      </c>
      <c r="Y101" s="342">
        <f>+Y85</f>
        <v>554076880.5</v>
      </c>
      <c r="AA101" s="342">
        <f>+AA85</f>
        <v>560518584.10000002</v>
      </c>
      <c r="AC101" s="342">
        <v>633550828.04999995</v>
      </c>
      <c r="AE101" s="342">
        <v>637729313.19000006</v>
      </c>
      <c r="AG101" s="342">
        <v>638340523.90999997</v>
      </c>
      <c r="AI101" s="342">
        <v>638936637.18000007</v>
      </c>
      <c r="AK101" s="342">
        <v>641882567.62</v>
      </c>
      <c r="AM101" s="342">
        <v>642276932.21000004</v>
      </c>
      <c r="AO101" s="342">
        <v>641436337</v>
      </c>
      <c r="AQ101" s="342">
        <v>639583918.85000002</v>
      </c>
      <c r="AS101" s="342">
        <v>641468069.67999995</v>
      </c>
      <c r="AU101" s="342">
        <v>642507688.91000009</v>
      </c>
      <c r="AW101" s="342">
        <f>+AW85</f>
        <v>637381142.38999999</v>
      </c>
      <c r="AY101" s="342">
        <v>637381142.38999999</v>
      </c>
      <c r="BA101" s="342">
        <v>636490030.63999999</v>
      </c>
      <c r="BC101" s="342">
        <v>633448024.21000004</v>
      </c>
      <c r="BE101" s="342">
        <v>629403132.83000004</v>
      </c>
      <c r="BG101" s="342">
        <v>628339096.33000004</v>
      </c>
      <c r="BI101" s="342">
        <v>627344290.20000005</v>
      </c>
      <c r="BK101" s="342">
        <v>626724299.25999999</v>
      </c>
      <c r="BM101" s="342">
        <v>626798742.63</v>
      </c>
      <c r="BO101" s="342">
        <v>625152772.38</v>
      </c>
      <c r="BQ101" s="342">
        <v>622907473.91999996</v>
      </c>
      <c r="BS101" s="342">
        <v>620029783.80999994</v>
      </c>
      <c r="BU101" s="342">
        <f>+BU85</f>
        <v>618949702.19000006</v>
      </c>
      <c r="BW101" s="342">
        <v>618310883.98899996</v>
      </c>
      <c r="BY101" s="342">
        <f>+BY85</f>
        <v>628212132.21899998</v>
      </c>
      <c r="CA101" s="342">
        <v>198678328.61899996</v>
      </c>
      <c r="CC101" s="342">
        <v>198813802.28899997</v>
      </c>
      <c r="CE101" s="342">
        <v>205991898.609</v>
      </c>
      <c r="CG101" s="342">
        <f>+CG85</f>
        <v>205350008.89899999</v>
      </c>
      <c r="CI101" s="342">
        <v>202365370.11899999</v>
      </c>
      <c r="CK101" s="342">
        <v>199189447.639</v>
      </c>
      <c r="CM101" s="342">
        <f>+CM85</f>
        <v>197814195.109</v>
      </c>
      <c r="CO101" s="342">
        <f>+CO85</f>
        <v>194673846.68899998</v>
      </c>
      <c r="CQ101" s="342">
        <f>+CQ85</f>
        <v>195645764.49900001</v>
      </c>
      <c r="CS101" s="342">
        <f>+CS85</f>
        <v>188425403.89000002</v>
      </c>
      <c r="CU101" s="342">
        <f>+CU85</f>
        <v>102934429.29000001</v>
      </c>
      <c r="CW101" s="342">
        <f>+CW85</f>
        <v>152715907.59</v>
      </c>
      <c r="CY101" s="343">
        <f>+CY85</f>
        <v>107602697.31</v>
      </c>
      <c r="DA101" s="343">
        <f>+DA85</f>
        <v>106553858.94</v>
      </c>
      <c r="DC101" s="343">
        <f>+DC85</f>
        <v>107557026.02</v>
      </c>
      <c r="DD101" s="157"/>
      <c r="DE101" s="343">
        <f>+DE85</f>
        <v>108154578.64999999</v>
      </c>
      <c r="DF101" s="157"/>
      <c r="DG101" s="343">
        <f>+DG85</f>
        <v>107924511.19</v>
      </c>
      <c r="DH101" s="157"/>
      <c r="DI101" s="343">
        <f>+DI85</f>
        <v>107796951.84</v>
      </c>
      <c r="DJ101" s="157"/>
      <c r="DK101" s="666">
        <f>+DK85</f>
        <v>106680830.55</v>
      </c>
      <c r="DL101" s="659"/>
      <c r="DM101" s="666">
        <f>+DM85</f>
        <v>106202573.95999999</v>
      </c>
      <c r="DN101" s="659"/>
      <c r="DO101" s="666">
        <f>+DO85</f>
        <v>105361632.56</v>
      </c>
      <c r="DP101" s="659"/>
      <c r="DQ101" s="666">
        <f>+DQ85</f>
        <v>104107446.28999999</v>
      </c>
      <c r="DR101" s="659"/>
      <c r="DS101" s="666">
        <v>103694409.42999999</v>
      </c>
      <c r="DT101" s="659"/>
      <c r="DU101" s="666">
        <v>103836502.88</v>
      </c>
      <c r="DV101" s="659"/>
      <c r="DW101" s="666">
        <v>102927624.31</v>
      </c>
      <c r="DX101" s="659"/>
      <c r="DY101" s="666">
        <v>102193067.19</v>
      </c>
      <c r="DZ101" s="659"/>
      <c r="EA101" s="666">
        <v>101563930.7</v>
      </c>
      <c r="EB101" s="659"/>
      <c r="EC101" s="666">
        <v>100674814.53999999</v>
      </c>
      <c r="ED101" s="659"/>
      <c r="EE101" s="666">
        <v>100122357.12</v>
      </c>
      <c r="EF101" s="659"/>
      <c r="EG101" s="666">
        <v>99185937.25</v>
      </c>
      <c r="EI101" s="666">
        <v>99364897.590000004</v>
      </c>
      <c r="EK101" s="666">
        <v>100729579.20999999</v>
      </c>
      <c r="EM101" s="666">
        <v>102546494.78999999</v>
      </c>
      <c r="EO101" s="666">
        <v>104367161.03</v>
      </c>
      <c r="EQ101" s="666">
        <v>106476544.97</v>
      </c>
      <c r="ES101" s="666">
        <v>108456971.22999999</v>
      </c>
      <c r="EU101" s="667">
        <v>107830844.61999999</v>
      </c>
      <c r="EV101" s="667"/>
      <c r="EW101" s="667">
        <v>108178892.67999999</v>
      </c>
      <c r="EX101" s="667"/>
      <c r="EY101" s="667">
        <v>108779599.05</v>
      </c>
      <c r="EZ101" s="667"/>
      <c r="FA101" s="667">
        <v>108267676.59</v>
      </c>
      <c r="FB101" s="667"/>
      <c r="FC101" s="667">
        <v>108167362.59</v>
      </c>
      <c r="FD101" s="667"/>
      <c r="FE101" s="667">
        <v>107364336.34999999</v>
      </c>
      <c r="FF101" s="667"/>
      <c r="FG101" s="667">
        <v>107591990.07000001</v>
      </c>
      <c r="FH101" s="667"/>
      <c r="FI101" s="667">
        <v>21695943.629999999</v>
      </c>
      <c r="FJ101" s="667"/>
      <c r="FK101" s="667">
        <v>21083322.359999999</v>
      </c>
      <c r="FL101" s="667"/>
      <c r="FM101" s="667">
        <v>20483098.919999998</v>
      </c>
      <c r="FN101" s="667"/>
      <c r="FO101" s="667">
        <v>19722655.599999998</v>
      </c>
      <c r="FP101" s="667"/>
      <c r="FQ101" s="667">
        <v>20098976.850000001</v>
      </c>
      <c r="FR101" s="667"/>
      <c r="FS101" s="667">
        <v>19022545.5</v>
      </c>
      <c r="FT101" s="667"/>
      <c r="FU101" s="667">
        <v>19363081.120000001</v>
      </c>
      <c r="FV101" s="667"/>
      <c r="FW101" s="667">
        <v>19345917.5</v>
      </c>
      <c r="FY101" s="667">
        <v>19284253.190000001</v>
      </c>
      <c r="FZ101" s="672"/>
      <c r="GA101" s="667">
        <v>19206556.449999999</v>
      </c>
      <c r="GB101" s="672"/>
      <c r="GC101" s="667">
        <v>18915538.449999999</v>
      </c>
      <c r="GE101" s="335"/>
      <c r="GF101" s="335"/>
      <c r="GG101" s="335"/>
    </row>
    <row r="102" spans="1:192" ht="14.25" hidden="1" customHeight="1" outlineLevel="1">
      <c r="A102" s="222"/>
      <c r="B102" s="334"/>
      <c r="C102" s="222"/>
      <c r="D102" s="222"/>
      <c r="E102" s="222"/>
      <c r="F102" s="222" t="s">
        <v>511</v>
      </c>
      <c r="G102" s="349">
        <f>G100/G101</f>
        <v>0</v>
      </c>
      <c r="H102" s="222"/>
      <c r="I102" s="349">
        <f>I100/I101</f>
        <v>0</v>
      </c>
      <c r="J102" s="222"/>
      <c r="K102" s="349">
        <f>K100/K101</f>
        <v>0</v>
      </c>
      <c r="L102" s="222"/>
      <c r="M102" s="349">
        <f>M100/M101</f>
        <v>0</v>
      </c>
      <c r="N102" s="222"/>
      <c r="O102" s="349">
        <f>O100/O101</f>
        <v>0</v>
      </c>
      <c r="P102" s="222"/>
      <c r="Q102" s="349">
        <f>Q100/Q101</f>
        <v>0</v>
      </c>
      <c r="R102" s="222"/>
      <c r="S102" s="349">
        <v>0</v>
      </c>
      <c r="T102" s="222"/>
      <c r="U102" s="349">
        <v>0</v>
      </c>
      <c r="V102" s="222"/>
      <c r="W102" s="349">
        <v>0</v>
      </c>
      <c r="X102" s="222"/>
      <c r="Y102" s="349">
        <f>Y100/Y101</f>
        <v>0</v>
      </c>
      <c r="Z102" s="222"/>
      <c r="AA102" s="349">
        <f>AA100/AA101</f>
        <v>0</v>
      </c>
      <c r="AB102" s="222"/>
      <c r="AC102" s="349">
        <v>0</v>
      </c>
      <c r="AD102" s="222"/>
      <c r="AE102" s="349">
        <v>0</v>
      </c>
      <c r="AF102" s="222"/>
      <c r="AG102" s="349">
        <v>0</v>
      </c>
      <c r="AH102" s="222"/>
      <c r="AI102" s="349">
        <v>0</v>
      </c>
      <c r="AJ102" s="222"/>
      <c r="AK102" s="349">
        <v>0</v>
      </c>
      <c r="AL102" s="222"/>
      <c r="AM102" s="349">
        <v>0</v>
      </c>
      <c r="AN102" s="222"/>
      <c r="AO102" s="349">
        <v>0</v>
      </c>
      <c r="AP102" s="222"/>
      <c r="AQ102" s="349">
        <v>0</v>
      </c>
      <c r="AR102" s="222"/>
      <c r="AS102" s="349">
        <v>0</v>
      </c>
      <c r="AT102" s="807"/>
      <c r="AU102" s="349">
        <v>0</v>
      </c>
      <c r="AV102" s="807"/>
      <c r="AW102" s="349">
        <f>AW100/AW101</f>
        <v>0</v>
      </c>
      <c r="AX102" s="807"/>
      <c r="AY102" s="349">
        <v>0</v>
      </c>
      <c r="AZ102" s="807"/>
      <c r="BA102" s="349">
        <v>0</v>
      </c>
      <c r="BB102" s="807"/>
      <c r="BC102" s="349">
        <v>0</v>
      </c>
      <c r="BD102" s="807"/>
      <c r="BE102" s="349">
        <v>0</v>
      </c>
      <c r="BF102" s="807"/>
      <c r="BG102" s="349">
        <v>0</v>
      </c>
      <c r="BH102" s="807"/>
      <c r="BI102" s="349">
        <v>0</v>
      </c>
      <c r="BJ102" s="807"/>
      <c r="BK102" s="349">
        <v>0</v>
      </c>
      <c r="BL102" s="807"/>
      <c r="BM102" s="349">
        <v>0</v>
      </c>
      <c r="BN102" s="222"/>
      <c r="BO102" s="349">
        <v>0</v>
      </c>
      <c r="BP102" s="222"/>
      <c r="BQ102" s="349">
        <v>0</v>
      </c>
      <c r="BR102" s="222"/>
      <c r="BS102" s="349">
        <v>0</v>
      </c>
      <c r="BT102" s="222"/>
      <c r="BU102" s="349">
        <f>BU100/BU101</f>
        <v>0</v>
      </c>
      <c r="BV102" s="222"/>
      <c r="BW102" s="349">
        <v>0</v>
      </c>
      <c r="BX102" s="222"/>
      <c r="BY102" s="349">
        <f>BY100/BY101</f>
        <v>0</v>
      </c>
      <c r="BZ102" s="222"/>
      <c r="CA102" s="349">
        <v>0</v>
      </c>
      <c r="CB102" s="222"/>
      <c r="CC102" s="349">
        <v>0</v>
      </c>
      <c r="CD102" s="222"/>
      <c r="CE102" s="349">
        <v>0</v>
      </c>
      <c r="CF102" s="222"/>
      <c r="CG102" s="349">
        <f>CG100/CG101</f>
        <v>0</v>
      </c>
      <c r="CH102" s="222"/>
      <c r="CI102" s="349">
        <v>0</v>
      </c>
      <c r="CJ102" s="222"/>
      <c r="CK102" s="349">
        <v>0</v>
      </c>
      <c r="CL102" s="222"/>
      <c r="CM102" s="349">
        <f>CM100/CM101</f>
        <v>-5.1587975719106435E-3</v>
      </c>
      <c r="CN102" s="222"/>
      <c r="CO102" s="349">
        <f>CO100/CO101</f>
        <v>-5.5318618870279475E-3</v>
      </c>
      <c r="CP102" s="222"/>
      <c r="CQ102" s="349">
        <f>CQ100/CQ101</f>
        <v>-5.3461370168784699E-3</v>
      </c>
      <c r="CR102" s="222"/>
      <c r="CS102" s="349">
        <f>CS100/CS101</f>
        <v>-6.4133048637901122E-3</v>
      </c>
      <c r="CT102" s="222"/>
      <c r="CU102" s="349">
        <f>CU100/CU101</f>
        <v>-1.0090975850385455E-2</v>
      </c>
      <c r="CV102" s="222"/>
      <c r="CW102" s="349">
        <f>CW100/CW101</f>
        <v>-2.4184843401617244E-2</v>
      </c>
      <c r="CX102" s="222"/>
      <c r="CY102" s="350">
        <f>CY100/CY101</f>
        <v>-9.7621042162707016E-3</v>
      </c>
      <c r="CZ102" s="222"/>
      <c r="DA102" s="350">
        <f>DA100/DA101</f>
        <v>-1.2814085417299106E-2</v>
      </c>
      <c r="DB102" s="222"/>
      <c r="DC102" s="350">
        <f>DC100/DC101</f>
        <v>-1.1122729813834269E-2</v>
      </c>
      <c r="DD102" s="212"/>
      <c r="DE102" s="350">
        <f>DE100/DE101</f>
        <v>-1.2777056480169613E-2</v>
      </c>
      <c r="DF102" s="212"/>
      <c r="DG102" s="350">
        <f>DG100/DG101</f>
        <v>-1.1138868981149398E-2</v>
      </c>
      <c r="DH102" s="212"/>
      <c r="DI102" s="350">
        <f>DI100/DI101</f>
        <v>-3.9844940943925669E-2</v>
      </c>
      <c r="DJ102" s="212"/>
      <c r="DK102" s="673">
        <f>DK100/DK101</f>
        <v>-6.597755851461172E-2</v>
      </c>
      <c r="DL102" s="677"/>
      <c r="DM102" s="673">
        <f>DM100/DM101</f>
        <v>-1.3549975733563703E-3</v>
      </c>
      <c r="DN102" s="677"/>
      <c r="DO102" s="673">
        <f>DO100/DO101</f>
        <v>-4.6247634756657443E-3</v>
      </c>
      <c r="DP102" s="677"/>
      <c r="DQ102" s="673">
        <f>DQ100/DQ101</f>
        <v>-2.3234126723866155E-3</v>
      </c>
      <c r="DR102" s="677"/>
      <c r="DS102" s="673">
        <v>-3.5001318006931513E-4</v>
      </c>
      <c r="DT102" s="677"/>
      <c r="DU102" s="673">
        <v>-6.7432586862944486E-3</v>
      </c>
      <c r="DV102" s="677"/>
      <c r="DW102" s="673">
        <v>3.2708953632572875E-2</v>
      </c>
      <c r="DX102" s="677"/>
      <c r="DY102" s="673">
        <v>-6.5251288346125447E-3</v>
      </c>
      <c r="DZ102" s="677"/>
      <c r="EA102" s="673">
        <v>-3.3742144099329234E-2</v>
      </c>
      <c r="EB102" s="677"/>
      <c r="EC102" s="673">
        <v>-3.7003803354610003E-2</v>
      </c>
      <c r="ED102" s="677"/>
      <c r="EE102" s="673">
        <v>-4.4122379201635621E-2</v>
      </c>
      <c r="EF102" s="677"/>
      <c r="EG102" s="674">
        <v>-4.1221163134192072E-2</v>
      </c>
      <c r="EH102" s="678"/>
      <c r="EI102" s="674">
        <v>-7.3337533140409278E-2</v>
      </c>
      <c r="EJ102" s="678"/>
      <c r="EK102" s="674">
        <v>-4.6763763454572352E-2</v>
      </c>
      <c r="EL102" s="678"/>
      <c r="EM102" s="674">
        <v>-4.7602970242879621E-2</v>
      </c>
      <c r="EN102" s="678"/>
      <c r="EO102" s="674">
        <v>-4.817572974256553E-2</v>
      </c>
      <c r="EP102" s="678"/>
      <c r="EQ102" s="674">
        <v>-0.13975805781377229</v>
      </c>
      <c r="ER102" s="678"/>
      <c r="ES102" s="674">
        <v>-0.11900812814169526</v>
      </c>
      <c r="ET102" s="678"/>
      <c r="EU102" s="674">
        <v>-0.11675277342365317</v>
      </c>
      <c r="EV102" s="674"/>
      <c r="EW102" s="674">
        <v>-0.19362509895493227</v>
      </c>
      <c r="EX102" s="674"/>
      <c r="EY102" s="674">
        <v>-0.19898431203125491</v>
      </c>
      <c r="EZ102" s="674"/>
      <c r="FA102" s="674">
        <v>-0.21724637297862226</v>
      </c>
      <c r="FB102" s="674"/>
      <c r="FC102" s="674">
        <v>-0.19361443201108558</v>
      </c>
      <c r="FD102" s="674"/>
      <c r="FE102" s="674">
        <v>-0.21960211064071836</v>
      </c>
      <c r="FF102" s="674"/>
      <c r="FG102" s="674">
        <v>-0.23124335755675651</v>
      </c>
      <c r="FH102" s="674"/>
      <c r="FI102" s="674">
        <v>-0.136459232679155</v>
      </c>
      <c r="FJ102" s="674"/>
      <c r="FK102" s="674">
        <v>-0.13709458265855598</v>
      </c>
      <c r="FL102" s="674"/>
      <c r="FM102" s="674">
        <v>-0.15021963434427446</v>
      </c>
      <c r="FN102" s="674"/>
      <c r="FO102" s="674">
        <v>-0.15333909445744207</v>
      </c>
      <c r="FP102" s="674"/>
      <c r="FQ102" s="674">
        <v>-0.14724877251649743</v>
      </c>
      <c r="FR102" s="674"/>
      <c r="FS102" s="674">
        <v>-0.23632972148758929</v>
      </c>
      <c r="FT102" s="674"/>
      <c r="FU102" s="674">
        <v>-0.2281279308093917</v>
      </c>
      <c r="FV102" s="674"/>
      <c r="FW102" s="674">
        <v>-0.2356501173955694</v>
      </c>
      <c r="FX102" s="674"/>
      <c r="FY102" s="674">
        <v>-0.19480363449843302</v>
      </c>
      <c r="FZ102" s="686"/>
      <c r="GA102" s="674">
        <v>-0.2406600346102124</v>
      </c>
      <c r="GB102" s="686"/>
      <c r="GC102" s="674">
        <v>-0.24049730051432922</v>
      </c>
      <c r="GD102" s="222"/>
      <c r="GE102" s="288"/>
      <c r="GF102" s="288"/>
      <c r="GG102" s="351" t="s">
        <v>495</v>
      </c>
      <c r="GH102" s="222"/>
      <c r="GI102" s="351" t="s">
        <v>495</v>
      </c>
      <c r="GJ102" s="351" t="s">
        <v>495</v>
      </c>
    </row>
    <row r="103" spans="1:192" ht="14.25" customHeight="1" collapsed="1">
      <c r="A103" s="222"/>
      <c r="B103" s="334"/>
      <c r="E103" s="341"/>
      <c r="CY103" s="343"/>
      <c r="DA103" s="343"/>
      <c r="DC103" s="343"/>
      <c r="DD103" s="157"/>
      <c r="DE103" s="343"/>
      <c r="DF103" s="157"/>
      <c r="DG103" s="343"/>
      <c r="DH103" s="157"/>
      <c r="DI103" s="343"/>
      <c r="DJ103" s="157"/>
      <c r="DK103" s="666"/>
      <c r="DL103" s="659"/>
      <c r="DM103" s="666"/>
      <c r="DN103" s="659"/>
      <c r="DO103" s="666"/>
      <c r="DP103" s="659"/>
      <c r="DQ103" s="666"/>
      <c r="DR103" s="659"/>
      <c r="DS103" s="666"/>
      <c r="DT103" s="659"/>
      <c r="DU103" s="666"/>
      <c r="DV103" s="659"/>
      <c r="DW103" s="666"/>
      <c r="DX103" s="659"/>
      <c r="DY103" s="666"/>
      <c r="DZ103" s="659"/>
      <c r="EA103" s="666"/>
      <c r="EB103" s="659"/>
      <c r="EC103" s="666"/>
      <c r="ED103" s="659"/>
      <c r="EE103" s="666"/>
      <c r="EF103" s="659"/>
      <c r="EG103" s="667"/>
      <c r="EI103" s="667"/>
      <c r="EK103" s="667"/>
      <c r="EM103" s="667"/>
      <c r="EO103" s="667"/>
      <c r="EQ103" s="667"/>
      <c r="ES103" s="667"/>
      <c r="EU103" s="667"/>
      <c r="EV103" s="667"/>
      <c r="EW103" s="667"/>
      <c r="EX103" s="667"/>
      <c r="EY103" s="667"/>
      <c r="EZ103" s="667"/>
      <c r="FA103" s="667"/>
      <c r="FB103" s="667"/>
      <c r="FC103" s="667"/>
      <c r="FD103" s="667"/>
      <c r="FE103" s="667"/>
      <c r="FF103" s="667"/>
      <c r="FG103" s="667"/>
      <c r="FH103" s="667"/>
      <c r="FI103" s="667"/>
      <c r="FJ103" s="667"/>
      <c r="FK103" s="667"/>
      <c r="FL103" s="667"/>
      <c r="FM103" s="667"/>
      <c r="FN103" s="667"/>
      <c r="FO103" s="667"/>
      <c r="FP103" s="667"/>
      <c r="FQ103" s="667"/>
      <c r="FR103" s="667"/>
      <c r="FS103" s="667"/>
      <c r="FT103" s="667"/>
      <c r="FU103" s="667"/>
      <c r="FV103" s="667"/>
      <c r="FW103" s="667"/>
      <c r="FY103" s="667"/>
      <c r="FZ103" s="672"/>
      <c r="GA103" s="667"/>
      <c r="GB103" s="672"/>
      <c r="GC103" s="667"/>
      <c r="GE103" s="335"/>
      <c r="GF103" s="335"/>
      <c r="GG103" s="335"/>
    </row>
    <row r="104" spans="1:192" ht="14.25" customHeight="1">
      <c r="A104" s="336" t="s">
        <v>220</v>
      </c>
      <c r="B104" s="336"/>
      <c r="C104" s="222" t="s">
        <v>526</v>
      </c>
      <c r="D104" s="222" t="s">
        <v>614</v>
      </c>
      <c r="E104" s="222"/>
      <c r="F104" s="222"/>
      <c r="G104" s="558">
        <v>0</v>
      </c>
      <c r="H104" s="222"/>
      <c r="I104" s="558">
        <v>0</v>
      </c>
      <c r="J104" s="222"/>
      <c r="K104" s="558">
        <v>0</v>
      </c>
      <c r="L104" s="222"/>
      <c r="M104" s="558">
        <v>0</v>
      </c>
      <c r="N104" s="222"/>
      <c r="O104" s="558">
        <v>0</v>
      </c>
      <c r="P104" s="222"/>
      <c r="Q104" s="558">
        <v>0</v>
      </c>
      <c r="R104" s="222"/>
      <c r="S104" s="558">
        <v>0</v>
      </c>
      <c r="T104" s="222"/>
      <c r="U104" s="558">
        <v>0</v>
      </c>
      <c r="V104" s="222"/>
      <c r="W104" s="558">
        <v>0</v>
      </c>
      <c r="X104" s="222"/>
      <c r="Y104" s="558">
        <v>0</v>
      </c>
      <c r="Z104" s="222"/>
      <c r="AA104" s="558">
        <v>0</v>
      </c>
      <c r="AB104" s="222"/>
      <c r="AC104" s="558">
        <v>0</v>
      </c>
      <c r="AD104" s="222"/>
      <c r="AE104" s="558">
        <v>0</v>
      </c>
      <c r="AF104" s="222"/>
      <c r="AG104" s="558">
        <v>0</v>
      </c>
      <c r="AH104" s="222"/>
      <c r="AI104" s="558">
        <v>0</v>
      </c>
      <c r="AJ104" s="222"/>
      <c r="AK104" s="558">
        <v>0</v>
      </c>
      <c r="AL104" s="222"/>
      <c r="AM104" s="558">
        <v>0</v>
      </c>
      <c r="AN104" s="222"/>
      <c r="AO104" s="558">
        <v>0</v>
      </c>
      <c r="AP104" s="222"/>
      <c r="AQ104" s="558">
        <v>0</v>
      </c>
      <c r="AR104" s="222"/>
      <c r="AS104" s="558">
        <v>0</v>
      </c>
      <c r="AT104" s="808" t="str">
        <f>IF(AS104-AU104=0,"Investigate","Fine")</f>
        <v>Investigate</v>
      </c>
      <c r="AU104" s="558">
        <v>0</v>
      </c>
      <c r="AV104" s="808" t="str">
        <f>IF(AU104-AW104=0,"Investigate","Fine")</f>
        <v>Investigate</v>
      </c>
      <c r="AW104" s="558">
        <v>0</v>
      </c>
      <c r="AX104" s="808" t="str">
        <f>IF(AW104-AY104=0,"Investigate","Fine")</f>
        <v>Investigate</v>
      </c>
      <c r="AY104" s="558">
        <v>0</v>
      </c>
      <c r="AZ104" s="808" t="str">
        <f>IF(AY104-BA104=0,"Investigate","Fine")</f>
        <v>Investigate</v>
      </c>
      <c r="BA104" s="558">
        <v>0</v>
      </c>
      <c r="BB104" s="808" t="str">
        <f>IF(BA104-BC104=0,"Investigate","Fine")</f>
        <v>Investigate</v>
      </c>
      <c r="BC104" s="558">
        <v>0</v>
      </c>
      <c r="BD104" s="808" t="str">
        <f>IF(BC104-BE104=0,"Investigate","Fine")</f>
        <v>Investigate</v>
      </c>
      <c r="BE104" s="558">
        <v>0</v>
      </c>
      <c r="BF104" s="808" t="str">
        <f>IF(BE104-BG104=0,"Investigate","Fine")</f>
        <v>Investigate</v>
      </c>
      <c r="BG104" s="558">
        <v>0</v>
      </c>
      <c r="BH104" s="808" t="str">
        <f>IF(BG104-BI104=0,"Investigate","Fine")</f>
        <v>Investigate</v>
      </c>
      <c r="BI104" s="350">
        <v>0</v>
      </c>
      <c r="BJ104" s="808" t="str">
        <f>IF(BI104-BK104=0,"Investigate","Fine")</f>
        <v>Investigate</v>
      </c>
      <c r="BK104" s="350">
        <v>0</v>
      </c>
      <c r="BL104" s="808" t="str">
        <f>IF(BK104-BM104=0,"Investigate","Fine")</f>
        <v>Investigate</v>
      </c>
      <c r="BM104" s="350">
        <v>0</v>
      </c>
      <c r="BN104" s="222"/>
      <c r="BO104" s="350">
        <v>0</v>
      </c>
      <c r="BP104" s="222"/>
      <c r="BQ104" s="350">
        <v>0</v>
      </c>
      <c r="BR104" s="222"/>
      <c r="BS104" s="350">
        <v>0</v>
      </c>
      <c r="BT104" s="222"/>
      <c r="BU104" s="350">
        <v>0</v>
      </c>
      <c r="BV104" s="222"/>
      <c r="BW104" s="558">
        <v>0</v>
      </c>
      <c r="BX104" s="222"/>
      <c r="BY104" s="350">
        <v>0</v>
      </c>
      <c r="BZ104" s="222"/>
      <c r="CA104" s="350">
        <v>0</v>
      </c>
      <c r="CB104" s="222"/>
      <c r="CC104" s="350">
        <v>0</v>
      </c>
      <c r="CD104" s="222"/>
      <c r="CE104" s="350">
        <v>0</v>
      </c>
      <c r="CF104" s="222"/>
      <c r="CG104" s="350">
        <v>0</v>
      </c>
      <c r="CH104" s="222"/>
      <c r="CI104" s="350">
        <v>0</v>
      </c>
      <c r="CJ104" s="222"/>
      <c r="CK104" s="350">
        <v>0</v>
      </c>
      <c r="CL104" s="222"/>
      <c r="CM104" s="350">
        <v>0</v>
      </c>
      <c r="CN104" s="222"/>
      <c r="CO104" s="350">
        <v>0</v>
      </c>
      <c r="CP104" s="222"/>
      <c r="CQ104" s="350">
        <v>0</v>
      </c>
      <c r="CR104" s="222"/>
      <c r="CS104" s="350">
        <v>0</v>
      </c>
      <c r="CT104" s="222"/>
      <c r="CU104" s="350">
        <v>0</v>
      </c>
      <c r="CV104" s="222"/>
      <c r="CW104" s="350">
        <v>0</v>
      </c>
      <c r="CX104" s="222"/>
      <c r="CY104" s="350">
        <v>0</v>
      </c>
      <c r="CZ104" s="222"/>
      <c r="DA104" s="350">
        <v>0</v>
      </c>
      <c r="DB104" s="222"/>
      <c r="DC104" s="350">
        <v>0</v>
      </c>
      <c r="DD104" s="212"/>
      <c r="DE104" s="350">
        <v>0</v>
      </c>
      <c r="DF104" s="212"/>
      <c r="DG104" s="350">
        <v>0</v>
      </c>
      <c r="DH104" s="212"/>
      <c r="DI104" s="350">
        <v>0</v>
      </c>
      <c r="DJ104" s="212"/>
      <c r="DK104" s="673">
        <v>0</v>
      </c>
      <c r="DL104" s="677"/>
      <c r="DM104" s="673">
        <v>0</v>
      </c>
      <c r="DN104" s="677"/>
      <c r="DO104" s="673">
        <v>0</v>
      </c>
      <c r="DP104" s="677"/>
      <c r="DQ104" s="673">
        <v>0</v>
      </c>
      <c r="DR104" s="677"/>
      <c r="DS104" s="673">
        <v>0</v>
      </c>
      <c r="DT104" s="677"/>
      <c r="DU104" s="673">
        <v>0</v>
      </c>
      <c r="DV104" s="677"/>
      <c r="DW104" s="673">
        <v>0</v>
      </c>
      <c r="DX104" s="677"/>
      <c r="DY104" s="673">
        <v>0</v>
      </c>
      <c r="DZ104" s="677"/>
      <c r="EA104" s="673">
        <v>0</v>
      </c>
      <c r="EB104" s="677"/>
      <c r="EC104" s="673">
        <v>0</v>
      </c>
      <c r="ED104" s="677"/>
      <c r="EE104" s="673">
        <v>0</v>
      </c>
      <c r="EF104" s="677"/>
      <c r="EG104" s="674">
        <v>0</v>
      </c>
      <c r="EH104" s="678"/>
      <c r="EI104" s="674">
        <v>0</v>
      </c>
      <c r="EJ104" s="678"/>
      <c r="EK104" s="674">
        <v>0</v>
      </c>
      <c r="EL104" s="678"/>
      <c r="EM104" s="674">
        <v>0</v>
      </c>
      <c r="EN104" s="678"/>
      <c r="EO104" s="674">
        <v>0</v>
      </c>
      <c r="EP104" s="678"/>
      <c r="EQ104" s="674">
        <v>0</v>
      </c>
      <c r="ER104" s="678"/>
      <c r="ES104" s="674">
        <v>0</v>
      </c>
      <c r="ET104" s="678"/>
      <c r="EU104" s="674">
        <v>0</v>
      </c>
      <c r="EV104" s="674"/>
      <c r="EW104" s="674">
        <v>0</v>
      </c>
      <c r="EX104" s="674"/>
      <c r="EY104" s="674">
        <v>0</v>
      </c>
      <c r="EZ104" s="674"/>
      <c r="FA104" s="674">
        <v>0</v>
      </c>
      <c r="FB104" s="674"/>
      <c r="FC104" s="674">
        <v>0</v>
      </c>
      <c r="FD104" s="674"/>
      <c r="FE104" s="674">
        <v>0</v>
      </c>
      <c r="FF104" s="674"/>
      <c r="FG104" s="674">
        <v>0</v>
      </c>
      <c r="FH104" s="674"/>
      <c r="FI104" s="674">
        <v>0</v>
      </c>
      <c r="FJ104" s="674"/>
      <c r="FK104" s="674">
        <v>0</v>
      </c>
      <c r="FL104" s="674"/>
      <c r="FM104" s="674">
        <v>0</v>
      </c>
      <c r="FN104" s="674"/>
      <c r="FO104" s="674">
        <v>0</v>
      </c>
      <c r="FP104" s="674"/>
      <c r="FQ104" s="674">
        <v>0</v>
      </c>
      <c r="FR104" s="674"/>
      <c r="FS104" s="674">
        <v>0</v>
      </c>
      <c r="FT104" s="674"/>
      <c r="FU104" s="674">
        <v>0</v>
      </c>
      <c r="FV104" s="674"/>
      <c r="FW104" s="674">
        <v>0</v>
      </c>
      <c r="FX104" s="678"/>
      <c r="FY104" s="674">
        <v>0</v>
      </c>
      <c r="FZ104" s="686"/>
      <c r="GA104" s="674">
        <v>0</v>
      </c>
      <c r="GB104" s="686"/>
      <c r="GC104" s="674">
        <v>0</v>
      </c>
      <c r="GD104" s="222"/>
      <c r="GE104" s="288"/>
      <c r="GF104" s="357" t="s">
        <v>495</v>
      </c>
      <c r="GG104" s="288"/>
      <c r="GH104" s="222"/>
      <c r="GI104" s="222"/>
      <c r="GJ104" s="222"/>
    </row>
    <row r="105" spans="1:192" ht="14.25" customHeight="1">
      <c r="A105" s="222"/>
      <c r="B105" s="334"/>
      <c r="CY105" s="359"/>
      <c r="DA105" s="359"/>
      <c r="DC105" s="359"/>
      <c r="DD105" s="157"/>
      <c r="DE105" s="359"/>
      <c r="DF105" s="157"/>
      <c r="DG105" s="359"/>
      <c r="DH105" s="157"/>
      <c r="DI105" s="359"/>
      <c r="DJ105" s="157"/>
      <c r="DK105" s="691"/>
      <c r="DL105" s="659"/>
      <c r="DM105" s="691"/>
      <c r="DN105" s="659"/>
      <c r="DO105" s="691"/>
      <c r="DP105" s="659"/>
      <c r="DQ105" s="691"/>
      <c r="DR105" s="659"/>
      <c r="DS105" s="691"/>
      <c r="DT105" s="659"/>
      <c r="DU105" s="691"/>
      <c r="DV105" s="659"/>
      <c r="DW105" s="691"/>
      <c r="DX105" s="659"/>
      <c r="DY105" s="691"/>
      <c r="DZ105" s="659"/>
      <c r="EA105" s="691"/>
      <c r="EB105" s="659"/>
      <c r="EC105" s="691"/>
      <c r="ED105" s="659"/>
      <c r="EE105" s="691"/>
      <c r="EF105" s="659"/>
      <c r="EG105" s="672"/>
      <c r="EI105" s="672"/>
      <c r="EK105" s="672"/>
      <c r="EM105" s="672"/>
      <c r="EO105" s="672"/>
      <c r="EQ105" s="672"/>
      <c r="ES105" s="672"/>
      <c r="EU105" s="672"/>
      <c r="EV105" s="672"/>
      <c r="EW105" s="672"/>
      <c r="EX105" s="672"/>
      <c r="EY105" s="672"/>
      <c r="EZ105" s="672"/>
      <c r="FA105" s="672"/>
      <c r="FB105" s="672"/>
      <c r="FC105" s="672"/>
      <c r="FD105" s="672"/>
      <c r="FE105" s="672"/>
      <c r="FF105" s="672"/>
      <c r="FG105" s="672"/>
      <c r="FH105" s="672"/>
      <c r="FI105" s="672"/>
      <c r="FJ105" s="672"/>
      <c r="FK105" s="672"/>
      <c r="FL105" s="672"/>
      <c r="FM105" s="672"/>
      <c r="FN105" s="672"/>
      <c r="FO105" s="672"/>
      <c r="FP105" s="672"/>
      <c r="FQ105" s="672"/>
      <c r="FR105" s="672"/>
      <c r="FS105" s="672"/>
      <c r="FT105" s="672"/>
      <c r="FU105" s="672"/>
      <c r="FV105" s="672"/>
      <c r="FW105" s="672"/>
      <c r="FY105" s="672"/>
      <c r="FZ105" s="672"/>
      <c r="GA105" s="672"/>
      <c r="GB105" s="672"/>
      <c r="GC105" s="672"/>
      <c r="GE105" s="335"/>
      <c r="GF105" s="335"/>
      <c r="GG105" s="335"/>
    </row>
    <row r="106" spans="1:192" ht="14.25" customHeight="1">
      <c r="A106" s="336" t="s">
        <v>211</v>
      </c>
      <c r="B106" s="337" t="s">
        <v>506</v>
      </c>
      <c r="C106" s="222" t="s">
        <v>544</v>
      </c>
      <c r="D106" s="222" t="s">
        <v>618</v>
      </c>
      <c r="E106" s="222"/>
      <c r="F106" s="222"/>
      <c r="H106" s="222"/>
      <c r="J106" s="222"/>
      <c r="L106" s="222"/>
      <c r="N106" s="222"/>
      <c r="P106" s="222"/>
      <c r="R106" s="222"/>
      <c r="T106" s="222"/>
      <c r="V106" s="222"/>
      <c r="X106" s="222"/>
      <c r="Z106" s="222"/>
      <c r="AB106" s="222"/>
      <c r="AD106" s="222"/>
      <c r="AF106" s="222"/>
      <c r="AH106" s="222"/>
      <c r="AJ106" s="222"/>
      <c r="AL106" s="222"/>
      <c r="AN106" s="222"/>
      <c r="AP106" s="222"/>
      <c r="AR106" s="222"/>
      <c r="AT106" s="807"/>
      <c r="AV106" s="807"/>
      <c r="AX106" s="807"/>
      <c r="AZ106" s="807"/>
      <c r="BB106" s="807"/>
      <c r="BD106" s="807"/>
      <c r="BF106" s="807"/>
      <c r="BH106" s="807"/>
      <c r="BJ106" s="807"/>
      <c r="BL106" s="807"/>
      <c r="BN106" s="222"/>
      <c r="BP106" s="222"/>
      <c r="BR106" s="222"/>
      <c r="BT106" s="222"/>
      <c r="BV106" s="222"/>
      <c r="BX106" s="222"/>
      <c r="BZ106" s="222"/>
      <c r="CB106" s="222"/>
      <c r="CD106" s="222"/>
      <c r="CF106" s="222"/>
      <c r="CH106" s="222"/>
      <c r="CJ106" s="222"/>
      <c r="CL106" s="222"/>
      <c r="CN106" s="222"/>
      <c r="CY106" s="157"/>
      <c r="DA106" s="157"/>
      <c r="DC106" s="157"/>
      <c r="DD106" s="157"/>
      <c r="DE106" s="157"/>
      <c r="DF106" s="157"/>
      <c r="DG106" s="157"/>
      <c r="DH106" s="157"/>
      <c r="DI106" s="157"/>
      <c r="DJ106" s="157"/>
      <c r="DK106" s="659"/>
      <c r="DL106" s="659"/>
      <c r="DM106" s="659"/>
      <c r="DN106" s="659"/>
      <c r="DO106" s="659"/>
      <c r="DP106" s="659"/>
      <c r="DQ106" s="673"/>
      <c r="DR106" s="659"/>
      <c r="DS106" s="659"/>
      <c r="DT106" s="659"/>
      <c r="DU106" s="659"/>
      <c r="DV106" s="659"/>
      <c r="DW106" s="673"/>
      <c r="DX106" s="659"/>
      <c r="DY106" s="673"/>
      <c r="DZ106" s="659"/>
      <c r="EA106" s="659"/>
      <c r="EB106" s="659"/>
      <c r="EF106" s="659"/>
      <c r="GE106" s="335"/>
      <c r="GF106" s="335"/>
      <c r="GG106" s="335"/>
    </row>
    <row r="108" spans="1:192" ht="14.25" customHeight="1">
      <c r="A108" s="341"/>
      <c r="B108" s="340"/>
      <c r="C108" s="341"/>
      <c r="D108" s="341"/>
      <c r="E108" s="341" t="s">
        <v>545</v>
      </c>
      <c r="G108" s="561">
        <v>81593183.890000015</v>
      </c>
      <c r="I108" s="561">
        <v>85152996.870000005</v>
      </c>
      <c r="K108" s="561">
        <v>87758027.162206337</v>
      </c>
      <c r="M108" s="561">
        <v>87918732.309999987</v>
      </c>
      <c r="O108" s="561">
        <v>82268484.069999993</v>
      </c>
      <c r="P108" s="341"/>
      <c r="Q108" s="561">
        <v>84268484.070000008</v>
      </c>
      <c r="R108" s="341"/>
      <c r="S108" s="561">
        <v>81920968.180000007</v>
      </c>
      <c r="T108" s="341"/>
      <c r="U108" s="561">
        <v>79102648.340000004</v>
      </c>
      <c r="V108" s="341"/>
      <c r="W108" s="561">
        <v>82003203.570000008</v>
      </c>
      <c r="X108" s="341"/>
      <c r="Y108" s="561">
        <v>88411774.530000001</v>
      </c>
      <c r="Z108" s="341"/>
      <c r="AA108" s="561">
        <v>82764621.109999999</v>
      </c>
      <c r="AB108" s="341"/>
      <c r="AC108" s="560">
        <v>87066509.349999994</v>
      </c>
      <c r="AD108" s="341"/>
      <c r="AE108" s="561">
        <v>86224884.930000007</v>
      </c>
      <c r="AF108" s="341"/>
      <c r="AG108" s="561">
        <v>84221222.540000007</v>
      </c>
      <c r="AH108" s="341"/>
      <c r="AI108" s="561">
        <v>76184376.329999998</v>
      </c>
      <c r="AJ108" s="341"/>
      <c r="AK108" s="561">
        <v>84096622.540000007</v>
      </c>
      <c r="AL108" s="341"/>
      <c r="AM108" s="557">
        <v>84464211.169999987</v>
      </c>
      <c r="AN108" s="341"/>
      <c r="AO108" s="561">
        <v>82636113.839999989</v>
      </c>
      <c r="AP108" s="341"/>
      <c r="AQ108" s="561">
        <v>84076622.539999992</v>
      </c>
      <c r="AR108" s="341"/>
      <c r="AS108" s="561">
        <v>84793812.030000016</v>
      </c>
      <c r="AU108" s="561">
        <v>83771515.179999992</v>
      </c>
      <c r="AW108" s="561">
        <v>82161999.530000001</v>
      </c>
      <c r="AY108" s="561">
        <v>82250345.270000011</v>
      </c>
      <c r="BA108" s="561">
        <v>84445100.320000008</v>
      </c>
      <c r="BC108" s="561">
        <v>84504221.760000005</v>
      </c>
      <c r="BE108" s="561">
        <v>84880860.510000259</v>
      </c>
      <c r="BG108" s="561">
        <v>84564501.679998621</v>
      </c>
      <c r="BI108" s="561">
        <v>79664087.469999999</v>
      </c>
      <c r="BK108" s="561">
        <v>77960627.539998442</v>
      </c>
      <c r="BM108" s="561">
        <v>72282214.469998449</v>
      </c>
      <c r="BN108" s="341"/>
      <c r="BO108" s="561">
        <v>68802527.24000001</v>
      </c>
      <c r="BP108" s="341"/>
      <c r="BQ108" s="561">
        <v>69532835.109999999</v>
      </c>
      <c r="BR108" s="341"/>
      <c r="BS108" s="561">
        <v>63713124.670000002</v>
      </c>
      <c r="BT108" s="341"/>
      <c r="BU108" s="561">
        <v>64346875.170000002</v>
      </c>
      <c r="BV108" s="341"/>
      <c r="BW108" s="561">
        <v>60483088.429998361</v>
      </c>
      <c r="BX108" s="341"/>
      <c r="BY108" s="561">
        <v>60502845</v>
      </c>
      <c r="BZ108" s="341"/>
      <c r="CA108" s="561">
        <v>60350816</v>
      </c>
      <c r="CB108" s="341"/>
      <c r="CC108" s="561">
        <v>60051615.189999998</v>
      </c>
      <c r="CD108" s="341"/>
      <c r="CE108" s="561">
        <v>58032643</v>
      </c>
      <c r="CF108" s="341"/>
      <c r="CG108" s="460">
        <v>57444253.25</v>
      </c>
      <c r="CH108" s="341"/>
      <c r="CI108" s="561">
        <v>51889815.140000001</v>
      </c>
      <c r="CJ108" s="341"/>
      <c r="CK108" s="557">
        <v>38636322</v>
      </c>
      <c r="CL108" s="341"/>
      <c r="CM108" s="416">
        <v>44669296.75</v>
      </c>
      <c r="CN108" s="341"/>
      <c r="CO108" s="416">
        <v>41479970.030000001</v>
      </c>
      <c r="CQ108" s="416">
        <v>39837377.850000001</v>
      </c>
      <c r="CS108" s="416">
        <v>39306861</v>
      </c>
      <c r="CT108" s="417"/>
      <c r="CU108" s="416">
        <v>38249837.479999997</v>
      </c>
      <c r="CV108" s="417"/>
      <c r="CW108" s="416">
        <v>36996002</v>
      </c>
      <c r="CY108" s="342">
        <v>35827538.359999999</v>
      </c>
      <c r="DA108" s="342">
        <v>35756694.689999998</v>
      </c>
      <c r="DC108" s="342">
        <v>34692662.079999998</v>
      </c>
      <c r="DD108" s="157"/>
      <c r="DE108" s="342">
        <v>34697381.880000003</v>
      </c>
      <c r="DF108" s="157"/>
      <c r="DG108" s="343">
        <v>34309203.060000002</v>
      </c>
      <c r="DH108" s="157"/>
      <c r="DI108" s="343">
        <v>34217848.219999999</v>
      </c>
      <c r="DJ108" s="157"/>
      <c r="DK108" s="673"/>
      <c r="DL108" s="673"/>
      <c r="DM108" s="673"/>
      <c r="DN108" s="659"/>
      <c r="DO108" s="673"/>
      <c r="DP108" s="659"/>
      <c r="DQ108" s="673"/>
      <c r="DR108" s="659"/>
      <c r="DS108" s="673"/>
      <c r="DT108" s="659"/>
      <c r="DU108" s="673"/>
      <c r="DV108" s="659"/>
      <c r="DW108" s="673"/>
      <c r="DX108" s="659"/>
      <c r="DY108" s="673"/>
      <c r="DZ108" s="659"/>
      <c r="EA108" s="659"/>
      <c r="EB108" s="659"/>
      <c r="EF108" s="659"/>
      <c r="EI108" s="667"/>
      <c r="EJ108" s="667"/>
      <c r="EK108" s="667"/>
      <c r="EM108" s="667"/>
      <c r="EN108" s="667"/>
      <c r="EO108" s="667"/>
      <c r="EQ108" s="667"/>
      <c r="ES108" s="667"/>
      <c r="EU108" s="667"/>
      <c r="EV108" s="667"/>
      <c r="EW108" s="667"/>
      <c r="GE108" s="335"/>
      <c r="GF108" s="335"/>
      <c r="GG108" s="335"/>
      <c r="GI108" s="288"/>
    </row>
    <row r="109" spans="1:192" ht="14.25" customHeight="1">
      <c r="A109" s="341"/>
      <c r="B109" s="340"/>
      <c r="C109" s="341"/>
      <c r="D109" s="341"/>
      <c r="E109" s="341" t="s">
        <v>232</v>
      </c>
      <c r="F109" s="341"/>
      <c r="G109" s="557">
        <f>+'Balance Sheet - Dec25'!C25</f>
        <v>547319021.83000004</v>
      </c>
      <c r="H109" s="341"/>
      <c r="I109" s="557">
        <f>+'Balance Sheet - Dec25'!E25</f>
        <v>541821979.0200001</v>
      </c>
      <c r="J109" s="341"/>
      <c r="K109" s="557">
        <f>+'Balance Sheet - Dec25'!G25</f>
        <v>550285915.91999996</v>
      </c>
      <c r="L109" s="341"/>
      <c r="M109" s="557">
        <f>+'Balance Sheet - Dec25'!I25</f>
        <v>548397267.54999995</v>
      </c>
      <c r="N109" s="341"/>
      <c r="O109" s="557">
        <f>+'Balance Sheet - Dec25'!K25</f>
        <v>546283054.51999998</v>
      </c>
      <c r="P109" s="341"/>
      <c r="Q109" s="557">
        <f>+'Balance Sheet - Dec25'!M25</f>
        <v>550479004.24000001</v>
      </c>
      <c r="R109" s="341"/>
      <c r="S109" s="557">
        <v>612313584.79000008</v>
      </c>
      <c r="T109" s="341"/>
      <c r="U109" s="557">
        <v>609976814.43000007</v>
      </c>
      <c r="V109" s="341"/>
      <c r="W109" s="557">
        <v>608035413.99000001</v>
      </c>
      <c r="X109" s="341"/>
      <c r="Y109" s="557">
        <f>+'Balance Sheet - Dec25'!U25</f>
        <v>554076880.5</v>
      </c>
      <c r="Z109" s="341"/>
      <c r="AA109" s="557">
        <f>+'Balance Sheet - Dec25'!W25</f>
        <v>560518584.10000002</v>
      </c>
      <c r="AB109" s="341"/>
      <c r="AC109" s="557">
        <v>633550828.04999995</v>
      </c>
      <c r="AD109" s="341"/>
      <c r="AE109" s="557">
        <v>637729313.19000006</v>
      </c>
      <c r="AF109" s="341"/>
      <c r="AG109" s="557">
        <v>638340523.90999997</v>
      </c>
      <c r="AH109" s="341"/>
      <c r="AI109" s="557">
        <v>638936637.18000007</v>
      </c>
      <c r="AJ109" s="341"/>
      <c r="AK109" s="557">
        <v>641882567.62</v>
      </c>
      <c r="AL109" s="341"/>
      <c r="AM109" s="557">
        <v>642276932.21000004</v>
      </c>
      <c r="AN109" s="341"/>
      <c r="AO109" s="557">
        <v>641436337</v>
      </c>
      <c r="AP109" s="341"/>
      <c r="AQ109" s="557">
        <v>639583918.85000002</v>
      </c>
      <c r="AR109" s="341"/>
      <c r="AS109" s="557">
        <v>641468069.67999995</v>
      </c>
      <c r="AU109" s="557">
        <v>642507688.91000009</v>
      </c>
      <c r="AW109" s="557">
        <v>637381142.38999999</v>
      </c>
      <c r="AY109" s="557">
        <v>637381142.38999999</v>
      </c>
      <c r="BA109" s="557">
        <v>636490030.63999999</v>
      </c>
      <c r="BC109" s="557">
        <v>633448024.21000004</v>
      </c>
      <c r="BE109" s="557">
        <v>629403132.83000004</v>
      </c>
      <c r="BG109" s="557">
        <v>628339096.33000004</v>
      </c>
      <c r="BI109" s="343">
        <v>627344290.20000005</v>
      </c>
      <c r="BK109" s="343">
        <v>626724299.25999999</v>
      </c>
      <c r="BM109" s="343">
        <v>626798742.63</v>
      </c>
      <c r="BN109" s="341"/>
      <c r="BO109" s="343">
        <v>625152772.38</v>
      </c>
      <c r="BP109" s="341"/>
      <c r="BQ109" s="343">
        <v>622907473.91999996</v>
      </c>
      <c r="BR109" s="341"/>
      <c r="BS109" s="343">
        <v>620029783.80999994</v>
      </c>
      <c r="BT109" s="341"/>
      <c r="BU109" s="343">
        <f>+'Balance Sheet - Dec25'!BQ25</f>
        <v>618949702.19000006</v>
      </c>
      <c r="BV109" s="341"/>
      <c r="BW109" s="557">
        <v>618310883.98899996</v>
      </c>
      <c r="BX109" s="341"/>
      <c r="BY109" s="343">
        <f>+'Balance Sheet - Dec25'!BU25</f>
        <v>628212132.21899998</v>
      </c>
      <c r="BZ109" s="341"/>
      <c r="CA109" s="343">
        <v>198678328.61899996</v>
      </c>
      <c r="CB109" s="341"/>
      <c r="CC109" s="557">
        <v>198813802.28899997</v>
      </c>
      <c r="CD109" s="341"/>
      <c r="CE109" s="557">
        <v>205991898.609</v>
      </c>
      <c r="CF109" s="341"/>
      <c r="CG109" s="343">
        <f>+'Balance Sheet - Dec25'!CC25</f>
        <v>205350008.89899999</v>
      </c>
      <c r="CH109" s="341"/>
      <c r="CI109" s="557">
        <v>202365370.11899999</v>
      </c>
      <c r="CJ109" s="341"/>
      <c r="CK109" s="557">
        <v>199189447.639</v>
      </c>
      <c r="CL109" s="341"/>
      <c r="CM109" s="343">
        <f>+'Balance Sheet - Dec25'!CI25</f>
        <v>197814195.109</v>
      </c>
      <c r="CN109" s="341"/>
      <c r="CO109" s="343">
        <f>+'Balance Sheet - Dec25'!CK25</f>
        <v>194673846.68899998</v>
      </c>
      <c r="CQ109" s="343">
        <f>+'Balance Sheet - Dec25'!CM25</f>
        <v>195645764.49900001</v>
      </c>
      <c r="CS109" s="343">
        <f>+'Balance Sheet - Dec25'!CO25</f>
        <v>188425403.89000002</v>
      </c>
      <c r="CU109" s="343">
        <f>+'Balance Sheet - Dec25'!CQ25</f>
        <v>102934429.29000001</v>
      </c>
      <c r="CW109" s="343">
        <f>+'Balance Sheet - Dec25'!CS25</f>
        <v>152715907.59</v>
      </c>
      <c r="CY109" s="343">
        <f>+'Balance Sheet - Dec25'!CU25</f>
        <v>107602697.31</v>
      </c>
      <c r="DA109" s="343">
        <f>+'Balance Sheet - Dec25'!CW25</f>
        <v>106553858.94</v>
      </c>
      <c r="DC109" s="343">
        <f>+'Balance Sheet - Dec25'!CY25</f>
        <v>107557026.02</v>
      </c>
      <c r="DD109" s="157"/>
      <c r="DE109" s="343">
        <f>+'Balance Sheet - Dec25'!DA25</f>
        <v>108154578.64999999</v>
      </c>
      <c r="DF109" s="157"/>
      <c r="DG109" s="343">
        <f>+'Balance Sheet - Dec25'!DC25</f>
        <v>107924511.19</v>
      </c>
      <c r="DH109" s="157"/>
      <c r="DI109" s="343">
        <f>+'Balance Sheet - Dec25'!DE25</f>
        <v>107796951.84</v>
      </c>
      <c r="DJ109" s="157"/>
      <c r="DK109" s="673"/>
      <c r="DL109" s="673"/>
      <c r="DM109" s="673"/>
      <c r="DN109" s="659"/>
      <c r="DO109" s="673"/>
      <c r="DP109" s="659"/>
      <c r="DQ109" s="673"/>
      <c r="DR109" s="659"/>
      <c r="DS109" s="673"/>
      <c r="DT109" s="659"/>
      <c r="DU109" s="673"/>
      <c r="DV109" s="659"/>
      <c r="DW109" s="673"/>
      <c r="DX109" s="659"/>
      <c r="DY109" s="673"/>
      <c r="DZ109" s="659"/>
      <c r="EA109" s="659"/>
      <c r="EB109" s="659"/>
      <c r="EF109" s="659"/>
      <c r="EI109" s="666"/>
      <c r="EJ109" s="666"/>
      <c r="EK109" s="666"/>
      <c r="EM109" s="666"/>
      <c r="EN109" s="666"/>
      <c r="EO109" s="666"/>
      <c r="EQ109" s="666"/>
      <c r="ES109" s="666"/>
      <c r="EU109" s="667"/>
      <c r="EV109" s="667"/>
      <c r="EW109" s="667"/>
      <c r="GE109" s="335"/>
      <c r="GF109" s="335"/>
      <c r="GG109" s="335"/>
    </row>
    <row r="110" spans="1:192" ht="14.25" customHeight="1">
      <c r="B110" s="334"/>
      <c r="F110" s="222" t="s">
        <v>544</v>
      </c>
      <c r="G110" s="558">
        <f>+G108/G109</f>
        <v>0.14907792463924863</v>
      </c>
      <c r="H110" s="222"/>
      <c r="I110" s="558">
        <f>+I108/I109</f>
        <v>0.15716046998318017</v>
      </c>
      <c r="J110" s="222"/>
      <c r="K110" s="558">
        <f>+K108/K109</f>
        <v>0.15947714564979801</v>
      </c>
      <c r="L110" s="222"/>
      <c r="M110" s="558">
        <f>+M108/M109</f>
        <v>0.16031942081473632</v>
      </c>
      <c r="N110" s="222"/>
      <c r="O110" s="558">
        <f>+O108/O109</f>
        <v>0.15059680762436695</v>
      </c>
      <c r="P110" s="222"/>
      <c r="Q110" s="558">
        <f>+Q108/Q109</f>
        <v>0.15308210380583434</v>
      </c>
      <c r="R110" s="222"/>
      <c r="S110" s="558">
        <v>0.13378923841465273</v>
      </c>
      <c r="T110" s="222"/>
      <c r="U110" s="558">
        <v>0.12968140176593171</v>
      </c>
      <c r="V110" s="222"/>
      <c r="W110" s="558">
        <v>0.1348658345932276</v>
      </c>
      <c r="X110" s="222"/>
      <c r="Y110" s="558">
        <f>+Y108/Y109</f>
        <v>0.15956589715531364</v>
      </c>
      <c r="Z110" s="222"/>
      <c r="AA110" s="558">
        <f>+AA108/AA109</f>
        <v>0.14765722931897343</v>
      </c>
      <c r="AB110" s="222"/>
      <c r="AC110" s="558">
        <v>0.137426241897562</v>
      </c>
      <c r="AD110" s="222"/>
      <c r="AE110" s="558">
        <v>0.13520608688769939</v>
      </c>
      <c r="AF110" s="222"/>
      <c r="AG110" s="558">
        <v>0.13193776579328437</v>
      </c>
      <c r="AH110" s="222"/>
      <c r="AI110" s="558">
        <v>0.11923619948645624</v>
      </c>
      <c r="AJ110" s="222"/>
      <c r="AK110" s="558">
        <v>0.13101558880437758</v>
      </c>
      <c r="AL110" s="222"/>
      <c r="AM110" s="558">
        <v>0.13150746497989346</v>
      </c>
      <c r="AN110" s="222"/>
      <c r="AO110" s="558">
        <v>0.1288297981783966</v>
      </c>
      <c r="AP110" s="222"/>
      <c r="AQ110" s="558">
        <v>0.1314551852572739</v>
      </c>
      <c r="AR110" s="222"/>
      <c r="AS110" s="558">
        <v>0.13218711271521261</v>
      </c>
      <c r="AT110" s="808" t="str">
        <f>IF(AS110-AU110=0,"Investigate","Fine")</f>
        <v>Fine</v>
      </c>
      <c r="AU110" s="558">
        <v>0.13038212090833728</v>
      </c>
      <c r="AV110" s="808" t="str">
        <f>IF(AU110-AW110=0,"Investigate","Fine")</f>
        <v>Fine</v>
      </c>
      <c r="AW110" s="558">
        <f>+AW108/AW109</f>
        <v>0.12890560147718774</v>
      </c>
      <c r="AX110" s="808" t="str">
        <f>IF(AW110-AY110=0,"Investigate","Fine")</f>
        <v>Fine</v>
      </c>
      <c r="AY110" s="558">
        <v>0.1290442088725505</v>
      </c>
      <c r="AZ110" s="808" t="str">
        <f>IF(AY110-BA110=0,"Investigate","Fine")</f>
        <v>Fine</v>
      </c>
      <c r="BA110" s="558">
        <v>0.13267309188659127</v>
      </c>
      <c r="BB110" s="808" t="str">
        <f>IF(BA110-BC110=0,"Investigate","Fine")</f>
        <v>Fine</v>
      </c>
      <c r="BC110" s="558">
        <v>0.13340356040322143</v>
      </c>
      <c r="BD110" s="808" t="str">
        <f>IF(BC110-BE110=0,"Investigate","Fine")</f>
        <v>Fine</v>
      </c>
      <c r="BE110" s="558">
        <v>0.1348592914184403</v>
      </c>
      <c r="BF110" s="808" t="str">
        <f>IF(BE110-BG110=0,"Investigate","Fine")</f>
        <v>Fine</v>
      </c>
      <c r="BG110" s="558">
        <v>0.13458417942464912</v>
      </c>
      <c r="BH110" s="808" t="str">
        <f>IF(BG110-BI110=0,"Investigate","Fine")</f>
        <v>Fine</v>
      </c>
      <c r="BI110" s="350">
        <v>0.12698623182591293</v>
      </c>
      <c r="BJ110" s="808" t="str">
        <f>IF(BI110-BK110=0,"Investigate","Fine")</f>
        <v>Fine</v>
      </c>
      <c r="BK110" s="350">
        <v>0.1243938165985424</v>
      </c>
      <c r="BL110" s="808" t="str">
        <f>IF(BK110-BM110=0,"Investigate","Fine")</f>
        <v>Fine</v>
      </c>
      <c r="BM110" s="350">
        <v>0.11531965454606331</v>
      </c>
      <c r="BN110" s="222"/>
      <c r="BO110" s="350">
        <v>0.11005714167764787</v>
      </c>
      <c r="BP110" s="222"/>
      <c r="BQ110" s="350">
        <v>0.11162626557107277</v>
      </c>
      <c r="BR110" s="222"/>
      <c r="BS110" s="350">
        <v>0.10275816796814402</v>
      </c>
      <c r="BT110" s="222"/>
      <c r="BU110" s="350">
        <f>+BU108/BU109</f>
        <v>0.10396139612366649</v>
      </c>
      <c r="BV110" s="222"/>
      <c r="BW110" s="558">
        <v>9.7819866989555346E-2</v>
      </c>
      <c r="BX110" s="222"/>
      <c r="BY110" s="350">
        <f>+BY108/BY109</f>
        <v>9.6309577445263667E-2</v>
      </c>
      <c r="BZ110" s="222"/>
      <c r="CA110" s="350">
        <v>0.30376144403616928</v>
      </c>
      <c r="CB110" s="222"/>
      <c r="CC110" s="558">
        <v>0.30204952824506465</v>
      </c>
      <c r="CD110" s="222"/>
      <c r="CE110" s="558">
        <v>0.28172293858096659</v>
      </c>
      <c r="CF110" s="222"/>
      <c r="CG110" s="350">
        <f>+CG108/CG109</f>
        <v>0.27973825546924408</v>
      </c>
      <c r="CH110" s="222"/>
      <c r="CI110" s="558">
        <v>0.25641647634418102</v>
      </c>
      <c r="CJ110" s="222"/>
      <c r="CK110" s="558">
        <v>0.19396771494653847</v>
      </c>
      <c r="CL110" s="222"/>
      <c r="CM110" s="350">
        <f>+CM108/CM109</f>
        <v>0.22581441501397931</v>
      </c>
      <c r="CN110" s="222"/>
      <c r="CO110" s="350">
        <f>+CO108/CO109</f>
        <v>0.21307417886628641</v>
      </c>
      <c r="CQ110" s="350">
        <f>+CQ108/CQ109</f>
        <v>0.20361993499840686</v>
      </c>
      <c r="CS110" s="350">
        <f>+CS108/CS109</f>
        <v>0.20860701470459242</v>
      </c>
      <c r="CU110" s="350">
        <f>+CU108/CU109</f>
        <v>0.37159420559118927</v>
      </c>
      <c r="CW110" s="350">
        <f>+CW108/CW109</f>
        <v>0.24225375459460347</v>
      </c>
      <c r="CY110" s="350">
        <f>+CY108/CY109</f>
        <v>0.3329613407067481</v>
      </c>
      <c r="DA110" s="350">
        <f>+DA108/DA109</f>
        <v>0.33557390643293766</v>
      </c>
      <c r="DC110" s="350">
        <f>+DC108/DC109</f>
        <v>0.32255133266281438</v>
      </c>
      <c r="DD110" s="157"/>
      <c r="DE110" s="350">
        <f>+DE108/DE109</f>
        <v>0.32081288016741771</v>
      </c>
      <c r="DF110" s="157"/>
      <c r="DG110" s="350">
        <f>+DG108/DG109</f>
        <v>0.31790000882745723</v>
      </c>
      <c r="DH110" s="157"/>
      <c r="DI110" s="350">
        <f>+DI108/DI109</f>
        <v>0.3174287179361861</v>
      </c>
      <c r="DJ110" s="157"/>
      <c r="DK110" s="673"/>
      <c r="DL110" s="673"/>
      <c r="DM110" s="673"/>
      <c r="DN110" s="659"/>
      <c r="DO110" s="673"/>
      <c r="DP110" s="659"/>
      <c r="DQ110" s="673"/>
      <c r="DR110" s="659"/>
      <c r="DS110" s="673"/>
      <c r="DT110" s="659"/>
      <c r="DU110" s="673"/>
      <c r="DV110" s="659"/>
      <c r="DW110" s="673"/>
      <c r="DX110" s="659"/>
      <c r="DY110" s="673"/>
      <c r="DZ110" s="659"/>
      <c r="EA110" s="659"/>
      <c r="EB110" s="659"/>
      <c r="EF110" s="659"/>
      <c r="EI110" s="674"/>
      <c r="EJ110" s="674"/>
      <c r="EK110" s="674"/>
      <c r="EM110" s="674"/>
      <c r="EN110" s="674"/>
      <c r="EO110" s="674"/>
      <c r="EQ110" s="674"/>
      <c r="ES110" s="674"/>
      <c r="EU110" s="674"/>
      <c r="EV110" s="674"/>
      <c r="EW110" s="674"/>
      <c r="GE110" s="335"/>
      <c r="GF110" s="335"/>
      <c r="GG110" s="335"/>
      <c r="GI110" s="357" t="s">
        <v>495</v>
      </c>
    </row>
    <row r="111" spans="1:192" ht="14.25" customHeight="1">
      <c r="B111" s="334"/>
      <c r="F111" s="222"/>
      <c r="H111" s="222"/>
      <c r="J111" s="222"/>
      <c r="L111" s="222"/>
      <c r="N111" s="222"/>
      <c r="P111" s="222"/>
      <c r="R111" s="222"/>
      <c r="T111" s="222"/>
      <c r="V111" s="222"/>
      <c r="X111" s="222"/>
      <c r="Z111" s="222"/>
      <c r="AB111" s="222"/>
      <c r="AD111" s="222"/>
      <c r="AF111" s="222"/>
      <c r="AH111" s="222"/>
      <c r="AJ111" s="222"/>
      <c r="AL111" s="222"/>
      <c r="AN111" s="222"/>
      <c r="AP111" s="222"/>
      <c r="AR111" s="222"/>
      <c r="AT111" s="807"/>
      <c r="AV111" s="807"/>
      <c r="AX111" s="807"/>
      <c r="AZ111" s="807"/>
      <c r="BB111" s="807"/>
      <c r="BD111" s="807"/>
      <c r="BF111" s="807"/>
      <c r="BH111" s="807"/>
      <c r="BJ111" s="807"/>
      <c r="BL111" s="807"/>
      <c r="BN111" s="222"/>
      <c r="BP111" s="222"/>
      <c r="BR111" s="222"/>
      <c r="BT111" s="222"/>
      <c r="BV111" s="222"/>
      <c r="BX111" s="222"/>
      <c r="BZ111" s="222"/>
      <c r="CB111" s="222"/>
      <c r="CD111" s="222"/>
      <c r="CF111" s="222"/>
      <c r="CH111" s="222"/>
      <c r="CJ111" s="222"/>
      <c r="CL111" s="222"/>
      <c r="CN111" s="222"/>
      <c r="CY111" s="350"/>
      <c r="DA111" s="350"/>
      <c r="DC111" s="350"/>
      <c r="DD111" s="157"/>
      <c r="DE111" s="350"/>
      <c r="DF111" s="157"/>
      <c r="DG111" s="350"/>
      <c r="DH111" s="157"/>
      <c r="DI111" s="350"/>
      <c r="DJ111" s="157"/>
      <c r="DK111" s="673"/>
      <c r="DL111" s="673"/>
      <c r="DM111" s="673"/>
      <c r="DN111" s="659"/>
      <c r="DO111" s="673"/>
      <c r="DP111" s="659"/>
      <c r="DQ111" s="673"/>
      <c r="DR111" s="659"/>
      <c r="DS111" s="673"/>
      <c r="DT111" s="659"/>
      <c r="DU111" s="673"/>
      <c r="DV111" s="659"/>
      <c r="DW111" s="673"/>
      <c r="DX111" s="659"/>
      <c r="DY111" s="673"/>
      <c r="DZ111" s="659"/>
      <c r="EA111" s="659"/>
      <c r="EB111" s="659"/>
      <c r="EF111" s="659"/>
      <c r="EI111" s="674"/>
      <c r="EJ111" s="674"/>
      <c r="EK111" s="674"/>
      <c r="EM111" s="674"/>
      <c r="EN111" s="674"/>
      <c r="EO111" s="674"/>
      <c r="EQ111" s="674"/>
      <c r="ES111" s="674"/>
      <c r="EU111" s="674"/>
      <c r="EV111" s="674"/>
      <c r="EW111" s="674"/>
      <c r="GE111" s="335"/>
      <c r="GF111" s="335"/>
      <c r="GG111" s="335"/>
      <c r="GI111" s="357"/>
    </row>
    <row r="112" spans="1:192" ht="14.25" customHeight="1">
      <c r="A112" s="336"/>
      <c r="B112" s="337" t="s">
        <v>512</v>
      </c>
      <c r="C112" s="222" t="s">
        <v>546</v>
      </c>
      <c r="D112" s="222" t="s">
        <v>619</v>
      </c>
      <c r="E112" s="222"/>
      <c r="F112" s="222"/>
      <c r="H112" s="222"/>
      <c r="J112" s="222"/>
      <c r="L112" s="222"/>
      <c r="N112" s="222"/>
      <c r="P112" s="222"/>
      <c r="R112" s="222"/>
      <c r="T112" s="222"/>
      <c r="V112" s="222"/>
      <c r="X112" s="222"/>
      <c r="Z112" s="222"/>
      <c r="AB112" s="222"/>
      <c r="AD112" s="222"/>
      <c r="AF112" s="222"/>
      <c r="AH112" s="222"/>
      <c r="AJ112" s="222"/>
      <c r="AL112" s="222"/>
      <c r="AN112" s="222"/>
      <c r="AP112" s="222"/>
      <c r="AR112" s="222"/>
      <c r="AT112" s="807"/>
      <c r="AV112" s="807"/>
      <c r="AX112" s="807"/>
      <c r="AZ112" s="807"/>
      <c r="BB112" s="807"/>
      <c r="BD112" s="807"/>
      <c r="BF112" s="807"/>
      <c r="BH112" s="807"/>
      <c r="BJ112" s="807"/>
      <c r="BL112" s="807"/>
      <c r="BN112" s="222"/>
      <c r="BP112" s="222"/>
      <c r="BR112" s="222"/>
      <c r="BT112" s="222"/>
      <c r="BV112" s="222"/>
      <c r="BX112" s="222"/>
      <c r="BZ112" s="222"/>
      <c r="CB112" s="222"/>
      <c r="CD112" s="222"/>
      <c r="CF112" s="222"/>
      <c r="CH112" s="222"/>
      <c r="CJ112" s="222"/>
      <c r="CL112" s="222"/>
      <c r="CN112" s="222"/>
      <c r="CY112" s="157"/>
      <c r="DA112" s="157"/>
      <c r="DC112" s="157"/>
      <c r="DD112" s="157"/>
      <c r="DE112" s="157"/>
      <c r="DF112" s="157"/>
      <c r="DG112" s="157"/>
      <c r="DH112" s="157"/>
      <c r="DI112" s="157"/>
      <c r="DJ112" s="157"/>
      <c r="DK112" s="659"/>
      <c r="DL112" s="659"/>
      <c r="DM112" s="659"/>
      <c r="DN112" s="659"/>
      <c r="DO112" s="659"/>
      <c r="DP112" s="659"/>
      <c r="DQ112" s="673"/>
      <c r="DR112" s="659"/>
      <c r="DS112" s="659"/>
      <c r="DT112" s="659"/>
      <c r="DU112" s="659"/>
      <c r="DV112" s="659"/>
      <c r="DW112" s="673"/>
      <c r="DX112" s="659"/>
      <c r="DY112" s="673"/>
      <c r="DZ112" s="659"/>
      <c r="EA112" s="659"/>
      <c r="EB112" s="659"/>
      <c r="EF112" s="659"/>
      <c r="GE112" s="335"/>
      <c r="GF112" s="335"/>
      <c r="GG112" s="335"/>
    </row>
    <row r="113" spans="1:191" ht="14.25" customHeight="1">
      <c r="B113" s="334"/>
      <c r="CY113" s="157"/>
      <c r="DA113" s="157"/>
      <c r="DC113" s="157"/>
      <c r="DD113" s="157"/>
      <c r="DE113" s="157"/>
      <c r="DF113" s="157"/>
      <c r="DG113" s="157"/>
      <c r="DH113" s="157"/>
      <c r="DI113" s="157"/>
      <c r="DJ113" s="157"/>
      <c r="DK113" s="659"/>
      <c r="DL113" s="659"/>
      <c r="DM113" s="659"/>
      <c r="DN113" s="659"/>
      <c r="DO113" s="659"/>
      <c r="DP113" s="659"/>
      <c r="DQ113" s="673"/>
      <c r="DR113" s="659"/>
      <c r="DS113" s="659"/>
      <c r="DT113" s="659"/>
      <c r="DU113" s="659"/>
      <c r="DV113" s="659"/>
      <c r="DW113" s="673"/>
      <c r="DX113" s="659"/>
      <c r="DY113" s="673"/>
      <c r="DZ113" s="659"/>
      <c r="EA113" s="659"/>
      <c r="EB113" s="659"/>
      <c r="EF113" s="659"/>
      <c r="GE113" s="335"/>
      <c r="GF113" s="335"/>
      <c r="GG113" s="335"/>
    </row>
    <row r="114" spans="1:191" ht="14.25" customHeight="1">
      <c r="A114" s="341"/>
      <c r="B114" s="340"/>
      <c r="C114" s="341"/>
      <c r="D114" s="341"/>
      <c r="E114" s="341" t="s">
        <v>547</v>
      </c>
      <c r="F114" s="341"/>
      <c r="G114" s="561">
        <v>5000000</v>
      </c>
      <c r="H114" s="341"/>
      <c r="I114" s="561">
        <v>5000000</v>
      </c>
      <c r="J114" s="341"/>
      <c r="K114" s="561">
        <v>5000000</v>
      </c>
      <c r="L114" s="341"/>
      <c r="M114" s="561">
        <v>5000000</v>
      </c>
      <c r="N114" s="341"/>
      <c r="O114" s="561">
        <v>5000000</v>
      </c>
      <c r="P114" s="341"/>
      <c r="Q114" s="561">
        <v>5000000</v>
      </c>
      <c r="R114" s="341"/>
      <c r="S114" s="561">
        <v>5000000</v>
      </c>
      <c r="T114" s="341"/>
      <c r="U114" s="561">
        <v>5000000</v>
      </c>
      <c r="V114" s="341"/>
      <c r="W114" s="561">
        <v>5000000</v>
      </c>
      <c r="X114" s="341"/>
      <c r="Y114" s="561">
        <v>5000000</v>
      </c>
      <c r="Z114" s="341"/>
      <c r="AA114" s="561">
        <v>5000000</v>
      </c>
      <c r="AB114" s="341"/>
      <c r="AC114" s="561">
        <v>5000000</v>
      </c>
      <c r="AD114" s="341"/>
      <c r="AE114" s="561">
        <v>5000000</v>
      </c>
      <c r="AF114" s="341"/>
      <c r="AG114" s="561">
        <v>5000000</v>
      </c>
      <c r="AH114" s="341"/>
      <c r="AI114" s="561">
        <v>5000000</v>
      </c>
      <c r="AJ114" s="341"/>
      <c r="AK114" s="561">
        <v>5000000</v>
      </c>
      <c r="AL114" s="341"/>
      <c r="AM114" s="561">
        <v>5000000</v>
      </c>
      <c r="AN114" s="341"/>
      <c r="AO114" s="561">
        <v>5000000</v>
      </c>
      <c r="AP114" s="341"/>
      <c r="AQ114" s="561">
        <v>5000000</v>
      </c>
      <c r="AR114" s="341"/>
      <c r="AS114" s="561">
        <v>5000000</v>
      </c>
      <c r="AU114" s="561">
        <v>5000000</v>
      </c>
      <c r="AW114" s="561">
        <v>5000000</v>
      </c>
      <c r="AY114" s="561">
        <v>5000000</v>
      </c>
      <c r="BA114" s="561">
        <v>5000000</v>
      </c>
      <c r="BC114" s="561">
        <v>5000000</v>
      </c>
      <c r="BE114" s="561">
        <v>5000000</v>
      </c>
      <c r="BG114" s="561">
        <v>5000000</v>
      </c>
      <c r="BI114" s="460">
        <v>5000000</v>
      </c>
      <c r="BK114" s="460">
        <v>5000000</v>
      </c>
      <c r="BM114" s="460">
        <v>5000000</v>
      </c>
      <c r="BN114" s="341"/>
      <c r="BO114" s="460">
        <v>5000000</v>
      </c>
      <c r="BP114" s="341"/>
      <c r="BQ114" s="460">
        <v>5000000</v>
      </c>
      <c r="BR114" s="341"/>
      <c r="BS114" s="460">
        <v>5000000</v>
      </c>
      <c r="BT114" s="341"/>
      <c r="BU114" s="460">
        <v>5000000</v>
      </c>
      <c r="BV114" s="341"/>
      <c r="BW114" s="561">
        <v>5000000</v>
      </c>
      <c r="BX114" s="341"/>
      <c r="BY114" s="460">
        <v>5000000</v>
      </c>
      <c r="BZ114" s="341"/>
      <c r="CA114" s="460">
        <v>5000000</v>
      </c>
      <c r="CB114" s="341"/>
      <c r="CC114" s="561">
        <v>5000000</v>
      </c>
      <c r="CD114" s="341"/>
      <c r="CE114" s="561">
        <v>5000000</v>
      </c>
      <c r="CF114" s="341"/>
      <c r="CG114" s="460">
        <v>5000000</v>
      </c>
      <c r="CH114" s="341"/>
      <c r="CI114" s="561">
        <v>5000000</v>
      </c>
      <c r="CJ114" s="341"/>
      <c r="CK114" s="561">
        <v>2500000</v>
      </c>
      <c r="CL114" s="341"/>
      <c r="CM114" s="460">
        <v>2750000</v>
      </c>
      <c r="CN114" s="341"/>
      <c r="CO114" s="343">
        <v>3075450.6</v>
      </c>
      <c r="CQ114" s="343">
        <v>2300000</v>
      </c>
      <c r="CS114" s="343">
        <v>2291666.66</v>
      </c>
      <c r="CU114" s="343">
        <v>2500000</v>
      </c>
      <c r="CW114" s="343">
        <v>2000000</v>
      </c>
      <c r="CY114" s="343">
        <v>2000000</v>
      </c>
      <c r="DA114" s="343">
        <v>2000000</v>
      </c>
      <c r="DC114" s="343">
        <v>2000000</v>
      </c>
      <c r="DD114" s="157"/>
      <c r="DE114" s="343">
        <v>2000000</v>
      </c>
      <c r="DF114" s="157"/>
      <c r="DG114" s="343">
        <v>2000000</v>
      </c>
      <c r="DH114" s="157"/>
      <c r="DI114" s="343">
        <v>2000000</v>
      </c>
      <c r="DJ114" s="157"/>
      <c r="DK114" s="673"/>
      <c r="DL114" s="673"/>
      <c r="DM114" s="673"/>
      <c r="DN114" s="659"/>
      <c r="DO114" s="673"/>
      <c r="DP114" s="659"/>
      <c r="DQ114" s="673"/>
      <c r="DR114" s="659"/>
      <c r="DS114" s="673"/>
      <c r="DT114" s="659"/>
      <c r="DU114" s="673"/>
      <c r="DV114" s="659"/>
      <c r="DW114" s="673"/>
      <c r="DX114" s="659"/>
      <c r="DY114" s="673"/>
      <c r="DZ114" s="659"/>
      <c r="EA114" s="659"/>
      <c r="EB114" s="659"/>
      <c r="EF114" s="659"/>
      <c r="EI114" s="667"/>
      <c r="EJ114" s="667"/>
      <c r="EK114" s="667"/>
      <c r="EM114" s="667"/>
      <c r="EN114" s="667"/>
      <c r="EO114" s="667"/>
      <c r="EQ114" s="667"/>
      <c r="ES114" s="667"/>
      <c r="EU114" s="667"/>
      <c r="EV114" s="667"/>
      <c r="EW114" s="667"/>
      <c r="GE114" s="335"/>
      <c r="GF114" s="335"/>
      <c r="GG114" s="335"/>
      <c r="GI114" s="288"/>
    </row>
    <row r="115" spans="1:191" ht="14.25" customHeight="1">
      <c r="A115" s="341"/>
      <c r="B115" s="340"/>
      <c r="C115" s="341"/>
      <c r="D115" s="341"/>
      <c r="E115" s="341" t="s">
        <v>232</v>
      </c>
      <c r="F115" s="341"/>
      <c r="G115" s="557">
        <f>+G109</f>
        <v>547319021.83000004</v>
      </c>
      <c r="H115" s="341"/>
      <c r="I115" s="557">
        <f>+I109</f>
        <v>541821979.0200001</v>
      </c>
      <c r="J115" s="341"/>
      <c r="K115" s="557">
        <f>+K109</f>
        <v>550285915.91999996</v>
      </c>
      <c r="L115" s="341"/>
      <c r="M115" s="557">
        <f>+M109</f>
        <v>548397267.54999995</v>
      </c>
      <c r="N115" s="341"/>
      <c r="O115" s="557">
        <f>+O109</f>
        <v>546283054.51999998</v>
      </c>
      <c r="P115" s="341"/>
      <c r="Q115" s="557">
        <f>+Q109</f>
        <v>550479004.24000001</v>
      </c>
      <c r="R115" s="341"/>
      <c r="S115" s="557">
        <v>612313584.79000008</v>
      </c>
      <c r="T115" s="341"/>
      <c r="U115" s="557">
        <v>609976814.43000007</v>
      </c>
      <c r="V115" s="341"/>
      <c r="W115" s="557">
        <v>608035413.99000001</v>
      </c>
      <c r="X115" s="341"/>
      <c r="Y115" s="557">
        <f>+Y109</f>
        <v>554076880.5</v>
      </c>
      <c r="Z115" s="341"/>
      <c r="AA115" s="557">
        <f>+AA109</f>
        <v>560518584.10000002</v>
      </c>
      <c r="AB115" s="341"/>
      <c r="AC115" s="557">
        <v>633550828.04999995</v>
      </c>
      <c r="AD115" s="341"/>
      <c r="AE115" s="557">
        <v>637729313.19000006</v>
      </c>
      <c r="AF115" s="341"/>
      <c r="AG115" s="557">
        <v>638340523.90999997</v>
      </c>
      <c r="AH115" s="341"/>
      <c r="AI115" s="557">
        <v>638936637.18000007</v>
      </c>
      <c r="AJ115" s="341"/>
      <c r="AK115" s="557">
        <v>641882567.62</v>
      </c>
      <c r="AL115" s="341"/>
      <c r="AM115" s="557">
        <v>642276932.21000004</v>
      </c>
      <c r="AN115" s="341"/>
      <c r="AO115" s="557">
        <v>641436337</v>
      </c>
      <c r="AP115" s="341"/>
      <c r="AQ115" s="557">
        <v>639583918.85000002</v>
      </c>
      <c r="AR115" s="341"/>
      <c r="AS115" s="557">
        <v>641468069.67999995</v>
      </c>
      <c r="AU115" s="557">
        <v>642507688.91000009</v>
      </c>
      <c r="AW115" s="557">
        <f>+AW109</f>
        <v>637381142.38999999</v>
      </c>
      <c r="AY115" s="557">
        <v>637381142.38999999</v>
      </c>
      <c r="BA115" s="557">
        <v>636490030.63999999</v>
      </c>
      <c r="BC115" s="557">
        <v>633448024.21000004</v>
      </c>
      <c r="BE115" s="557">
        <v>629403132.83000004</v>
      </c>
      <c r="BG115" s="557">
        <v>628339096.33000004</v>
      </c>
      <c r="BI115" s="343">
        <v>627344290.20000005</v>
      </c>
      <c r="BK115" s="343">
        <v>626724299.25999999</v>
      </c>
      <c r="BM115" s="343">
        <v>626798742.63</v>
      </c>
      <c r="BN115" s="341"/>
      <c r="BO115" s="343">
        <v>625152772.38</v>
      </c>
      <c r="BP115" s="341"/>
      <c r="BQ115" s="343">
        <v>622907473.91999996</v>
      </c>
      <c r="BR115" s="341"/>
      <c r="BS115" s="343">
        <v>620029783.80999994</v>
      </c>
      <c r="BT115" s="341"/>
      <c r="BU115" s="343">
        <f>+BU109</f>
        <v>618949702.19000006</v>
      </c>
      <c r="BV115" s="341"/>
      <c r="BW115" s="557">
        <v>618310883.98899996</v>
      </c>
      <c r="BX115" s="341"/>
      <c r="BY115" s="343">
        <f>+BY109</f>
        <v>628212132.21899998</v>
      </c>
      <c r="BZ115" s="341"/>
      <c r="CA115" s="343">
        <v>198678328.61899996</v>
      </c>
      <c r="CB115" s="341"/>
      <c r="CC115" s="557">
        <v>198813802.28899997</v>
      </c>
      <c r="CD115" s="341"/>
      <c r="CE115" s="557">
        <v>205991898.609</v>
      </c>
      <c r="CF115" s="341"/>
      <c r="CG115" s="343">
        <f>+CG109</f>
        <v>205350008.89899999</v>
      </c>
      <c r="CH115" s="341"/>
      <c r="CI115" s="557">
        <v>202365370.11899999</v>
      </c>
      <c r="CJ115" s="341"/>
      <c r="CK115" s="557">
        <v>199189447.639</v>
      </c>
      <c r="CL115" s="341"/>
      <c r="CM115" s="343">
        <f>+CM109</f>
        <v>197814195.109</v>
      </c>
      <c r="CN115" s="341"/>
      <c r="CO115" s="343">
        <f>+CO109</f>
        <v>194673846.68899998</v>
      </c>
      <c r="CQ115" s="343">
        <f>+CQ109</f>
        <v>195645764.49900001</v>
      </c>
      <c r="CS115" s="343">
        <f>+CS109</f>
        <v>188425403.89000002</v>
      </c>
      <c r="CU115" s="343">
        <f>+CU109</f>
        <v>102934429.29000001</v>
      </c>
      <c r="CW115" s="343">
        <f>+CW109</f>
        <v>152715907.59</v>
      </c>
      <c r="CY115" s="343">
        <f>+CY109</f>
        <v>107602697.31</v>
      </c>
      <c r="DA115" s="343">
        <f>+DA109</f>
        <v>106553858.94</v>
      </c>
      <c r="DC115" s="343">
        <f>+DC109</f>
        <v>107557026.02</v>
      </c>
      <c r="DD115" s="157"/>
      <c r="DE115" s="343">
        <f>+DE109</f>
        <v>108154578.64999999</v>
      </c>
      <c r="DF115" s="157"/>
      <c r="DG115" s="343">
        <f>+DG109</f>
        <v>107924511.19</v>
      </c>
      <c r="DH115" s="157"/>
      <c r="DI115" s="343">
        <f>+DI109</f>
        <v>107796951.84</v>
      </c>
      <c r="DJ115" s="157"/>
      <c r="DK115" s="673"/>
      <c r="DL115" s="673"/>
      <c r="DM115" s="673"/>
      <c r="DN115" s="659"/>
      <c r="DO115" s="673"/>
      <c r="DP115" s="659"/>
      <c r="DQ115" s="673"/>
      <c r="DR115" s="659"/>
      <c r="DS115" s="673"/>
      <c r="DT115" s="659"/>
      <c r="DU115" s="673"/>
      <c r="DV115" s="659"/>
      <c r="DW115" s="673"/>
      <c r="DX115" s="659"/>
      <c r="DY115" s="673"/>
      <c r="DZ115" s="659"/>
      <c r="EA115" s="659"/>
      <c r="EB115" s="659"/>
      <c r="EF115" s="659"/>
      <c r="EI115" s="666"/>
      <c r="EJ115" s="666"/>
      <c r="EK115" s="666"/>
      <c r="EM115" s="666"/>
      <c r="EN115" s="666"/>
      <c r="EO115" s="666"/>
      <c r="EQ115" s="666"/>
      <c r="ES115" s="666"/>
      <c r="EU115" s="667"/>
      <c r="EV115" s="667"/>
      <c r="EW115" s="667"/>
      <c r="GE115" s="335"/>
      <c r="GF115" s="335"/>
      <c r="GG115" s="335"/>
    </row>
    <row r="116" spans="1:191" ht="14.25" customHeight="1">
      <c r="B116" s="334"/>
      <c r="F116" s="222" t="s">
        <v>546</v>
      </c>
      <c r="G116" s="558">
        <f>+G114/G115</f>
        <v>9.1354398450873217E-3</v>
      </c>
      <c r="H116" s="222"/>
      <c r="I116" s="558">
        <f>+I114/I115</f>
        <v>9.2281232463909263E-3</v>
      </c>
      <c r="J116" s="222"/>
      <c r="K116" s="558">
        <f>+K114/K115</f>
        <v>9.0861856633941088E-3</v>
      </c>
      <c r="L116" s="222"/>
      <c r="M116" s="558">
        <f>+M114/M115</f>
        <v>9.1174779596146088E-3</v>
      </c>
      <c r="N116" s="222"/>
      <c r="O116" s="558">
        <f>+O114/O115</f>
        <v>9.1527642284151157E-3</v>
      </c>
      <c r="P116" s="222"/>
      <c r="Q116" s="558">
        <f>+Q114/Q115</f>
        <v>9.0829985548732759E-3</v>
      </c>
      <c r="R116" s="222"/>
      <c r="S116" s="558">
        <v>8.165750563438514E-3</v>
      </c>
      <c r="T116" s="222"/>
      <c r="U116" s="558">
        <v>8.1970328735729205E-3</v>
      </c>
      <c r="V116" s="222"/>
      <c r="W116" s="558">
        <v>8.2232052360065849E-3</v>
      </c>
      <c r="X116" s="222"/>
      <c r="Y116" s="558">
        <f>+Y114/Y115</f>
        <v>9.024018463805945E-3</v>
      </c>
      <c r="Z116" s="222"/>
      <c r="AA116" s="558">
        <f>+AA114/AA115</f>
        <v>8.9203108368445614E-3</v>
      </c>
      <c r="AB116" s="222"/>
      <c r="AC116" s="558">
        <v>7.8920266198521938E-3</v>
      </c>
      <c r="AD116" s="222"/>
      <c r="AE116" s="558">
        <v>7.8403170382577974E-3</v>
      </c>
      <c r="AF116" s="222"/>
      <c r="AG116" s="558">
        <v>7.832809938767029E-3</v>
      </c>
      <c r="AH116" s="222"/>
      <c r="AI116" s="558">
        <v>7.8255021062306196E-3</v>
      </c>
      <c r="AJ116" s="222"/>
      <c r="AK116" s="558">
        <v>7.7895868375725125E-3</v>
      </c>
      <c r="AL116" s="222"/>
      <c r="AM116" s="558">
        <v>7.784803951771369E-3</v>
      </c>
      <c r="AN116" s="222"/>
      <c r="AO116" s="558">
        <v>7.7950058510639067E-3</v>
      </c>
      <c r="AP116" s="222"/>
      <c r="AQ116" s="558">
        <v>7.8175824198179027E-3</v>
      </c>
      <c r="AR116" s="222"/>
      <c r="AS116" s="558">
        <v>7.7946202411825092E-3</v>
      </c>
      <c r="AT116" s="808" t="str">
        <f>IF(AS116-AU116=0,"Investigate","Fine")</f>
        <v>Fine</v>
      </c>
      <c r="AU116" s="558">
        <v>7.7820080386623667E-3</v>
      </c>
      <c r="AV116" s="808" t="str">
        <f>IF(AU116-AW116=0,"Investigate","Fine")</f>
        <v>Fine</v>
      </c>
      <c r="AW116" s="558">
        <f>+AW114/AW115</f>
        <v>7.8445998280579909E-3</v>
      </c>
      <c r="AX116" s="808" t="str">
        <f>IF(AW116-AY116=0,"Investigate","Fine")</f>
        <v>Investigate</v>
      </c>
      <c r="AY116" s="558">
        <v>7.8445998280579909E-3</v>
      </c>
      <c r="AZ116" s="808" t="str">
        <f>IF(AY116-BA116=0,"Investigate","Fine")</f>
        <v>Fine</v>
      </c>
      <c r="BA116" s="558">
        <v>7.8555825846516828E-3</v>
      </c>
      <c r="BB116" s="808" t="str">
        <f>IF(BA116-BC116=0,"Investigate","Fine")</f>
        <v>Fine</v>
      </c>
      <c r="BC116" s="558">
        <v>7.8933074362899976E-3</v>
      </c>
      <c r="BD116" s="808" t="str">
        <f>IF(BC116-BE116=0,"Investigate","Fine")</f>
        <v>Fine</v>
      </c>
      <c r="BE116" s="558">
        <v>7.9440341796812846E-3</v>
      </c>
      <c r="BF116" s="808" t="str">
        <f>IF(BE116-BG116=0,"Investigate","Fine")</f>
        <v>Fine</v>
      </c>
      <c r="BG116" s="558">
        <v>7.9574866966005704E-3</v>
      </c>
      <c r="BH116" s="808" t="str">
        <f>IF(BG116-BI116=0,"Investigate","Fine")</f>
        <v>Fine</v>
      </c>
      <c r="BI116" s="350">
        <v>7.9701052167159732E-3</v>
      </c>
      <c r="BJ116" s="808" t="str">
        <f>IF(BI116-BK116=0,"Investigate","Fine")</f>
        <v>Fine</v>
      </c>
      <c r="BK116" s="350">
        <v>7.9779896932410509E-3</v>
      </c>
      <c r="BL116" s="808" t="str">
        <f>IF(BK116-BM116=0,"Investigate","Fine")</f>
        <v>Fine</v>
      </c>
      <c r="BM116" s="350">
        <v>7.9770421667094919E-3</v>
      </c>
      <c r="BN116" s="222"/>
      <c r="BO116" s="350">
        <v>7.9980449914101043E-3</v>
      </c>
      <c r="BP116" s="222"/>
      <c r="BQ116" s="350">
        <v>8.0268743101357468E-3</v>
      </c>
      <c r="BR116" s="222"/>
      <c r="BS116" s="350">
        <v>8.0641287411641251E-3</v>
      </c>
      <c r="BT116" s="222"/>
      <c r="BU116" s="350">
        <f>+BU114/BU115</f>
        <v>8.0782008332966962E-3</v>
      </c>
      <c r="BV116" s="222"/>
      <c r="BW116" s="558">
        <v>8.0865469612030182E-3</v>
      </c>
      <c r="BX116" s="222"/>
      <c r="BY116" s="350">
        <f>+BY114/BY115</f>
        <v>7.9590949355574665E-3</v>
      </c>
      <c r="BZ116" s="222"/>
      <c r="CA116" s="350">
        <v>2.5166307944880915E-2</v>
      </c>
      <c r="CB116" s="222"/>
      <c r="CC116" s="558">
        <v>2.5149159376429479E-2</v>
      </c>
      <c r="CD116" s="222"/>
      <c r="CE116" s="558">
        <v>2.4272799239986931E-2</v>
      </c>
      <c r="CF116" s="222"/>
      <c r="CG116" s="350">
        <f>+CG114/CG115</f>
        <v>2.4348671942153243E-2</v>
      </c>
      <c r="CH116" s="222"/>
      <c r="CI116" s="558">
        <v>2.4707784721564634E-2</v>
      </c>
      <c r="CJ116" s="222"/>
      <c r="CK116" s="558">
        <v>1.2550865669003021E-2</v>
      </c>
      <c r="CL116" s="222"/>
      <c r="CM116" s="350">
        <f>+CM114/CM115</f>
        <v>1.3901934583029742E-2</v>
      </c>
      <c r="CN116" s="222"/>
      <c r="CO116" s="350">
        <f>+CO114/CO115</f>
        <v>1.5797964915714474E-2</v>
      </c>
      <c r="CQ116" s="350">
        <f>+CQ114/CQ115</f>
        <v>1.1755940671088516E-2</v>
      </c>
      <c r="CS116" s="350">
        <f>+CS114/CS115</f>
        <v>1.2162195822267371E-2</v>
      </c>
      <c r="CU116" s="350">
        <f>+CU114/CU115</f>
        <v>2.4287306173881636E-2</v>
      </c>
      <c r="CW116" s="350">
        <f>+CW114/CW115</f>
        <v>1.3096212644523236E-2</v>
      </c>
      <c r="CY116" s="350">
        <f>+CY114/CY115</f>
        <v>1.8586894659694847E-2</v>
      </c>
      <c r="DA116" s="350">
        <f>+DA114/DA115</f>
        <v>1.8769850476519963E-2</v>
      </c>
      <c r="DC116" s="350">
        <f>+DC114/DC115</f>
        <v>1.859478710045501E-2</v>
      </c>
      <c r="DD116" s="157"/>
      <c r="DE116" s="350">
        <f>+DE114/DE115</f>
        <v>1.8492051145353891E-2</v>
      </c>
      <c r="DF116" s="157"/>
      <c r="DG116" s="350">
        <f>+DG114/DG115</f>
        <v>1.8531471469711087E-2</v>
      </c>
      <c r="DH116" s="157"/>
      <c r="DI116" s="350">
        <f>+DI114/DI115</f>
        <v>1.8553400312919275E-2</v>
      </c>
      <c r="DJ116" s="157"/>
      <c r="DK116" s="673"/>
      <c r="DL116" s="673"/>
      <c r="DM116" s="673"/>
      <c r="DN116" s="659"/>
      <c r="DO116" s="673"/>
      <c r="DP116" s="659"/>
      <c r="DQ116" s="673"/>
      <c r="DR116" s="659"/>
      <c r="DS116" s="673"/>
      <c r="DT116" s="659"/>
      <c r="DU116" s="673"/>
      <c r="DV116" s="659"/>
      <c r="DW116" s="673"/>
      <c r="DX116" s="659"/>
      <c r="DY116" s="673"/>
      <c r="DZ116" s="659"/>
      <c r="EA116" s="659"/>
      <c r="EB116" s="659"/>
      <c r="EF116" s="659"/>
      <c r="EI116" s="674"/>
      <c r="EJ116" s="674"/>
      <c r="EK116" s="674"/>
      <c r="EM116" s="674"/>
      <c r="EN116" s="674"/>
      <c r="EO116" s="674"/>
      <c r="EQ116" s="674"/>
      <c r="ES116" s="674"/>
      <c r="EU116" s="674"/>
      <c r="EV116" s="674"/>
      <c r="EW116" s="674"/>
      <c r="GE116" s="335"/>
      <c r="GF116" s="335"/>
      <c r="GG116" s="335"/>
      <c r="GI116" s="357" t="s">
        <v>495</v>
      </c>
    </row>
    <row r="118" spans="1:191" ht="14.25" hidden="1" customHeight="1" outlineLevel="1">
      <c r="A118" s="366" t="s">
        <v>227</v>
      </c>
      <c r="B118" s="367"/>
      <c r="C118" s="212" t="s">
        <v>540</v>
      </c>
      <c r="D118" s="222" t="s">
        <v>623</v>
      </c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807"/>
      <c r="AU118" s="222"/>
      <c r="AV118" s="807"/>
      <c r="AW118" s="222"/>
      <c r="AX118" s="807"/>
      <c r="AY118" s="222"/>
      <c r="AZ118" s="807"/>
      <c r="BA118" s="222"/>
      <c r="BB118" s="807"/>
      <c r="BC118" s="222"/>
      <c r="BD118" s="807"/>
      <c r="BE118" s="222"/>
      <c r="BF118" s="807"/>
      <c r="BG118" s="222"/>
      <c r="BH118" s="807"/>
      <c r="BI118" s="222"/>
      <c r="BJ118" s="807"/>
      <c r="BK118" s="222"/>
      <c r="BL118" s="807"/>
      <c r="BM118" s="222"/>
      <c r="BN118" s="222"/>
      <c r="BO118" s="222"/>
      <c r="BP118" s="222"/>
      <c r="BQ118" s="222"/>
      <c r="BR118" s="222"/>
      <c r="BS118" s="222"/>
      <c r="BT118" s="222"/>
      <c r="BU118" s="222"/>
      <c r="BV118" s="222"/>
      <c r="BW118" s="222"/>
      <c r="BX118" s="222"/>
      <c r="BY118" s="222"/>
      <c r="BZ118" s="222"/>
      <c r="CA118" s="222"/>
      <c r="CB118" s="222"/>
      <c r="CC118" s="222"/>
      <c r="CD118" s="222"/>
      <c r="CE118" s="222"/>
      <c r="CF118" s="222"/>
      <c r="CG118" s="222"/>
      <c r="CH118" s="222"/>
      <c r="CI118" s="222"/>
      <c r="CJ118" s="222"/>
      <c r="CK118" s="222"/>
      <c r="CL118" s="222"/>
      <c r="CM118" s="222"/>
      <c r="CN118" s="222"/>
      <c r="CO118" s="222"/>
      <c r="CP118" s="222"/>
      <c r="CQ118" s="222"/>
      <c r="CR118" s="222"/>
      <c r="CS118" s="222"/>
      <c r="CT118" s="222"/>
      <c r="CU118" s="222"/>
      <c r="CV118" s="222"/>
      <c r="CW118" s="222"/>
      <c r="CX118" s="222"/>
      <c r="CY118" s="362"/>
      <c r="CZ118" s="222"/>
      <c r="DA118" s="362"/>
      <c r="DB118" s="222"/>
      <c r="DC118" s="362"/>
      <c r="DD118" s="212"/>
      <c r="DE118" s="362"/>
      <c r="DF118" s="212"/>
      <c r="DG118" s="362"/>
      <c r="DH118" s="212"/>
      <c r="DI118" s="362"/>
      <c r="DJ118" s="212"/>
      <c r="DK118" s="694"/>
      <c r="DL118" s="694"/>
      <c r="DM118" s="694"/>
      <c r="DN118" s="677"/>
      <c r="DO118" s="694"/>
      <c r="DP118" s="677"/>
      <c r="DQ118" s="694"/>
      <c r="DR118" s="677"/>
      <c r="DS118" s="694"/>
      <c r="DT118" s="677"/>
      <c r="DU118" s="694"/>
      <c r="DV118" s="677"/>
      <c r="DW118" s="673"/>
      <c r="DX118" s="677"/>
      <c r="DY118" s="673"/>
      <c r="DZ118" s="677"/>
      <c r="EA118" s="659"/>
      <c r="EB118" s="677"/>
      <c r="EF118" s="677"/>
      <c r="EH118" s="678"/>
      <c r="EI118" s="686"/>
      <c r="EJ118" s="686"/>
      <c r="EK118" s="686"/>
      <c r="EL118" s="678"/>
      <c r="EM118" s="686"/>
      <c r="EN118" s="678"/>
      <c r="EO118" s="686"/>
      <c r="EP118" s="678"/>
      <c r="EQ118" s="686"/>
      <c r="ER118" s="678"/>
      <c r="ES118" s="686"/>
      <c r="ET118" s="678"/>
      <c r="EU118" s="686"/>
      <c r="GE118" s="335"/>
      <c r="GF118" s="335"/>
      <c r="GG118" s="335"/>
    </row>
    <row r="119" spans="1:191" ht="14.25" hidden="1" customHeight="1" outlineLevel="1">
      <c r="B119" s="334"/>
      <c r="CY119" s="359"/>
      <c r="DA119" s="359"/>
      <c r="DC119" s="359"/>
      <c r="DD119" s="157"/>
      <c r="DE119" s="359"/>
      <c r="DF119" s="157"/>
      <c r="DG119" s="359"/>
      <c r="DH119" s="157"/>
      <c r="DI119" s="359"/>
      <c r="DJ119" s="157"/>
      <c r="DK119" s="691"/>
      <c r="DL119" s="691"/>
      <c r="DM119" s="691"/>
      <c r="DN119" s="659"/>
      <c r="DO119" s="691"/>
      <c r="DP119" s="659"/>
      <c r="DQ119" s="691"/>
      <c r="DR119" s="659"/>
      <c r="DS119" s="691"/>
      <c r="DT119" s="659"/>
      <c r="DU119" s="691"/>
      <c r="DV119" s="659"/>
      <c r="DW119" s="673"/>
      <c r="DX119" s="659"/>
      <c r="DY119" s="673"/>
      <c r="DZ119" s="659"/>
      <c r="EA119" s="659"/>
      <c r="EB119" s="659"/>
      <c r="EF119" s="659"/>
      <c r="EI119" s="672"/>
      <c r="EJ119" s="672"/>
      <c r="EK119" s="672"/>
      <c r="EM119" s="672"/>
      <c r="EO119" s="672"/>
      <c r="EQ119" s="672"/>
      <c r="ES119" s="672"/>
      <c r="EU119" s="672"/>
      <c r="GE119" s="335"/>
      <c r="GF119" s="335"/>
      <c r="GG119" s="335"/>
    </row>
    <row r="120" spans="1:191" ht="14.25" hidden="1" customHeight="1" outlineLevel="1">
      <c r="A120" s="341"/>
      <c r="B120" s="340"/>
      <c r="C120" s="341"/>
      <c r="D120" s="341"/>
      <c r="E120" s="341" t="s">
        <v>553</v>
      </c>
      <c r="F120" s="341"/>
      <c r="G120" s="341"/>
      <c r="H120" s="341"/>
      <c r="I120" s="341"/>
      <c r="J120" s="341"/>
      <c r="K120" s="341"/>
      <c r="L120" s="341"/>
      <c r="M120" s="341"/>
      <c r="N120" s="341"/>
      <c r="O120" s="342">
        <f>'P&amp;L -Dec25'!AJ186</f>
        <v>679735.44999999984</v>
      </c>
      <c r="P120" s="341"/>
      <c r="Q120" s="342">
        <f>'P&amp;L -Dec25'!AL186</f>
        <v>655652.33999999962</v>
      </c>
      <c r="R120" s="341"/>
      <c r="S120" s="342">
        <v>380202.68999999989</v>
      </c>
      <c r="T120" s="341"/>
      <c r="U120" s="342">
        <v>447375.16000000015</v>
      </c>
      <c r="V120" s="341"/>
      <c r="W120" s="342">
        <v>-1480895.8299999994</v>
      </c>
      <c r="X120" s="341"/>
      <c r="Y120" s="342">
        <f>'P&amp;L -Dec25'!AT186</f>
        <v>-710512.95</v>
      </c>
      <c r="Z120" s="341"/>
      <c r="AA120" s="342">
        <f>'P&amp;L -Dec25'!AV186</f>
        <v>-1778455.21</v>
      </c>
      <c r="AB120" s="341"/>
      <c r="AC120" s="342">
        <v>-1962917.31</v>
      </c>
      <c r="AD120" s="341"/>
      <c r="AE120" s="342">
        <v>-436585.56000000052</v>
      </c>
      <c r="AF120" s="341"/>
      <c r="AG120" s="342">
        <f>'P&amp;L -Dec25'!BB186</f>
        <v>397881.28000000009</v>
      </c>
      <c r="AH120" s="341"/>
      <c r="AI120" s="342">
        <v>397881.28000000009</v>
      </c>
      <c r="AJ120" s="341"/>
      <c r="AK120" s="342">
        <v>426270.48000000051</v>
      </c>
      <c r="AL120" s="341"/>
      <c r="AM120" s="342">
        <v>426270.48000000051</v>
      </c>
      <c r="AN120" s="341"/>
      <c r="AO120" s="342">
        <v>1153854.7099999995</v>
      </c>
      <c r="AP120" s="341"/>
      <c r="AQ120" s="342">
        <v>-3021816.9800000014</v>
      </c>
      <c r="AR120" s="341"/>
      <c r="AS120" s="342">
        <v>1058629.2500000007</v>
      </c>
      <c r="AU120" s="342">
        <v>904070.39999999967</v>
      </c>
      <c r="AW120" s="342">
        <v>-645344.32999999914</v>
      </c>
      <c r="AY120" s="342">
        <v>-645344.32999999914</v>
      </c>
      <c r="BA120" s="342">
        <v>1143103.0000000012</v>
      </c>
      <c r="BC120" s="342">
        <v>-3751964.879999998</v>
      </c>
      <c r="BE120" s="342">
        <v>143106.34000000052</v>
      </c>
      <c r="BG120" s="342">
        <v>-517117.86999999732</v>
      </c>
      <c r="BI120" s="342">
        <v>-826075.99000000698</v>
      </c>
      <c r="BK120" s="342">
        <v>-1590959.6300000031</v>
      </c>
      <c r="BM120" s="342">
        <v>-1171778.4000000004</v>
      </c>
      <c r="BN120" s="341"/>
      <c r="BO120" s="342">
        <v>1097672.819999997</v>
      </c>
      <c r="BP120" s="341"/>
      <c r="BQ120" s="342">
        <v>-4795572.2710000165</v>
      </c>
      <c r="BR120" s="341"/>
      <c r="BS120" s="342">
        <v>1164871.6200000006</v>
      </c>
      <c r="BT120" s="341"/>
      <c r="BU120" s="342">
        <f>'P&amp;L -Dec25'!CU186</f>
        <v>6153738.9500000142</v>
      </c>
      <c r="BV120" s="341"/>
      <c r="BW120" s="342">
        <v>-4795572.2710000165</v>
      </c>
      <c r="BX120" s="341"/>
      <c r="BY120" s="342">
        <f>SUM('P&amp;L -Dec25'!BT186:BT186,'P&amp;L -Dec25'!BV186:CF186)</f>
        <v>-8107041.5710000172</v>
      </c>
      <c r="BZ120" s="341"/>
      <c r="CA120" s="342">
        <v>-8740240.3910000138</v>
      </c>
      <c r="CB120" s="341"/>
      <c r="CC120" s="342">
        <v>-9292896.0210000165</v>
      </c>
      <c r="CD120" s="341"/>
      <c r="CE120" s="342">
        <v>-9219328.6210000142</v>
      </c>
      <c r="CF120" s="341"/>
      <c r="CG120" s="342">
        <v>-8803002.0810000077</v>
      </c>
      <c r="CH120" s="341"/>
      <c r="CI120" s="342">
        <v>-7085368.8210000023</v>
      </c>
      <c r="CJ120" s="341"/>
      <c r="CK120" s="342">
        <v>-6321736.1109999977</v>
      </c>
      <c r="CL120" s="341"/>
      <c r="CM120" s="342">
        <f>SUM('P&amp;L -Dec25'!BM186:BT186,'P&amp;L -Dec25'!BV186:BY186)</f>
        <v>-4343215.1009999914</v>
      </c>
      <c r="CN120" s="341"/>
      <c r="CO120" s="342">
        <v>-2446005.0409999974</v>
      </c>
      <c r="CP120" s="341"/>
      <c r="CQ120" s="342">
        <f>'P&amp;L -Dec25'!BW186+'P&amp;L -Dec25'!BV186+SUM('P&amp;L -Dec25'!BK186:BT186)</f>
        <v>-1276311.1509999943</v>
      </c>
      <c r="CR120" s="341"/>
      <c r="CS120" s="342">
        <f>'P&amp;L -Dec25'!BV186+SUM('P&amp;L -Dec25'!BJ186:BT186)</f>
        <v>206273.35000000484</v>
      </c>
      <c r="CT120" s="341"/>
      <c r="CU120" s="342">
        <v>2048808.4200000057</v>
      </c>
      <c r="CV120" s="341"/>
      <c r="CW120" s="342">
        <f>SUM('P&amp;L -Dec25'!BG186,'P&amp;L -Dec25'!BI186:BS186)</f>
        <v>3748274.7500000056</v>
      </c>
      <c r="CX120" s="341"/>
      <c r="CY120" s="342">
        <f>SUM('P&amp;L -Dec25'!BF186:BG186,'P&amp;L -Dec25'!BI186:BR186)</f>
        <v>4437655.4600000028</v>
      </c>
      <c r="CZ120" s="341"/>
      <c r="DA120" s="342">
        <f>SUM('P&amp;L -Dec25'!BE186:BG186,'P&amp;L -Dec25'!BI186:BQ186)</f>
        <v>4346129.4600000018</v>
      </c>
      <c r="DB120" s="341"/>
      <c r="DC120" s="343">
        <v>5870610.9400000013</v>
      </c>
      <c r="DD120" s="344"/>
      <c r="DE120" s="343">
        <v>7066891.6799999988</v>
      </c>
      <c r="DF120" s="344"/>
      <c r="DG120" s="343">
        <v>7337388.8199999984</v>
      </c>
      <c r="DH120" s="344"/>
      <c r="DI120" s="343">
        <v>7809522.339999998</v>
      </c>
      <c r="DJ120" s="344"/>
      <c r="DK120" s="673"/>
      <c r="DL120" s="673"/>
      <c r="DM120" s="673"/>
      <c r="DN120" s="659"/>
      <c r="DO120" s="673"/>
      <c r="DP120" s="659"/>
      <c r="DQ120" s="673"/>
      <c r="DR120" s="659"/>
      <c r="DS120" s="673"/>
      <c r="DT120" s="659"/>
      <c r="DU120" s="673"/>
      <c r="DV120" s="659"/>
      <c r="DW120" s="673"/>
      <c r="DX120" s="659"/>
      <c r="DY120" s="673"/>
      <c r="DZ120" s="659"/>
      <c r="EA120" s="659"/>
      <c r="EB120" s="659"/>
      <c r="EF120" s="659"/>
      <c r="EI120" s="672"/>
      <c r="EJ120" s="672"/>
      <c r="EK120" s="672"/>
      <c r="EM120" s="672"/>
      <c r="EO120" s="667"/>
      <c r="EQ120" s="667"/>
      <c r="ES120" s="666"/>
      <c r="EU120" s="667"/>
      <c r="GE120" s="335"/>
      <c r="GF120" s="335"/>
      <c r="GG120" s="335"/>
    </row>
    <row r="121" spans="1:191" ht="14.25" hidden="1" customHeight="1" outlineLevel="1">
      <c r="A121" s="341"/>
      <c r="B121" s="340"/>
      <c r="C121" s="341"/>
      <c r="D121" s="341"/>
      <c r="E121" s="341" t="s">
        <v>622</v>
      </c>
      <c r="F121" s="341"/>
      <c r="G121" s="341"/>
      <c r="H121" s="341"/>
      <c r="I121" s="341"/>
      <c r="J121" s="341"/>
      <c r="K121" s="341"/>
      <c r="L121" s="341"/>
      <c r="M121" s="341"/>
      <c r="N121" s="341"/>
      <c r="O121" s="365" t="e">
        <f>'Balance Sheet - Dec25'!#REF!</f>
        <v>#REF!</v>
      </c>
      <c r="P121" s="341"/>
      <c r="Q121" s="365" t="e">
        <f>'Balance Sheet - Dec25'!#REF!</f>
        <v>#REF!</v>
      </c>
      <c r="R121" s="341"/>
      <c r="S121" s="365" t="e">
        <v>#REF!</v>
      </c>
      <c r="T121" s="341"/>
      <c r="U121" s="365" t="e">
        <v>#REF!</v>
      </c>
      <c r="V121" s="341"/>
      <c r="W121" s="365" t="e">
        <v>#REF!</v>
      </c>
      <c r="X121" s="341"/>
      <c r="Y121" s="365" t="e">
        <f>'Balance Sheet - Dec25'!#REF!</f>
        <v>#REF!</v>
      </c>
      <c r="Z121" s="341"/>
      <c r="AA121" s="365" t="e">
        <f>'Balance Sheet - Dec25'!#REF!</f>
        <v>#REF!</v>
      </c>
      <c r="AB121" s="341"/>
      <c r="AC121" s="365" t="e">
        <v>#REF!</v>
      </c>
      <c r="AD121" s="341"/>
      <c r="AE121" s="365" t="e">
        <v>#REF!</v>
      </c>
      <c r="AF121" s="341"/>
      <c r="AG121" s="365" t="e">
        <f>'Balance Sheet - Dec25'!#REF!</f>
        <v>#REF!</v>
      </c>
      <c r="AH121" s="341"/>
      <c r="AI121" s="365" t="e">
        <v>#REF!</v>
      </c>
      <c r="AJ121" s="341"/>
      <c r="AK121" s="365" t="e">
        <v>#REF!</v>
      </c>
      <c r="AL121" s="341"/>
      <c r="AM121" s="365" t="e">
        <v>#REF!</v>
      </c>
      <c r="AN121" s="341"/>
      <c r="AO121" s="365" t="e">
        <v>#REF!</v>
      </c>
      <c r="AP121" s="341"/>
      <c r="AQ121" s="365" t="e">
        <v>#REF!</v>
      </c>
      <c r="AR121" s="341"/>
      <c r="AS121" s="365" t="e">
        <v>#REF!</v>
      </c>
      <c r="AU121" s="365" t="e">
        <v>#REF!</v>
      </c>
      <c r="AW121" s="365">
        <v>1844426438.6899998</v>
      </c>
      <c r="AY121" s="365">
        <v>1742671591.5999999</v>
      </c>
      <c r="BA121" s="365">
        <v>1717884904.6500001</v>
      </c>
      <c r="BC121" s="365">
        <v>1733917895.8999996</v>
      </c>
      <c r="BE121" s="365">
        <v>1561674892.9399998</v>
      </c>
      <c r="BG121" s="365">
        <v>1535832117.6299996</v>
      </c>
      <c r="BI121" s="365">
        <v>1429968049.5899997</v>
      </c>
      <c r="BK121" s="365">
        <v>1277240500.4499998</v>
      </c>
      <c r="BM121" s="365">
        <v>1254929090.7</v>
      </c>
      <c r="BN121" s="341"/>
      <c r="BO121" s="365">
        <v>1230093120.4799998</v>
      </c>
      <c r="BP121" s="341"/>
      <c r="BQ121" s="365">
        <v>1235772556.4299998</v>
      </c>
      <c r="BR121" s="341"/>
      <c r="BS121" s="365">
        <v>1205323513.1199999</v>
      </c>
      <c r="BT121" s="341"/>
      <c r="BU121" s="365">
        <f>'Balance Sheet - Dec25'!BQ7</f>
        <v>554687925.25999999</v>
      </c>
      <c r="BV121" s="341"/>
      <c r="BW121" s="365">
        <v>1127913885.23</v>
      </c>
      <c r="BX121" s="341"/>
      <c r="BY121" s="365">
        <f>'Balance Sheet - Dec25'!BU7</f>
        <v>1183153376.28</v>
      </c>
      <c r="BZ121" s="341"/>
      <c r="CA121" s="365">
        <f>'Balance Sheet - Dec25'!BW7</f>
        <v>826638881.8900001</v>
      </c>
      <c r="CB121" s="341"/>
      <c r="CC121" s="365">
        <f>'Balance Sheet - Dec25'!BY7</f>
        <v>820247235.07000005</v>
      </c>
      <c r="CD121" s="341"/>
      <c r="CE121" s="365">
        <f>'Balance Sheet - Dec25'!CA7</f>
        <v>730396142.29000008</v>
      </c>
      <c r="CF121" s="341"/>
      <c r="CG121" s="365">
        <f>'Balance Sheet - Dec25'!CC7</f>
        <v>728941632.11000001</v>
      </c>
      <c r="CH121" s="341"/>
      <c r="CI121" s="365">
        <f>'Balance Sheet - Dec25'!CE7</f>
        <v>749572285.17999983</v>
      </c>
      <c r="CJ121" s="341"/>
      <c r="CK121" s="365">
        <f>'Balance Sheet - Dec25'!CG7</f>
        <v>754744127.38999987</v>
      </c>
      <c r="CL121" s="341"/>
      <c r="CM121" s="365">
        <f>'Balance Sheet - Dec25'!CI7</f>
        <v>652826985.93999982</v>
      </c>
      <c r="CN121" s="341"/>
      <c r="CO121" s="365">
        <f>'Balance Sheet - Dec25'!CK7</f>
        <v>649661373.08999979</v>
      </c>
      <c r="CP121" s="341"/>
      <c r="CQ121" s="365">
        <f>'Balance Sheet - Dec25'!CM7</f>
        <v>643938812.63999999</v>
      </c>
      <c r="CR121" s="341"/>
      <c r="CS121" s="365">
        <f>'Balance Sheet - Dec25'!CO7</f>
        <v>647834660.06999993</v>
      </c>
      <c r="CT121" s="341"/>
      <c r="CU121" s="365">
        <f>'Balance Sheet - Dec25'!CQ7</f>
        <v>607660847.62000012</v>
      </c>
      <c r="CV121" s="341"/>
      <c r="CW121" s="365">
        <f>'Balance Sheet - Dec25'!CS7</f>
        <v>572760289.10000002</v>
      </c>
      <c r="CX121" s="341"/>
      <c r="CY121" s="365">
        <f>'Balance Sheet - Dec25'!CU7</f>
        <v>499874018.42999995</v>
      </c>
      <c r="CZ121" s="341"/>
      <c r="DA121" s="365">
        <f>'Balance Sheet - Dec25'!CW7</f>
        <v>513058682.72999996</v>
      </c>
      <c r="DB121" s="341"/>
      <c r="DC121" s="365">
        <f>'Balance Sheet - Dec25'!CY7</f>
        <v>508406085.56999993</v>
      </c>
      <c r="DD121" s="344"/>
      <c r="DE121" s="365">
        <f>'Balance Sheet - Dec25'!DA7</f>
        <v>425065807.08999997</v>
      </c>
      <c r="DF121" s="344"/>
      <c r="DG121" s="365">
        <f>'Balance Sheet - Dec25'!DC7</f>
        <v>425118541.87</v>
      </c>
      <c r="DH121" s="344"/>
      <c r="DI121" s="365">
        <f>'Balance Sheet - Dec25'!DE7</f>
        <v>391475815.64999998</v>
      </c>
      <c r="DJ121" s="344"/>
      <c r="DK121" s="673"/>
      <c r="DL121" s="673"/>
      <c r="DM121" s="673"/>
      <c r="DN121" s="659"/>
      <c r="DO121" s="673"/>
      <c r="DP121" s="659"/>
      <c r="DQ121" s="673"/>
      <c r="DR121" s="659"/>
      <c r="DS121" s="673"/>
      <c r="DT121" s="659"/>
      <c r="DU121" s="673"/>
      <c r="DV121" s="659"/>
      <c r="DW121" s="673"/>
      <c r="DX121" s="659"/>
      <c r="DY121" s="673"/>
      <c r="DZ121" s="659"/>
      <c r="EA121" s="659"/>
      <c r="EB121" s="659"/>
      <c r="EF121" s="659"/>
      <c r="EI121" s="672"/>
      <c r="EJ121" s="672"/>
      <c r="EK121" s="672"/>
      <c r="EM121" s="672"/>
      <c r="EO121" s="667"/>
      <c r="EQ121" s="666"/>
      <c r="ES121" s="666"/>
      <c r="EU121" s="667"/>
      <c r="GE121" s="335"/>
      <c r="GF121" s="335"/>
      <c r="GG121" s="335"/>
    </row>
    <row r="122" spans="1:191" ht="14.25" hidden="1" customHeight="1" outlineLevel="1">
      <c r="A122" s="222"/>
      <c r="B122" s="334"/>
      <c r="C122" s="222"/>
      <c r="D122" s="222"/>
      <c r="E122" s="222" t="s">
        <v>541</v>
      </c>
      <c r="F122" s="222"/>
      <c r="G122" s="222"/>
      <c r="H122" s="222"/>
      <c r="I122" s="222"/>
      <c r="J122" s="222"/>
      <c r="K122" s="222"/>
      <c r="L122" s="222"/>
      <c r="M122" s="222"/>
      <c r="N122" s="222"/>
      <c r="O122" s="559" t="e">
        <f>+O120/O121</f>
        <v>#REF!</v>
      </c>
      <c r="P122" s="222"/>
      <c r="Q122" s="559" t="e">
        <f>+Q120/Q121</f>
        <v>#REF!</v>
      </c>
      <c r="R122" s="222"/>
      <c r="S122" s="559" t="e">
        <v>#REF!</v>
      </c>
      <c r="T122" s="222"/>
      <c r="U122" s="559" t="e">
        <v>#REF!</v>
      </c>
      <c r="V122" s="222"/>
      <c r="W122" s="559" t="e">
        <v>#REF!</v>
      </c>
      <c r="X122" s="222"/>
      <c r="Y122" s="559" t="e">
        <f>+Y120/Y121</f>
        <v>#REF!</v>
      </c>
      <c r="Z122" s="222"/>
      <c r="AA122" s="559" t="e">
        <f>+AA120/AA121</f>
        <v>#REF!</v>
      </c>
      <c r="AB122" s="222"/>
      <c r="AC122" s="559" t="e">
        <v>#REF!</v>
      </c>
      <c r="AD122" s="222"/>
      <c r="AE122" s="559" t="e">
        <v>#REF!</v>
      </c>
      <c r="AF122" s="222"/>
      <c r="AG122" s="559" t="e">
        <f>+AG120/AG121</f>
        <v>#REF!</v>
      </c>
      <c r="AH122" s="222"/>
      <c r="AI122" s="559" t="e">
        <v>#REF!</v>
      </c>
      <c r="AJ122" s="222"/>
      <c r="AK122" s="559" t="e">
        <v>#REF!</v>
      </c>
      <c r="AL122" s="222"/>
      <c r="AM122" s="559" t="e">
        <v>#REF!</v>
      </c>
      <c r="AN122" s="222"/>
      <c r="AO122" s="559" t="e">
        <v>#REF!</v>
      </c>
      <c r="AP122" s="222"/>
      <c r="AQ122" s="559" t="e">
        <v>#REF!</v>
      </c>
      <c r="AR122" s="222"/>
      <c r="AS122" s="559" t="e">
        <v>#REF!</v>
      </c>
      <c r="AT122" s="807"/>
      <c r="AU122" s="559" t="e">
        <v>#REF!</v>
      </c>
      <c r="AV122" s="807"/>
      <c r="AW122" s="559">
        <f>+AW120/AW121</f>
        <v>-3.4988889579047329E-4</v>
      </c>
      <c r="AX122" s="807"/>
      <c r="AY122" s="559">
        <v>-3.7031895918351941E-4</v>
      </c>
      <c r="AZ122" s="807"/>
      <c r="BA122" s="559">
        <v>6.6541303023609467E-4</v>
      </c>
      <c r="BB122" s="807"/>
      <c r="BC122" s="559">
        <v>-2.1638653646010846E-3</v>
      </c>
      <c r="BD122" s="807"/>
      <c r="BE122" s="559">
        <v>9.1636447923286639E-5</v>
      </c>
      <c r="BF122" s="807"/>
      <c r="BG122" s="559">
        <v>-3.3670208095268989E-4</v>
      </c>
      <c r="BH122" s="807"/>
      <c r="BI122" s="356">
        <v>-5.7768842474267823E-4</v>
      </c>
      <c r="BJ122" s="807"/>
      <c r="BK122" s="356">
        <v>-1.2456225976544538E-3</v>
      </c>
      <c r="BL122" s="807"/>
      <c r="BM122" s="356">
        <v>-9.3374072581772869E-4</v>
      </c>
      <c r="BN122" s="222"/>
      <c r="BO122" s="356">
        <v>8.9234936910440532E-4</v>
      </c>
      <c r="BP122" s="222"/>
      <c r="BQ122" s="356">
        <v>-3.8806269374146449E-3</v>
      </c>
      <c r="BR122" s="222"/>
      <c r="BS122" s="356">
        <v>9.6643897453282989E-4</v>
      </c>
      <c r="BT122" s="222"/>
      <c r="BU122" s="356">
        <f>+BU120/BU121</f>
        <v>1.1094056080480858E-2</v>
      </c>
      <c r="BV122" s="222"/>
      <c r="BW122" s="559">
        <v>-4.2517184457057386E-3</v>
      </c>
      <c r="BX122" s="222"/>
      <c r="BY122" s="356">
        <f>+BY120/BY121</f>
        <v>-6.8520630828859163E-3</v>
      </c>
      <c r="BZ122" s="222"/>
      <c r="CA122" s="356">
        <v>-1.2508061059906149E-2</v>
      </c>
      <c r="CB122" s="222"/>
      <c r="CC122" s="559">
        <v>-1.383822396209489E-2</v>
      </c>
      <c r="CD122" s="222"/>
      <c r="CE122" s="559">
        <v>-1.4272750852293285E-2</v>
      </c>
      <c r="CF122" s="222"/>
      <c r="CG122" s="356">
        <f>+CG120/CG121</f>
        <v>-1.2076415577360796E-2</v>
      </c>
      <c r="CH122" s="222"/>
      <c r="CI122" s="559">
        <v>-1.1767428665296899E-2</v>
      </c>
      <c r="CJ122" s="222"/>
      <c r="CK122" s="559">
        <v>-1.0992809799625386E-2</v>
      </c>
      <c r="CL122" s="222"/>
      <c r="CM122" s="356">
        <f>+CM120/CM121</f>
        <v>-6.6529343831371098E-3</v>
      </c>
      <c r="CN122" s="222"/>
      <c r="CO122" s="356">
        <f>+CO120/CO121</f>
        <v>-3.7650461337511965E-3</v>
      </c>
      <c r="CP122" s="222"/>
      <c r="CQ122" s="356">
        <f>+CQ120/CQ121</f>
        <v>-1.9820379296092033E-3</v>
      </c>
      <c r="CR122" s="222"/>
      <c r="CS122" s="356">
        <f>+CS120/CS121</f>
        <v>3.1840431318959773E-4</v>
      </c>
      <c r="CT122" s="222"/>
      <c r="CU122" s="356">
        <f>+CU120/CU121</f>
        <v>3.3716314421514703E-3</v>
      </c>
      <c r="CV122" s="222"/>
      <c r="CW122" s="356">
        <f>+CW120/CW121</f>
        <v>6.5442294469992184E-3</v>
      </c>
      <c r="CX122" s="222"/>
      <c r="CY122" s="356">
        <f>+CY120/CY121</f>
        <v>8.8775477348027668E-3</v>
      </c>
      <c r="CZ122" s="222"/>
      <c r="DA122" s="356">
        <f>+DA120/DA121</f>
        <v>8.4710182407870434E-3</v>
      </c>
      <c r="DB122" s="222"/>
      <c r="DC122" s="356">
        <f>+DC120/DC121</f>
        <v>1.1547090223001875E-2</v>
      </c>
      <c r="DD122" s="212"/>
      <c r="DE122" s="356">
        <f>+DE120/DE121</f>
        <v>1.6625406142121688E-2</v>
      </c>
      <c r="DF122" s="212"/>
      <c r="DG122" s="356">
        <f>+DG120/DG121</f>
        <v>1.7259630190968593E-2</v>
      </c>
      <c r="DH122" s="212"/>
      <c r="DI122" s="356">
        <f>+DI120/DI121</f>
        <v>1.9948926671327565E-2</v>
      </c>
      <c r="DJ122" s="212"/>
      <c r="DK122" s="673"/>
      <c r="DL122" s="673"/>
      <c r="DM122" s="673"/>
      <c r="DN122" s="677"/>
      <c r="DO122" s="673"/>
      <c r="DP122" s="677"/>
      <c r="DQ122" s="673"/>
      <c r="DR122" s="677"/>
      <c r="DS122" s="673"/>
      <c r="DT122" s="677"/>
      <c r="DU122" s="673"/>
      <c r="DV122" s="677"/>
      <c r="DW122" s="673"/>
      <c r="DX122" s="677"/>
      <c r="DY122" s="673"/>
      <c r="DZ122" s="677"/>
      <c r="EA122" s="659"/>
      <c r="EB122" s="677"/>
      <c r="EF122" s="677"/>
      <c r="EH122" s="678"/>
      <c r="EI122" s="672"/>
      <c r="EJ122" s="672"/>
      <c r="EK122" s="672"/>
      <c r="EL122" s="678"/>
      <c r="EM122" s="672"/>
      <c r="EN122" s="678"/>
      <c r="EO122" s="674"/>
      <c r="EP122" s="678"/>
      <c r="EQ122" s="674"/>
      <c r="ER122" s="678"/>
      <c r="ES122" s="674"/>
      <c r="ET122" s="678"/>
      <c r="EU122" s="674"/>
      <c r="GE122" s="335"/>
      <c r="GF122" s="335"/>
      <c r="GG122" s="335"/>
    </row>
    <row r="123" spans="1:191" ht="14.25" customHeight="1" collapsed="1"/>
    <row r="203" spans="1:189" s="546" customFormat="1" ht="14.25" hidden="1" customHeight="1">
      <c r="A203" s="707" t="s">
        <v>533</v>
      </c>
      <c r="B203" s="707" t="s">
        <v>533</v>
      </c>
      <c r="C203" s="708" t="s">
        <v>534</v>
      </c>
      <c r="D203" s="708" t="s">
        <v>535</v>
      </c>
      <c r="AT203" s="809"/>
      <c r="AV203" s="809"/>
      <c r="AX203" s="809"/>
      <c r="AZ203" s="809"/>
      <c r="BB203" s="809"/>
      <c r="BD203" s="809"/>
      <c r="BF203" s="809"/>
      <c r="BH203" s="809"/>
      <c r="BJ203" s="809"/>
      <c r="BL203" s="809"/>
      <c r="CY203" s="350"/>
      <c r="DA203" s="350"/>
      <c r="DC203" s="350"/>
      <c r="DD203" s="157"/>
      <c r="DE203" s="350"/>
      <c r="DF203" s="157"/>
      <c r="DG203" s="350"/>
      <c r="DH203" s="157"/>
      <c r="DI203" s="350"/>
      <c r="DJ203" s="157"/>
      <c r="DK203" s="673"/>
      <c r="DL203" s="659"/>
      <c r="DM203" s="673"/>
      <c r="DN203" s="659"/>
      <c r="DO203" s="673"/>
      <c r="DP203" s="659"/>
      <c r="DQ203" s="673"/>
      <c r="DR203" s="659"/>
      <c r="DS203" s="673"/>
      <c r="DT203" s="659"/>
      <c r="DU203" s="673"/>
      <c r="DV203" s="659"/>
      <c r="DW203" s="673"/>
      <c r="DX203" s="659"/>
      <c r="DY203" s="673"/>
      <c r="DZ203" s="659"/>
      <c r="EA203" s="673"/>
      <c r="EB203" s="659"/>
      <c r="EC203" s="673"/>
      <c r="ED203" s="659"/>
      <c r="EE203" s="673"/>
      <c r="EF203" s="659"/>
      <c r="EG203" s="709"/>
      <c r="EH203" s="710"/>
      <c r="EI203" s="709"/>
      <c r="EJ203" s="710"/>
      <c r="EK203" s="709"/>
      <c r="EL203" s="710"/>
      <c r="EM203" s="709"/>
      <c r="EN203" s="710"/>
      <c r="EO203" s="709"/>
      <c r="EP203" s="710"/>
      <c r="EQ203" s="709"/>
      <c r="ER203" s="710"/>
      <c r="ES203" s="709"/>
      <c r="ET203" s="710"/>
      <c r="EU203" s="709"/>
      <c r="EV203" s="709"/>
      <c r="EW203" s="709"/>
      <c r="EX203" s="709"/>
      <c r="EY203" s="709"/>
      <c r="EZ203" s="709"/>
      <c r="FA203" s="709"/>
      <c r="FB203" s="709"/>
      <c r="FC203" s="709"/>
      <c r="FD203" s="709"/>
      <c r="FE203" s="709"/>
      <c r="FF203" s="709"/>
      <c r="FG203" s="709"/>
      <c r="FH203" s="709"/>
      <c r="FI203" s="709"/>
      <c r="FJ203" s="709"/>
      <c r="FK203" s="709"/>
      <c r="FL203" s="709"/>
      <c r="FM203" s="709"/>
      <c r="FN203" s="709"/>
      <c r="FO203" s="709"/>
      <c r="FP203" s="709"/>
      <c r="FQ203" s="709"/>
      <c r="FR203" s="709"/>
      <c r="FS203" s="709"/>
      <c r="FT203" s="709"/>
      <c r="FU203" s="709"/>
      <c r="FV203" s="709"/>
      <c r="FW203" s="709"/>
      <c r="FX203" s="710"/>
      <c r="FY203" s="709"/>
      <c r="FZ203" s="709"/>
      <c r="GA203" s="709"/>
      <c r="GB203" s="709"/>
      <c r="GC203" s="709"/>
      <c r="GE203" s="711"/>
      <c r="GF203" s="711"/>
      <c r="GG203" s="711"/>
    </row>
    <row r="204" spans="1:189" s="546" customFormat="1" ht="14.25" hidden="1" customHeight="1">
      <c r="B204" s="712"/>
      <c r="C204" s="713" t="s">
        <v>493</v>
      </c>
      <c r="E204" s="713" t="s">
        <v>536</v>
      </c>
      <c r="AT204" s="809"/>
      <c r="AV204" s="809"/>
      <c r="AX204" s="809"/>
      <c r="AZ204" s="809"/>
      <c r="BB204" s="809"/>
      <c r="BD204" s="809"/>
      <c r="BF204" s="809"/>
      <c r="BH204" s="809"/>
      <c r="BJ204" s="809"/>
      <c r="BL204" s="809"/>
      <c r="CY204" s="350"/>
      <c r="DA204" s="350"/>
      <c r="DC204" s="350"/>
      <c r="DD204" s="157"/>
      <c r="DE204" s="350"/>
      <c r="DF204" s="157"/>
      <c r="DG204" s="350"/>
      <c r="DH204" s="157"/>
      <c r="DI204" s="350"/>
      <c r="DJ204" s="157"/>
      <c r="DK204" s="673"/>
      <c r="DL204" s="659"/>
      <c r="DM204" s="673"/>
      <c r="DN204" s="659"/>
      <c r="DO204" s="673"/>
      <c r="DP204" s="659"/>
      <c r="DQ204" s="673"/>
      <c r="DR204" s="659"/>
      <c r="DS204" s="673"/>
      <c r="DT204" s="659"/>
      <c r="DU204" s="673"/>
      <c r="DV204" s="659"/>
      <c r="DW204" s="673"/>
      <c r="DX204" s="659"/>
      <c r="DY204" s="673"/>
      <c r="DZ204" s="659"/>
      <c r="EA204" s="673"/>
      <c r="EB204" s="659"/>
      <c r="EC204" s="673"/>
      <c r="ED204" s="659"/>
      <c r="EE204" s="673"/>
      <c r="EF204" s="659"/>
      <c r="EG204" s="709"/>
      <c r="EH204" s="710"/>
      <c r="EI204" s="709"/>
      <c r="EJ204" s="710"/>
      <c r="EK204" s="709"/>
      <c r="EL204" s="710"/>
      <c r="EM204" s="709"/>
      <c r="EN204" s="710"/>
      <c r="EO204" s="709"/>
      <c r="EP204" s="710"/>
      <c r="EQ204" s="709"/>
      <c r="ER204" s="710"/>
      <c r="ES204" s="709"/>
      <c r="ET204" s="710"/>
      <c r="EU204" s="709"/>
      <c r="EV204" s="709"/>
      <c r="EW204" s="709"/>
      <c r="EX204" s="709"/>
      <c r="EY204" s="709"/>
      <c r="EZ204" s="709"/>
      <c r="FA204" s="709"/>
      <c r="FB204" s="709"/>
      <c r="FC204" s="709"/>
      <c r="FD204" s="709"/>
      <c r="FE204" s="709"/>
      <c r="FF204" s="709"/>
      <c r="FG204" s="709"/>
      <c r="FH204" s="709"/>
      <c r="FI204" s="709"/>
      <c r="FJ204" s="709"/>
      <c r="FK204" s="709"/>
      <c r="FL204" s="709"/>
      <c r="FM204" s="709"/>
      <c r="FN204" s="709"/>
      <c r="FO204" s="709"/>
      <c r="FP204" s="709"/>
      <c r="FQ204" s="709"/>
      <c r="FR204" s="709"/>
      <c r="FS204" s="709"/>
      <c r="FT204" s="709"/>
      <c r="FU204" s="709"/>
      <c r="FV204" s="709"/>
      <c r="FW204" s="709"/>
      <c r="FX204" s="710"/>
      <c r="FY204" s="709"/>
      <c r="FZ204" s="709"/>
      <c r="GA204" s="709"/>
      <c r="GB204" s="709"/>
      <c r="GC204" s="709"/>
      <c r="GE204" s="711"/>
      <c r="GF204" s="711"/>
      <c r="GG204" s="711"/>
    </row>
    <row r="205" spans="1:189" s="546" customFormat="1" ht="9" hidden="1" customHeight="1">
      <c r="B205" s="712"/>
      <c r="D205" s="714"/>
      <c r="AT205" s="809"/>
      <c r="AV205" s="809"/>
      <c r="AX205" s="809"/>
      <c r="AZ205" s="809"/>
      <c r="BB205" s="809"/>
      <c r="BD205" s="809"/>
      <c r="BF205" s="809"/>
      <c r="BH205" s="809"/>
      <c r="BJ205" s="809"/>
      <c r="BL205" s="809"/>
      <c r="CY205" s="350"/>
      <c r="DA205" s="350"/>
      <c r="DC205" s="350"/>
      <c r="DD205" s="157"/>
      <c r="DE205" s="350"/>
      <c r="DF205" s="157"/>
      <c r="DG205" s="350"/>
      <c r="DH205" s="157"/>
      <c r="DI205" s="350"/>
      <c r="DJ205" s="157"/>
      <c r="DK205" s="673"/>
      <c r="DL205" s="659"/>
      <c r="DM205" s="673"/>
      <c r="DN205" s="659"/>
      <c r="DO205" s="673"/>
      <c r="DP205" s="659"/>
      <c r="DQ205" s="673"/>
      <c r="DR205" s="659"/>
      <c r="DS205" s="673"/>
      <c r="DT205" s="659"/>
      <c r="DU205" s="673"/>
      <c r="DV205" s="659"/>
      <c r="DW205" s="673"/>
      <c r="DX205" s="659"/>
      <c r="DY205" s="673"/>
      <c r="DZ205" s="659"/>
      <c r="EA205" s="673"/>
      <c r="EB205" s="659"/>
      <c r="EC205" s="673"/>
      <c r="ED205" s="659"/>
      <c r="EE205" s="673"/>
      <c r="EF205" s="659"/>
      <c r="EG205" s="709"/>
      <c r="EH205" s="710"/>
      <c r="EI205" s="709"/>
      <c r="EJ205" s="710"/>
      <c r="EK205" s="709"/>
      <c r="EL205" s="710"/>
      <c r="EM205" s="709"/>
      <c r="EN205" s="710"/>
      <c r="EO205" s="709"/>
      <c r="EP205" s="710"/>
      <c r="EQ205" s="709"/>
      <c r="ER205" s="710"/>
      <c r="ES205" s="709"/>
      <c r="ET205" s="710"/>
      <c r="EU205" s="709"/>
      <c r="EV205" s="709"/>
      <c r="EW205" s="709"/>
      <c r="EX205" s="709"/>
      <c r="EY205" s="709"/>
      <c r="EZ205" s="709"/>
      <c r="FA205" s="709"/>
      <c r="FB205" s="709"/>
      <c r="FC205" s="709"/>
      <c r="FD205" s="709"/>
      <c r="FE205" s="709"/>
      <c r="FF205" s="709"/>
      <c r="FG205" s="709"/>
      <c r="FH205" s="709"/>
      <c r="FI205" s="709"/>
      <c r="FJ205" s="709"/>
      <c r="FK205" s="709"/>
      <c r="FL205" s="709"/>
      <c r="FM205" s="709"/>
      <c r="FN205" s="709"/>
      <c r="FO205" s="709"/>
      <c r="FP205" s="709"/>
      <c r="FQ205" s="709"/>
      <c r="FR205" s="709"/>
      <c r="FS205" s="709"/>
      <c r="FT205" s="709"/>
      <c r="FU205" s="709"/>
      <c r="FV205" s="709"/>
      <c r="FW205" s="709"/>
      <c r="FX205" s="710"/>
      <c r="FY205" s="709"/>
      <c r="FZ205" s="709"/>
      <c r="GA205" s="709"/>
      <c r="GB205" s="709"/>
      <c r="GC205" s="709"/>
      <c r="GE205" s="711"/>
      <c r="GF205" s="711"/>
      <c r="GG205" s="711"/>
    </row>
    <row r="206" spans="1:189" s="546" customFormat="1" ht="14.25" hidden="1" customHeight="1">
      <c r="A206" s="715"/>
      <c r="B206" s="716"/>
      <c r="C206" s="715"/>
      <c r="D206" s="715"/>
      <c r="E206" s="715" t="s">
        <v>537</v>
      </c>
      <c r="F206" s="715"/>
      <c r="G206" s="715"/>
      <c r="H206" s="715"/>
      <c r="I206" s="715"/>
      <c r="J206" s="715"/>
      <c r="K206" s="715"/>
      <c r="L206" s="715"/>
      <c r="M206" s="715"/>
      <c r="N206" s="715"/>
      <c r="O206" s="557" t="e">
        <f>-'Notes - Dec25'!#REF!</f>
        <v>#REF!</v>
      </c>
      <c r="P206" s="715"/>
      <c r="Q206" s="557" t="e">
        <f>-'Notes - Dec25'!#REF!</f>
        <v>#REF!</v>
      </c>
      <c r="R206" s="715"/>
      <c r="S206" s="557" t="e">
        <v>#REF!</v>
      </c>
      <c r="T206" s="715"/>
      <c r="U206" s="557" t="e">
        <v>#REF!</v>
      </c>
      <c r="V206" s="715"/>
      <c r="W206" s="557" t="e">
        <f>-'Notes - Dec25'!#REF!</f>
        <v>#REF!</v>
      </c>
      <c r="X206" s="715"/>
      <c r="Y206" s="557" t="e">
        <f>-'Notes - Dec25'!#REF!</f>
        <v>#REF!</v>
      </c>
      <c r="Z206" s="715"/>
      <c r="AA206" s="557" t="e">
        <f>-'Notes - Dec25'!#REF!</f>
        <v>#REF!</v>
      </c>
      <c r="AB206" s="715"/>
      <c r="AC206" s="557" t="e">
        <v>#REF!</v>
      </c>
      <c r="AD206" s="715"/>
      <c r="AE206" s="557" t="e">
        <f>-'Notes - Dec25'!#REF!</f>
        <v>#REF!</v>
      </c>
      <c r="AF206" s="715"/>
      <c r="AG206" s="557" t="e">
        <f>-'Notes - Dec25'!#REF!</f>
        <v>#REF!</v>
      </c>
      <c r="AH206" s="715"/>
      <c r="AI206" s="557" t="e">
        <v>#REF!</v>
      </c>
      <c r="AJ206" s="715"/>
      <c r="AK206" s="557" t="e">
        <v>#REF!</v>
      </c>
      <c r="AL206" s="715"/>
      <c r="AM206" s="557" t="e">
        <v>#REF!</v>
      </c>
      <c r="AN206" s="715"/>
      <c r="AO206" s="557" t="e">
        <v>#REF!</v>
      </c>
      <c r="AP206" s="715"/>
      <c r="AQ206" s="557" t="e">
        <v>#REF!</v>
      </c>
      <c r="AR206" s="715"/>
      <c r="AS206" s="557" t="e">
        <v>#REF!</v>
      </c>
      <c r="AT206" s="809"/>
      <c r="AU206" s="557" t="e">
        <f>-'Notes - Dec25'!#REF!</f>
        <v>#REF!</v>
      </c>
      <c r="AV206" s="809"/>
      <c r="AW206" s="557" t="e">
        <v>#REF!</v>
      </c>
      <c r="AX206" s="809"/>
      <c r="AY206" s="557" t="e">
        <v>#REF!</v>
      </c>
      <c r="AZ206" s="809"/>
      <c r="BA206" s="557" t="e">
        <v>#REF!</v>
      </c>
      <c r="BB206" s="809"/>
      <c r="BC206" s="557" t="e">
        <v>#REF!</v>
      </c>
      <c r="BD206" s="809"/>
      <c r="BE206" s="557" t="e">
        <v>#REF!</v>
      </c>
      <c r="BF206" s="809"/>
      <c r="BG206" s="557" t="e">
        <v>#REF!</v>
      </c>
      <c r="BH206" s="809"/>
      <c r="BI206" s="343" t="e">
        <v>#REF!</v>
      </c>
      <c r="BJ206" s="809"/>
      <c r="BK206" s="343" t="e">
        <v>#REF!</v>
      </c>
      <c r="BL206" s="809"/>
      <c r="BM206" s="343" t="e">
        <v>#REF!</v>
      </c>
      <c r="BN206" s="715"/>
      <c r="BO206" s="343" t="e">
        <v>#REF!</v>
      </c>
      <c r="BP206" s="715"/>
      <c r="BQ206" s="343" t="e">
        <v>#REF!</v>
      </c>
      <c r="BR206" s="715"/>
      <c r="BS206" s="343" t="e">
        <v>#REF!</v>
      </c>
      <c r="BT206" s="715"/>
      <c r="BU206" s="343" t="e">
        <f>-'Notes - Dec25'!#REF!</f>
        <v>#REF!</v>
      </c>
      <c r="BV206" s="715"/>
      <c r="BW206" s="557">
        <v>0</v>
      </c>
      <c r="BX206" s="715"/>
      <c r="BY206" s="343">
        <f>-'Notes - Dec25'!BU7</f>
        <v>29693178.460000001</v>
      </c>
      <c r="BZ206" s="715"/>
      <c r="CA206" s="343">
        <v>30697854.460000001</v>
      </c>
      <c r="CB206" s="715"/>
      <c r="CC206" s="557">
        <v>30168614.460000001</v>
      </c>
      <c r="CD206" s="715"/>
      <c r="CE206" s="557">
        <v>30070274.460000001</v>
      </c>
      <c r="CF206" s="715"/>
      <c r="CG206" s="343">
        <f>-'Notes - Dec25'!CC7</f>
        <v>29422332.460000001</v>
      </c>
      <c r="CH206" s="715"/>
      <c r="CI206" s="557">
        <v>29010262.460000001</v>
      </c>
      <c r="CJ206" s="715"/>
      <c r="CK206" s="557">
        <v>27671272.460000001</v>
      </c>
      <c r="CL206" s="715"/>
      <c r="CM206" s="343">
        <f>-'Notes - Dec25'!CI7</f>
        <v>26253005</v>
      </c>
      <c r="CN206" s="715"/>
      <c r="CO206" s="343">
        <f>-'Notes - Dec25'!CK7</f>
        <v>25805131</v>
      </c>
      <c r="CP206" s="715"/>
      <c r="CQ206" s="343">
        <f>-'Notes - Dec25'!CM7</f>
        <v>25593329.420000002</v>
      </c>
      <c r="CR206" s="715"/>
      <c r="CS206" s="343">
        <f>-'Notes - Dec25'!CO7</f>
        <v>24078891.420000002</v>
      </c>
      <c r="CT206" s="715"/>
      <c r="CU206" s="343">
        <f>-'Notes - Dec25'!CQ7</f>
        <v>21332600.879999999</v>
      </c>
      <c r="CV206" s="715"/>
      <c r="CW206" s="343">
        <f>-'Notes - Dec25'!CS7</f>
        <v>17396412.68</v>
      </c>
      <c r="CX206" s="715"/>
      <c r="CY206" s="343">
        <f>-'Notes - Dec25'!CU7</f>
        <v>17956964.719999999</v>
      </c>
      <c r="CZ206" s="715"/>
      <c r="DA206" s="343">
        <f>-'Notes - Dec25'!CW7</f>
        <v>16704638.609999999</v>
      </c>
      <c r="DB206" s="715"/>
      <c r="DC206" s="343">
        <f>-'Notes - Dec25'!CY7</f>
        <v>14751254.67</v>
      </c>
      <c r="DD206" s="344"/>
      <c r="DE206" s="343">
        <f>-'Notes - Dec25'!DA7</f>
        <v>13028596.970000001</v>
      </c>
      <c r="DF206" s="344"/>
      <c r="DG206" s="343">
        <f>-'Notes - Dec25'!DC7</f>
        <v>12166480.699999999</v>
      </c>
      <c r="DH206" s="344"/>
      <c r="DI206" s="343">
        <f>-'Notes - Dec25'!DE7</f>
        <v>10852071.68</v>
      </c>
      <c r="DJ206" s="344"/>
      <c r="DK206" s="666">
        <f>-'Notes - Dec25'!DG7</f>
        <v>10721338.34</v>
      </c>
      <c r="DL206" s="659"/>
      <c r="DM206" s="666">
        <f>-'Notes - Dec25'!DI7</f>
        <v>10573233.93</v>
      </c>
      <c r="DN206" s="659"/>
      <c r="DO206" s="666">
        <f>-'Notes - Dec25'!DK7</f>
        <v>10118939.800000001</v>
      </c>
      <c r="DP206" s="659"/>
      <c r="DQ206" s="666">
        <f>-'Notes - Dec25'!DM7</f>
        <v>9683242.1699999999</v>
      </c>
      <c r="DR206" s="659"/>
      <c r="DS206" s="666">
        <v>8706690.5600000005</v>
      </c>
      <c r="DT206" s="659"/>
      <c r="DU206" s="666">
        <v>11615486.34</v>
      </c>
      <c r="DV206" s="659"/>
      <c r="DW206" s="666">
        <v>13019162.27</v>
      </c>
      <c r="DX206" s="659"/>
      <c r="DY206" s="666">
        <v>13512212.09</v>
      </c>
      <c r="DZ206" s="659"/>
      <c r="EA206" s="666">
        <v>13257202.43</v>
      </c>
      <c r="EB206" s="659"/>
      <c r="EC206" s="666">
        <v>14674925.83</v>
      </c>
      <c r="ED206" s="659"/>
      <c r="EE206" s="666">
        <v>15138883.369999999</v>
      </c>
      <c r="EF206" s="659"/>
      <c r="EG206" s="666">
        <v>15174293.07</v>
      </c>
      <c r="EH206" s="710"/>
      <c r="EI206" s="666">
        <v>14604635.17</v>
      </c>
      <c r="EJ206" s="710"/>
      <c r="EK206" s="666">
        <v>13082366.52</v>
      </c>
      <c r="EL206" s="710"/>
      <c r="EM206" s="666">
        <v>10628770.109999999</v>
      </c>
      <c r="EN206" s="710"/>
      <c r="EO206" s="666">
        <v>6838666.21</v>
      </c>
      <c r="EP206" s="710"/>
      <c r="EQ206" s="666">
        <v>3558876.38</v>
      </c>
      <c r="ER206" s="710"/>
      <c r="ES206" s="666">
        <v>3983318.8</v>
      </c>
      <c r="ET206" s="710"/>
      <c r="EU206" s="717">
        <v>3530117.33</v>
      </c>
      <c r="EV206" s="717"/>
      <c r="EW206" s="717">
        <v>3037571.06</v>
      </c>
      <c r="EX206" s="717"/>
      <c r="EY206" s="717">
        <v>2472008.16</v>
      </c>
      <c r="EZ206" s="717"/>
      <c r="FA206" s="717">
        <v>2433248.29</v>
      </c>
      <c r="FB206" s="717"/>
      <c r="FC206" s="717">
        <v>2289326.17</v>
      </c>
      <c r="FD206" s="717"/>
      <c r="FE206" s="717">
        <v>2125145.9700000002</v>
      </c>
      <c r="FF206" s="717"/>
      <c r="FG206" s="717">
        <v>1959896.52</v>
      </c>
      <c r="FH206" s="717"/>
      <c r="FI206" s="717">
        <v>1775421.72</v>
      </c>
      <c r="FJ206" s="717"/>
      <c r="FK206" s="717">
        <v>1712855.36</v>
      </c>
      <c r="FL206" s="717"/>
      <c r="FM206" s="717">
        <v>1825574.52</v>
      </c>
      <c r="FN206" s="717"/>
      <c r="FO206" s="717">
        <v>1810689.19</v>
      </c>
      <c r="FP206" s="717"/>
      <c r="FQ206" s="717">
        <v>1731620.08</v>
      </c>
      <c r="FR206" s="717"/>
      <c r="FS206" s="717">
        <v>1806343.29</v>
      </c>
      <c r="FT206" s="717"/>
      <c r="FU206" s="717">
        <v>1624241.05</v>
      </c>
      <c r="FV206" s="717"/>
      <c r="FW206" s="717">
        <v>1508003.35</v>
      </c>
      <c r="FX206" s="710"/>
      <c r="FY206" s="717">
        <v>1561068.92</v>
      </c>
      <c r="FZ206" s="717"/>
      <c r="GA206" s="717">
        <v>1472006.9</v>
      </c>
      <c r="GB206" s="717"/>
      <c r="GC206" s="717">
        <v>1476676.48</v>
      </c>
      <c r="GD206" s="715"/>
      <c r="GE206" s="718"/>
      <c r="GF206" s="718"/>
      <c r="GG206" s="718"/>
    </row>
    <row r="207" spans="1:189" s="546" customFormat="1" ht="14.25" hidden="1" customHeight="1">
      <c r="A207" s="715"/>
      <c r="B207" s="716"/>
      <c r="C207" s="715"/>
      <c r="D207" s="715"/>
      <c r="E207" s="715" t="s">
        <v>538</v>
      </c>
      <c r="F207" s="715"/>
      <c r="G207" s="715"/>
      <c r="H207" s="715"/>
      <c r="I207" s="715"/>
      <c r="J207" s="715"/>
      <c r="K207" s="715"/>
      <c r="L207" s="715"/>
      <c r="M207" s="715"/>
      <c r="N207" s="715"/>
      <c r="O207" s="560">
        <v>17703482</v>
      </c>
      <c r="P207" s="715"/>
      <c r="Q207" s="560">
        <v>17703482</v>
      </c>
      <c r="R207" s="715"/>
      <c r="S207" s="560">
        <v>17703482</v>
      </c>
      <c r="T207" s="715"/>
      <c r="U207" s="560">
        <v>17703482</v>
      </c>
      <c r="V207" s="715"/>
      <c r="W207" s="560">
        <v>17703482</v>
      </c>
      <c r="X207" s="715"/>
      <c r="Y207" s="560">
        <v>17703482</v>
      </c>
      <c r="Z207" s="715"/>
      <c r="AA207" s="560">
        <v>17703482</v>
      </c>
      <c r="AB207" s="715"/>
      <c r="AC207" s="560">
        <v>17703482</v>
      </c>
      <c r="AD207" s="715"/>
      <c r="AE207" s="560">
        <v>17703482</v>
      </c>
      <c r="AF207" s="715"/>
      <c r="AG207" s="560">
        <v>17703482</v>
      </c>
      <c r="AH207" s="715"/>
      <c r="AI207" s="560">
        <v>17703482</v>
      </c>
      <c r="AJ207" s="715"/>
      <c r="AK207" s="560">
        <v>17703482</v>
      </c>
      <c r="AL207" s="715"/>
      <c r="AM207" s="560">
        <v>17703482</v>
      </c>
      <c r="AN207" s="715"/>
      <c r="AO207" s="560">
        <v>17703482</v>
      </c>
      <c r="AP207" s="715"/>
      <c r="AQ207" s="560">
        <v>17703482</v>
      </c>
      <c r="AR207" s="715"/>
      <c r="AS207" s="560">
        <v>17703482</v>
      </c>
      <c r="AT207" s="809"/>
      <c r="AU207" s="560">
        <v>17703482</v>
      </c>
      <c r="AV207" s="809"/>
      <c r="AW207" s="560">
        <v>17703482</v>
      </c>
      <c r="AX207" s="809"/>
      <c r="AY207" s="560">
        <v>17703482</v>
      </c>
      <c r="AZ207" s="809"/>
      <c r="BA207" s="560">
        <v>17703482</v>
      </c>
      <c r="BB207" s="809"/>
      <c r="BC207" s="560">
        <v>17703482</v>
      </c>
      <c r="BD207" s="809"/>
      <c r="BE207" s="560">
        <v>17703482</v>
      </c>
      <c r="BF207" s="809"/>
      <c r="BG207" s="560">
        <v>17703482</v>
      </c>
      <c r="BH207" s="809"/>
      <c r="BI207" s="496">
        <v>17703482</v>
      </c>
      <c r="BJ207" s="809"/>
      <c r="BK207" s="496">
        <v>17703482</v>
      </c>
      <c r="BL207" s="809"/>
      <c r="BM207" s="496">
        <v>17703482</v>
      </c>
      <c r="BN207" s="715"/>
      <c r="BO207" s="496">
        <v>17703482</v>
      </c>
      <c r="BP207" s="715"/>
      <c r="BQ207" s="496">
        <v>17703482</v>
      </c>
      <c r="BR207" s="715"/>
      <c r="BS207" s="496">
        <v>17703482</v>
      </c>
      <c r="BT207" s="715"/>
      <c r="BU207" s="496">
        <v>17703482</v>
      </c>
      <c r="BV207" s="715"/>
      <c r="BW207" s="560">
        <v>17703482</v>
      </c>
      <c r="BX207" s="715"/>
      <c r="BY207" s="496">
        <v>17703482</v>
      </c>
      <c r="BZ207" s="715"/>
      <c r="CA207" s="496">
        <v>16657480</v>
      </c>
      <c r="CB207" s="715"/>
      <c r="CC207" s="560">
        <v>18349323</v>
      </c>
      <c r="CD207" s="715"/>
      <c r="CE207" s="560">
        <v>18985880</v>
      </c>
      <c r="CF207" s="715"/>
      <c r="CG207" s="496">
        <v>19761437</v>
      </c>
      <c r="CH207" s="715"/>
      <c r="CI207" s="560">
        <v>19611243</v>
      </c>
      <c r="CJ207" s="715"/>
      <c r="CK207" s="560">
        <v>17158738</v>
      </c>
      <c r="CL207" s="715"/>
      <c r="CM207" s="496">
        <v>16847332</v>
      </c>
      <c r="CN207" s="715"/>
      <c r="CO207" s="496">
        <v>15625763</v>
      </c>
      <c r="CP207" s="715"/>
      <c r="CQ207" s="496">
        <v>18272173</v>
      </c>
      <c r="CR207" s="715"/>
      <c r="CS207" s="343">
        <v>17245899</v>
      </c>
      <c r="CT207" s="715"/>
      <c r="CU207" s="343">
        <v>14528797</v>
      </c>
      <c r="CV207" s="715"/>
      <c r="CW207" s="343">
        <v>10956625</v>
      </c>
      <c r="CX207" s="715"/>
      <c r="CY207" s="343">
        <v>10020145.259999998</v>
      </c>
      <c r="CZ207" s="715"/>
      <c r="DA207" s="495">
        <v>7785584.1999999983</v>
      </c>
      <c r="DB207" s="715"/>
      <c r="DC207" s="343">
        <v>7228863.3200000003</v>
      </c>
      <c r="DD207" s="344"/>
      <c r="DE207" s="495">
        <v>4264658.93</v>
      </c>
      <c r="DF207" s="344"/>
      <c r="DG207" s="343">
        <v>4224726.5599999996</v>
      </c>
      <c r="DH207" s="344"/>
      <c r="DI207" s="343">
        <v>3873542.2</v>
      </c>
      <c r="DJ207" s="344"/>
      <c r="DK207" s="666">
        <v>4619626.08</v>
      </c>
      <c r="DL207" s="659"/>
      <c r="DM207" s="666">
        <v>2888793.94</v>
      </c>
      <c r="DN207" s="659"/>
      <c r="DO207" s="666">
        <v>3744608.41</v>
      </c>
      <c r="DP207" s="659"/>
      <c r="DQ207" s="666">
        <v>2669240.92</v>
      </c>
      <c r="DR207" s="659"/>
      <c r="DS207" s="666">
        <v>431383.3</v>
      </c>
      <c r="DT207" s="659"/>
      <c r="DU207" s="666">
        <v>2342452.77</v>
      </c>
      <c r="DV207" s="659"/>
      <c r="DW207" s="666">
        <v>1550389.96</v>
      </c>
      <c r="DX207" s="659"/>
      <c r="DY207" s="717">
        <v>374716.6</v>
      </c>
      <c r="DZ207" s="659"/>
      <c r="EA207" s="717">
        <v>319597.01</v>
      </c>
      <c r="EB207" s="659"/>
      <c r="EC207" s="666">
        <v>1612155.99</v>
      </c>
      <c r="ED207" s="659"/>
      <c r="EE207" s="717">
        <v>933666.63</v>
      </c>
      <c r="EF207" s="659"/>
      <c r="EG207" s="717">
        <v>165544.5</v>
      </c>
      <c r="EH207" s="710"/>
      <c r="EI207" s="666">
        <v>1294898.71</v>
      </c>
      <c r="EJ207" s="710"/>
      <c r="EK207" s="717">
        <v>1199851.8799999999</v>
      </c>
      <c r="EL207" s="710"/>
      <c r="EM207" s="717">
        <v>1697943.32</v>
      </c>
      <c r="EN207" s="710"/>
      <c r="EO207" s="717">
        <v>1707017.77</v>
      </c>
      <c r="EP207" s="710"/>
      <c r="EQ207" s="717">
        <v>914047.85</v>
      </c>
      <c r="ER207" s="710"/>
      <c r="ES207" s="717">
        <v>921179</v>
      </c>
      <c r="ET207" s="710"/>
      <c r="EU207" s="717">
        <v>883838</v>
      </c>
      <c r="EV207" s="717"/>
      <c r="EW207" s="717">
        <v>940092</v>
      </c>
      <c r="EX207" s="717"/>
      <c r="EY207" s="717">
        <v>836111</v>
      </c>
      <c r="EZ207" s="717"/>
      <c r="FA207" s="717">
        <v>1351978.73</v>
      </c>
      <c r="FB207" s="717"/>
      <c r="FC207" s="717">
        <v>1321530.24</v>
      </c>
      <c r="FD207" s="717"/>
      <c r="FE207" s="717">
        <v>1258830</v>
      </c>
      <c r="FF207" s="717"/>
      <c r="FG207" s="717">
        <v>719512</v>
      </c>
      <c r="FH207" s="717"/>
      <c r="FI207" s="717">
        <v>739346</v>
      </c>
      <c r="FJ207" s="717"/>
      <c r="FK207" s="717">
        <v>754866</v>
      </c>
      <c r="FL207" s="717"/>
      <c r="FM207" s="717">
        <v>992938</v>
      </c>
      <c r="FN207" s="717"/>
      <c r="FO207" s="717">
        <v>1036763</v>
      </c>
      <c r="FP207" s="717"/>
      <c r="FQ207" s="717">
        <v>1130164</v>
      </c>
      <c r="FR207" s="717"/>
      <c r="FS207" s="717">
        <v>1221976</v>
      </c>
      <c r="FT207" s="717"/>
      <c r="FU207" s="717">
        <v>935472</v>
      </c>
      <c r="FV207" s="717"/>
      <c r="FW207" s="717">
        <v>1124923.2249999999</v>
      </c>
      <c r="FX207" s="710"/>
      <c r="FY207" s="717">
        <v>1236356.3999999999</v>
      </c>
      <c r="FZ207" s="717"/>
      <c r="GA207" s="717">
        <v>1100076.19</v>
      </c>
      <c r="GB207" s="717"/>
      <c r="GC207" s="717">
        <v>868978.18</v>
      </c>
      <c r="GD207" s="715"/>
      <c r="GE207" s="718"/>
      <c r="GF207" s="718"/>
      <c r="GG207" s="718"/>
    </row>
    <row r="208" spans="1:189" s="546" customFormat="1" ht="14.25" hidden="1" customHeight="1">
      <c r="A208" s="715"/>
      <c r="B208" s="716"/>
      <c r="C208" s="715"/>
      <c r="D208" s="715"/>
      <c r="E208" s="715"/>
      <c r="F208" s="715"/>
      <c r="G208" s="715"/>
      <c r="H208" s="715"/>
      <c r="I208" s="715"/>
      <c r="J208" s="715"/>
      <c r="K208" s="715"/>
      <c r="L208" s="715"/>
      <c r="M208" s="715"/>
      <c r="N208" s="715"/>
      <c r="O208" s="715"/>
      <c r="P208" s="715"/>
      <c r="Q208" s="715"/>
      <c r="R208" s="715"/>
      <c r="S208" s="715"/>
      <c r="T208" s="715"/>
      <c r="U208" s="715"/>
      <c r="V208" s="715"/>
      <c r="W208" s="715"/>
      <c r="X208" s="715"/>
      <c r="Y208" s="715"/>
      <c r="Z208" s="715"/>
      <c r="AA208" s="715"/>
      <c r="AB208" s="715"/>
      <c r="AC208" s="715"/>
      <c r="AD208" s="715"/>
      <c r="AE208" s="715"/>
      <c r="AF208" s="715"/>
      <c r="AG208" s="715"/>
      <c r="AH208" s="715"/>
      <c r="AI208" s="715"/>
      <c r="AJ208" s="715"/>
      <c r="AK208" s="715"/>
      <c r="AL208" s="715"/>
      <c r="AM208" s="715"/>
      <c r="AN208" s="715"/>
      <c r="AO208" s="715"/>
      <c r="AP208" s="715"/>
      <c r="AQ208" s="715"/>
      <c r="AR208" s="715"/>
      <c r="AS208" s="715"/>
      <c r="AT208" s="809"/>
      <c r="AU208" s="715"/>
      <c r="AV208" s="809"/>
      <c r="AW208" s="715"/>
      <c r="AX208" s="809"/>
      <c r="AY208" s="715"/>
      <c r="AZ208" s="809"/>
      <c r="BA208" s="715"/>
      <c r="BB208" s="809"/>
      <c r="BC208" s="715"/>
      <c r="BD208" s="809"/>
      <c r="BE208" s="715"/>
      <c r="BF208" s="809"/>
      <c r="BG208" s="715"/>
      <c r="BH208" s="809"/>
      <c r="BI208" s="715"/>
      <c r="BJ208" s="809"/>
      <c r="BK208" s="715"/>
      <c r="BL208" s="809"/>
      <c r="BM208" s="715"/>
      <c r="BN208" s="715"/>
      <c r="BO208" s="715"/>
      <c r="BP208" s="715"/>
      <c r="BQ208" s="715"/>
      <c r="BR208" s="715"/>
      <c r="BS208" s="715"/>
      <c r="BT208" s="715"/>
      <c r="BU208" s="715"/>
      <c r="BV208" s="715"/>
      <c r="BW208" s="715"/>
      <c r="BX208" s="715"/>
      <c r="BY208" s="715"/>
      <c r="BZ208" s="715"/>
      <c r="CA208" s="715"/>
      <c r="CB208" s="715"/>
      <c r="CC208" s="715"/>
      <c r="CD208" s="715"/>
      <c r="CE208" s="715"/>
      <c r="CF208" s="715"/>
      <c r="CG208" s="715"/>
      <c r="CH208" s="715"/>
      <c r="CI208" s="715"/>
      <c r="CJ208" s="715"/>
      <c r="CK208" s="715"/>
      <c r="CL208" s="715"/>
      <c r="CM208" s="715"/>
      <c r="CN208" s="715"/>
      <c r="CO208" s="715"/>
      <c r="CP208" s="715"/>
      <c r="CQ208" s="715"/>
      <c r="CR208" s="715"/>
      <c r="CS208" s="715"/>
      <c r="CT208" s="715"/>
      <c r="CU208" s="715"/>
      <c r="CV208" s="715"/>
      <c r="CW208" s="715"/>
      <c r="CX208" s="715"/>
      <c r="CY208" s="343"/>
      <c r="CZ208" s="715"/>
      <c r="DA208" s="343"/>
      <c r="DB208" s="715"/>
      <c r="DC208" s="343"/>
      <c r="DD208" s="344"/>
      <c r="DE208" s="343"/>
      <c r="DF208" s="344"/>
      <c r="DG208" s="343"/>
      <c r="DH208" s="344"/>
      <c r="DI208" s="343"/>
      <c r="DJ208" s="344"/>
      <c r="DK208" s="666"/>
      <c r="DL208" s="659"/>
      <c r="DM208" s="666"/>
      <c r="DN208" s="659"/>
      <c r="DO208" s="666"/>
      <c r="DP208" s="659"/>
      <c r="DQ208" s="666"/>
      <c r="DR208" s="659"/>
      <c r="DS208" s="666"/>
      <c r="DT208" s="659"/>
      <c r="DU208" s="666"/>
      <c r="DV208" s="659"/>
      <c r="DW208" s="666"/>
      <c r="DX208" s="659"/>
      <c r="DY208" s="666"/>
      <c r="DZ208" s="659"/>
      <c r="EA208" s="666"/>
      <c r="EB208" s="659"/>
      <c r="EC208" s="666"/>
      <c r="ED208" s="659"/>
      <c r="EE208" s="666"/>
      <c r="EF208" s="659"/>
      <c r="EG208" s="717"/>
      <c r="EH208" s="710"/>
      <c r="EI208" s="717"/>
      <c r="EJ208" s="710"/>
      <c r="EK208" s="717"/>
      <c r="EL208" s="710"/>
      <c r="EM208" s="717"/>
      <c r="EN208" s="710"/>
      <c r="EO208" s="717"/>
      <c r="EP208" s="710"/>
      <c r="EQ208" s="717"/>
      <c r="ER208" s="710"/>
      <c r="ES208" s="717"/>
      <c r="ET208" s="710"/>
      <c r="EU208" s="717"/>
      <c r="EV208" s="717"/>
      <c r="EW208" s="717"/>
      <c r="EX208" s="717"/>
      <c r="EY208" s="717"/>
      <c r="EZ208" s="717"/>
      <c r="FA208" s="717"/>
      <c r="FB208" s="717"/>
      <c r="FC208" s="717"/>
      <c r="FD208" s="717"/>
      <c r="FE208" s="717"/>
      <c r="FF208" s="717"/>
      <c r="FG208" s="717"/>
      <c r="FH208" s="717"/>
      <c r="FI208" s="717"/>
      <c r="FJ208" s="717"/>
      <c r="FK208" s="717"/>
      <c r="FL208" s="717"/>
      <c r="FM208" s="717"/>
      <c r="FN208" s="717"/>
      <c r="FO208" s="717"/>
      <c r="FP208" s="717"/>
      <c r="FQ208" s="717"/>
      <c r="FR208" s="717"/>
      <c r="FS208" s="717"/>
      <c r="FT208" s="717"/>
      <c r="FU208" s="717"/>
      <c r="FV208" s="717"/>
      <c r="FW208" s="717"/>
      <c r="FX208" s="710"/>
      <c r="FY208" s="717"/>
      <c r="FZ208" s="717"/>
      <c r="GA208" s="717"/>
      <c r="GB208" s="717"/>
      <c r="GC208" s="717"/>
      <c r="GD208" s="715"/>
      <c r="GE208" s="718"/>
      <c r="GF208" s="718"/>
      <c r="GG208" s="718"/>
    </row>
    <row r="209" spans="1:189" s="546" customFormat="1" ht="14.25" hidden="1" customHeight="1">
      <c r="A209" s="708"/>
      <c r="B209" s="712"/>
      <c r="C209" s="708"/>
      <c r="D209" s="708"/>
      <c r="E209" s="708"/>
      <c r="F209" s="708" t="s">
        <v>539</v>
      </c>
      <c r="G209" s="708"/>
      <c r="H209" s="708"/>
      <c r="I209" s="708"/>
      <c r="J209" s="708"/>
      <c r="K209" s="708"/>
      <c r="L209" s="708"/>
      <c r="M209" s="708"/>
      <c r="N209" s="708"/>
      <c r="O209" s="558" t="e">
        <f>+O206/(O207+O208)</f>
        <v>#REF!</v>
      </c>
      <c r="P209" s="708"/>
      <c r="Q209" s="558" t="e">
        <f>+Q206/(Q207+Q208)</f>
        <v>#REF!</v>
      </c>
      <c r="R209" s="708"/>
      <c r="S209" s="558" t="e">
        <v>#REF!</v>
      </c>
      <c r="T209" s="708"/>
      <c r="U209" s="558" t="e">
        <v>#REF!</v>
      </c>
      <c r="V209" s="708"/>
      <c r="W209" s="558" t="e">
        <f>+W206/(W207+W208)</f>
        <v>#REF!</v>
      </c>
      <c r="X209" s="708"/>
      <c r="Y209" s="558" t="e">
        <f>+Y206/(Y207+Y208)</f>
        <v>#REF!</v>
      </c>
      <c r="Z209" s="708"/>
      <c r="AA209" s="558" t="e">
        <f>+AA206/(AA207+AA208)</f>
        <v>#REF!</v>
      </c>
      <c r="AB209" s="708"/>
      <c r="AC209" s="558" t="e">
        <v>#REF!</v>
      </c>
      <c r="AD209" s="708"/>
      <c r="AE209" s="558" t="e">
        <f>+AE206/(AE207+AE208)</f>
        <v>#REF!</v>
      </c>
      <c r="AF209" s="708"/>
      <c r="AG209" s="558" t="e">
        <f>+AG206/(AG207+AG208)</f>
        <v>#REF!</v>
      </c>
      <c r="AH209" s="708"/>
      <c r="AI209" s="558" t="e">
        <v>#REF!</v>
      </c>
      <c r="AJ209" s="708"/>
      <c r="AK209" s="558" t="e">
        <v>#REF!</v>
      </c>
      <c r="AL209" s="708"/>
      <c r="AM209" s="558" t="e">
        <v>#REF!</v>
      </c>
      <c r="AN209" s="708"/>
      <c r="AO209" s="558" t="e">
        <v>#REF!</v>
      </c>
      <c r="AP209" s="708"/>
      <c r="AQ209" s="558" t="e">
        <v>#REF!</v>
      </c>
      <c r="AR209" s="708"/>
      <c r="AS209" s="558" t="e">
        <v>#REF!</v>
      </c>
      <c r="AT209" s="810"/>
      <c r="AU209" s="558" t="e">
        <f>+AU206/(AU207+AU208)</f>
        <v>#REF!</v>
      </c>
      <c r="AV209" s="810"/>
      <c r="AW209" s="558" t="e">
        <f>+AW206/(AW207+AW208)</f>
        <v>#REF!</v>
      </c>
      <c r="AX209" s="810"/>
      <c r="AY209" s="558" t="e">
        <v>#REF!</v>
      </c>
      <c r="AZ209" s="810"/>
      <c r="BA209" s="558" t="e">
        <v>#REF!</v>
      </c>
      <c r="BB209" s="810"/>
      <c r="BC209" s="558" t="e">
        <v>#REF!</v>
      </c>
      <c r="BD209" s="810"/>
      <c r="BE209" s="558" t="e">
        <v>#REF!</v>
      </c>
      <c r="BF209" s="810"/>
      <c r="BG209" s="558" t="e">
        <v>#REF!</v>
      </c>
      <c r="BH209" s="810"/>
      <c r="BI209" s="350" t="e">
        <v>#REF!</v>
      </c>
      <c r="BJ209" s="810"/>
      <c r="BK209" s="350" t="e">
        <v>#REF!</v>
      </c>
      <c r="BL209" s="810"/>
      <c r="BM209" s="350" t="e">
        <v>#REF!</v>
      </c>
      <c r="BN209" s="708"/>
      <c r="BO209" s="350" t="e">
        <v>#REF!</v>
      </c>
      <c r="BP209" s="708"/>
      <c r="BQ209" s="350" t="e">
        <v>#REF!</v>
      </c>
      <c r="BR209" s="708"/>
      <c r="BS209" s="350" t="e">
        <v>#REF!</v>
      </c>
      <c r="BT209" s="708"/>
      <c r="BU209" s="350" t="e">
        <f>+BU206/(BU207+BU208)</f>
        <v>#REF!</v>
      </c>
      <c r="BV209" s="708"/>
      <c r="BW209" s="558">
        <v>0</v>
      </c>
      <c r="BX209" s="708"/>
      <c r="BY209" s="350">
        <f>+BY206/(BY207+BY208)</f>
        <v>1.6772507498807296</v>
      </c>
      <c r="BZ209" s="708"/>
      <c r="CA209" s="350">
        <v>1.8428870669513036</v>
      </c>
      <c r="CB209" s="708"/>
      <c r="CC209" s="558">
        <v>1.6441268410829109</v>
      </c>
      <c r="CD209" s="708"/>
      <c r="CE209" s="558">
        <v>1.5838230548175802</v>
      </c>
      <c r="CF209" s="708"/>
      <c r="CG209" s="350">
        <f>+CG206/(CG207+CG208)</f>
        <v>1.4888761611820032</v>
      </c>
      <c r="CH209" s="708"/>
      <c r="CI209" s="558">
        <v>1.4792668909359801</v>
      </c>
      <c r="CJ209" s="708"/>
      <c r="CK209" s="558">
        <v>1.6126636154710212</v>
      </c>
      <c r="CL209" s="708"/>
      <c r="CM209" s="350">
        <f>+CM206/(CM207+CM208)</f>
        <v>1.5582885764938923</v>
      </c>
      <c r="CN209" s="708"/>
      <c r="CO209" s="350">
        <f>+CO206/(CO207+CO208)</f>
        <v>1.6514477405039356</v>
      </c>
      <c r="CP209" s="708"/>
      <c r="CQ209" s="350">
        <f>+CQ206/(CQ207+CQ208)</f>
        <v>1.4006724553231846</v>
      </c>
      <c r="CR209" s="708"/>
      <c r="CS209" s="350">
        <f>+CS206/(CS207+CS208)</f>
        <v>1.3962096971575679</v>
      </c>
      <c r="CT209" s="708"/>
      <c r="CU209" s="350">
        <f>+CU206/(CU207+CU208)</f>
        <v>1.4682978143338363</v>
      </c>
      <c r="CV209" s="708"/>
      <c r="CW209" s="350">
        <f>+CW206/(CW207+CW208)</f>
        <v>1.5877528600276087</v>
      </c>
      <c r="CX209" s="708"/>
      <c r="CY209" s="350">
        <f>+CY206/(CY207+CY208)</f>
        <v>1.7920862676196376</v>
      </c>
      <c r="CZ209" s="708"/>
      <c r="DA209" s="350">
        <f>+DA206/(DA207+DA208)</f>
        <v>2.1455857622090844</v>
      </c>
      <c r="DB209" s="708"/>
      <c r="DC209" s="350">
        <f>+DC206/(DC207+DC208)</f>
        <v>2.0406050048266784</v>
      </c>
      <c r="DD209" s="212"/>
      <c r="DE209" s="350">
        <f>+DE206/(DE207+DE208)</f>
        <v>3.0550149927229939</v>
      </c>
      <c r="DF209" s="212"/>
      <c r="DG209" s="350">
        <f>+DG206/(DG207+DG208)</f>
        <v>2.8798267833930535</v>
      </c>
      <c r="DH209" s="212"/>
      <c r="DI209" s="350">
        <f>+DI206/(DI207+DI208)</f>
        <v>2.8015886028039141</v>
      </c>
      <c r="DJ209" s="212"/>
      <c r="DK209" s="673">
        <f>+DK206/(DK207+DK208)</f>
        <v>2.3208238403572263</v>
      </c>
      <c r="DL209" s="677"/>
      <c r="DM209" s="673">
        <f>+DM206/(DM207+DM208)</f>
        <v>3.6600858869151462</v>
      </c>
      <c r="DN209" s="677"/>
      <c r="DO209" s="673">
        <f>+DO206/(DO207+DO208)</f>
        <v>2.7022691539594126</v>
      </c>
      <c r="DP209" s="677"/>
      <c r="DQ209" s="673">
        <f>+DQ206/(DQ207+DQ208)</f>
        <v>3.627713818354021</v>
      </c>
      <c r="DR209" s="677"/>
      <c r="DS209" s="673">
        <v>20.183188732618998</v>
      </c>
      <c r="DT209" s="677"/>
      <c r="DU209" s="673">
        <v>4.9586853953943324</v>
      </c>
      <c r="DV209" s="677"/>
      <c r="DW209" s="673">
        <v>8.3973468649139082</v>
      </c>
      <c r="DX209" s="677"/>
      <c r="DY209" s="673">
        <v>36.059817179169542</v>
      </c>
      <c r="DZ209" s="677"/>
      <c r="EA209" s="673">
        <v>41.480996427344543</v>
      </c>
      <c r="EB209" s="677"/>
      <c r="EC209" s="673">
        <v>9.1026711565299578</v>
      </c>
      <c r="ED209" s="677"/>
      <c r="EE209" s="673">
        <v>16.214441947014855</v>
      </c>
      <c r="EF209" s="677"/>
      <c r="EG209" s="709">
        <v>91.662924893306638</v>
      </c>
      <c r="EH209" s="719"/>
      <c r="EI209" s="709">
        <v>11.278592724831736</v>
      </c>
      <c r="EJ209" s="719"/>
      <c r="EK209" s="709">
        <v>10.903317932876849</v>
      </c>
      <c r="EL209" s="719"/>
      <c r="EM209" s="709">
        <v>6.2597908804164319</v>
      </c>
      <c r="EN209" s="719"/>
      <c r="EO209" s="709">
        <v>4.0062068070914103</v>
      </c>
      <c r="EP209" s="719"/>
      <c r="EQ209" s="709">
        <v>3.8935339982474657</v>
      </c>
      <c r="ER209" s="719"/>
      <c r="ES209" s="709">
        <v>4.3241528519429986</v>
      </c>
      <c r="ET209" s="719"/>
      <c r="EU209" s="709">
        <v>3.9940773422278744</v>
      </c>
      <c r="EV209" s="709"/>
      <c r="EW209" s="709">
        <v>3.2311423350055102</v>
      </c>
      <c r="EX209" s="709"/>
      <c r="EY209" s="709">
        <v>2.9565550028644525</v>
      </c>
      <c r="EZ209" s="709"/>
      <c r="FA209" s="709">
        <v>1.7997681738676465</v>
      </c>
      <c r="FB209" s="709"/>
      <c r="FC209" s="709">
        <v>1.7323297649246376</v>
      </c>
      <c r="FD209" s="709"/>
      <c r="FE209" s="709">
        <v>1.6881913920068636</v>
      </c>
      <c r="FF209" s="709"/>
      <c r="FG209" s="709">
        <v>2.7239247156406008</v>
      </c>
      <c r="FH209" s="709"/>
      <c r="FI209" s="709">
        <v>2.4013408066047561</v>
      </c>
      <c r="FJ209" s="709"/>
      <c r="FK209" s="709">
        <v>2.2690853211033484</v>
      </c>
      <c r="FL209" s="709"/>
      <c r="FM209" s="709">
        <v>1.8385584195589251</v>
      </c>
      <c r="FN209" s="709"/>
      <c r="FO209" s="709">
        <v>1.7464832271213382</v>
      </c>
      <c r="FP209" s="709"/>
      <c r="FQ209" s="709">
        <v>1.5321847802619797</v>
      </c>
      <c r="FR209" s="709"/>
      <c r="FS209" s="709">
        <v>1.4782150304097625</v>
      </c>
      <c r="FT209" s="709"/>
      <c r="FU209" s="709">
        <v>1.7362797069286948</v>
      </c>
      <c r="FV209" s="709"/>
      <c r="FW209" s="709">
        <v>1.3405389065551565</v>
      </c>
      <c r="FX209" s="709"/>
      <c r="FY209" s="709">
        <v>1.2626366636675315</v>
      </c>
      <c r="FZ209" s="709"/>
      <c r="GA209" s="709">
        <v>1.3380954095552235</v>
      </c>
      <c r="GB209" s="709"/>
      <c r="GC209" s="709">
        <v>1.699325154516538</v>
      </c>
      <c r="GD209" s="708"/>
      <c r="GE209" s="720"/>
      <c r="GF209" s="720"/>
      <c r="GG209" s="721" t="s">
        <v>495</v>
      </c>
    </row>
    <row r="210" spans="1:189" s="546" customFormat="1" ht="14.25" hidden="1" customHeight="1">
      <c r="B210" s="712"/>
      <c r="AT210" s="809"/>
      <c r="AV210" s="809"/>
      <c r="AX210" s="809"/>
      <c r="AZ210" s="809"/>
      <c r="BB210" s="809"/>
      <c r="BD210" s="809"/>
      <c r="BF210" s="809"/>
      <c r="BH210" s="809"/>
      <c r="BJ210" s="809"/>
      <c r="BL210" s="809"/>
      <c r="CY210" s="350"/>
      <c r="DA210" s="350"/>
      <c r="DC210" s="350"/>
      <c r="DD210" s="157"/>
      <c r="DE210" s="350"/>
      <c r="DF210" s="157"/>
      <c r="DG210" s="350"/>
      <c r="DH210" s="157"/>
      <c r="DI210" s="350"/>
      <c r="DJ210" s="157"/>
      <c r="DK210" s="673"/>
      <c r="DL210" s="659"/>
      <c r="DM210" s="673"/>
      <c r="DN210" s="659"/>
      <c r="DO210" s="673"/>
      <c r="DP210" s="659"/>
      <c r="DQ210" s="673"/>
      <c r="DR210" s="659"/>
      <c r="DS210" s="673"/>
      <c r="DT210" s="659"/>
      <c r="DU210" s="673"/>
      <c r="DV210" s="659"/>
      <c r="DW210" s="673"/>
      <c r="DX210" s="659"/>
      <c r="DY210" s="673"/>
      <c r="DZ210" s="659"/>
      <c r="EA210" s="673"/>
      <c r="EB210" s="659"/>
      <c r="EC210" s="673"/>
      <c r="ED210" s="659"/>
      <c r="EE210" s="673"/>
      <c r="EF210" s="659"/>
      <c r="EG210" s="709"/>
      <c r="EH210" s="710"/>
      <c r="EI210" s="709"/>
      <c r="EJ210" s="710"/>
      <c r="EK210" s="709"/>
      <c r="EL210" s="710"/>
      <c r="EM210" s="709"/>
      <c r="EN210" s="710"/>
      <c r="EO210" s="709"/>
      <c r="EP210" s="710"/>
      <c r="EQ210" s="709"/>
      <c r="ER210" s="710"/>
      <c r="ES210" s="709"/>
      <c r="ET210" s="710"/>
      <c r="EU210" s="709"/>
      <c r="EV210" s="709"/>
      <c r="EW210" s="709"/>
      <c r="EX210" s="709"/>
      <c r="EY210" s="709"/>
      <c r="EZ210" s="709"/>
      <c r="FA210" s="709"/>
      <c r="FB210" s="709"/>
      <c r="FC210" s="709"/>
      <c r="FD210" s="709"/>
      <c r="FE210" s="709"/>
      <c r="FF210" s="709"/>
      <c r="FG210" s="709"/>
      <c r="FH210" s="709"/>
      <c r="FI210" s="709"/>
      <c r="FJ210" s="709"/>
      <c r="FK210" s="709"/>
      <c r="FL210" s="709"/>
      <c r="FM210" s="709"/>
      <c r="FN210" s="709"/>
      <c r="FO210" s="709"/>
      <c r="FP210" s="709"/>
      <c r="FQ210" s="709"/>
      <c r="FR210" s="709"/>
      <c r="FS210" s="709"/>
      <c r="FT210" s="709"/>
      <c r="FU210" s="709"/>
      <c r="FV210" s="709"/>
      <c r="FW210" s="709"/>
      <c r="FX210" s="710"/>
      <c r="FY210" s="709"/>
      <c r="FZ210" s="709"/>
      <c r="GA210" s="709"/>
      <c r="GB210" s="709"/>
      <c r="GC210" s="709"/>
      <c r="GE210" s="711"/>
      <c r="GF210" s="711"/>
      <c r="GG210" s="711"/>
    </row>
    <row r="211" spans="1:189" s="546" customFormat="1" ht="14.25" hidden="1" customHeight="1">
      <c r="A211" s="707" t="s">
        <v>548</v>
      </c>
      <c r="B211" s="712"/>
      <c r="C211" s="708" t="s">
        <v>549</v>
      </c>
      <c r="D211" s="708" t="s">
        <v>550</v>
      </c>
      <c r="E211" s="708"/>
      <c r="F211" s="708"/>
      <c r="G211" s="708"/>
      <c r="H211" s="708"/>
      <c r="I211" s="708"/>
      <c r="J211" s="708"/>
      <c r="K211" s="708"/>
      <c r="L211" s="708"/>
      <c r="M211" s="708"/>
      <c r="N211" s="708"/>
      <c r="P211" s="708"/>
      <c r="R211" s="708"/>
      <c r="T211" s="708"/>
      <c r="V211" s="708"/>
      <c r="X211" s="708"/>
      <c r="Z211" s="708"/>
      <c r="AB211" s="708"/>
      <c r="AD211" s="708"/>
      <c r="AF211" s="708"/>
      <c r="AH211" s="708"/>
      <c r="AJ211" s="708"/>
      <c r="AL211" s="708"/>
      <c r="AN211" s="708"/>
      <c r="AP211" s="708"/>
      <c r="AR211" s="708"/>
      <c r="AT211" s="810"/>
      <c r="AV211" s="810"/>
      <c r="AX211" s="810"/>
      <c r="AZ211" s="810"/>
      <c r="BB211" s="810"/>
      <c r="BD211" s="810"/>
      <c r="BF211" s="810"/>
      <c r="BH211" s="810"/>
      <c r="BJ211" s="810"/>
      <c r="BL211" s="810"/>
      <c r="BN211" s="708"/>
      <c r="BP211" s="708"/>
      <c r="BR211" s="708"/>
      <c r="BT211" s="708"/>
      <c r="BV211" s="708"/>
      <c r="BX211" s="708"/>
      <c r="BZ211" s="708"/>
      <c r="CB211" s="708"/>
      <c r="CD211" s="708"/>
      <c r="CF211" s="708"/>
      <c r="CH211" s="708"/>
      <c r="CJ211" s="708"/>
      <c r="CL211" s="708"/>
      <c r="CN211" s="708"/>
      <c r="CY211" s="157"/>
      <c r="DA211" s="157"/>
      <c r="DC211" s="157"/>
      <c r="DD211" s="157"/>
      <c r="DE211" s="157"/>
      <c r="DF211" s="157"/>
      <c r="DG211" s="157"/>
      <c r="DH211" s="157"/>
      <c r="DI211" s="157"/>
      <c r="DJ211" s="157"/>
      <c r="DK211" s="659"/>
      <c r="DL211" s="659"/>
      <c r="DM211" s="659"/>
      <c r="DN211" s="659"/>
      <c r="DO211" s="659"/>
      <c r="DP211" s="659"/>
      <c r="DQ211" s="673"/>
      <c r="DR211" s="659"/>
      <c r="DS211" s="659"/>
      <c r="DT211" s="659"/>
      <c r="DU211" s="659"/>
      <c r="DV211" s="659"/>
      <c r="DW211" s="673"/>
      <c r="DX211" s="659"/>
      <c r="DY211" s="673"/>
      <c r="DZ211" s="659"/>
      <c r="EA211" s="659"/>
      <c r="EB211" s="659"/>
      <c r="EC211" s="710"/>
      <c r="ED211" s="710"/>
      <c r="EE211" s="710"/>
      <c r="EF211" s="659"/>
      <c r="EG211" s="710"/>
      <c r="EH211" s="710"/>
      <c r="EI211" s="710"/>
      <c r="EJ211" s="710"/>
      <c r="EK211" s="710"/>
      <c r="EL211" s="710"/>
      <c r="EM211" s="710"/>
      <c r="EN211" s="710"/>
      <c r="EO211" s="710"/>
      <c r="EP211" s="710"/>
      <c r="EQ211" s="710"/>
      <c r="ER211" s="710"/>
      <c r="ES211" s="710"/>
      <c r="ET211" s="710"/>
      <c r="EU211" s="710"/>
      <c r="EV211" s="710"/>
      <c r="EW211" s="710"/>
      <c r="EX211" s="710"/>
      <c r="EY211" s="710"/>
      <c r="EZ211" s="710"/>
      <c r="FA211" s="710"/>
      <c r="FB211" s="710"/>
      <c r="FC211" s="710"/>
      <c r="FD211" s="710"/>
      <c r="FE211" s="710"/>
      <c r="FF211" s="710"/>
      <c r="FG211" s="710"/>
      <c r="FH211" s="710"/>
      <c r="FI211" s="710"/>
      <c r="FJ211" s="710"/>
      <c r="FK211" s="710"/>
      <c r="FL211" s="710"/>
      <c r="FM211" s="710"/>
      <c r="FN211" s="710"/>
      <c r="FO211" s="710"/>
      <c r="FP211" s="710"/>
      <c r="FQ211" s="710"/>
      <c r="FR211" s="710"/>
      <c r="FS211" s="710"/>
      <c r="FT211" s="710"/>
      <c r="FU211" s="710"/>
      <c r="FV211" s="710"/>
      <c r="FW211" s="710"/>
      <c r="FX211" s="710"/>
      <c r="FY211" s="710"/>
      <c r="FZ211" s="710"/>
      <c r="GA211" s="710"/>
      <c r="GB211" s="710"/>
      <c r="GC211" s="710"/>
      <c r="GE211" s="711"/>
      <c r="GF211" s="711"/>
      <c r="GG211" s="722" t="s">
        <v>495</v>
      </c>
    </row>
    <row r="212" spans="1:189" s="546" customFormat="1" ht="14.25" hidden="1" customHeight="1">
      <c r="B212" s="712"/>
      <c r="C212" s="713"/>
      <c r="E212" s="713"/>
      <c r="O212" s="723"/>
      <c r="Q212" s="723"/>
      <c r="S212" s="1062"/>
      <c r="U212" s="1062"/>
      <c r="W212" s="723"/>
      <c r="Y212" s="723"/>
      <c r="AA212" s="723"/>
      <c r="AC212" s="723"/>
      <c r="AE212" s="723"/>
      <c r="AG212" s="723"/>
      <c r="AI212" s="723"/>
      <c r="AK212" s="723"/>
      <c r="AM212" s="723"/>
      <c r="AO212" s="723"/>
      <c r="AQ212" s="723"/>
      <c r="AS212" s="723"/>
      <c r="AT212" s="809"/>
      <c r="AU212" s="723"/>
      <c r="AV212" s="809"/>
      <c r="AW212" s="723"/>
      <c r="AX212" s="809"/>
      <c r="AY212" s="723"/>
      <c r="AZ212" s="809"/>
      <c r="BA212" s="723"/>
      <c r="BB212" s="809"/>
      <c r="BC212" s="723"/>
      <c r="BD212" s="809"/>
      <c r="BE212" s="723"/>
      <c r="BF212" s="809"/>
      <c r="BG212" s="723"/>
      <c r="BH212" s="809"/>
      <c r="BI212" s="723"/>
      <c r="BJ212" s="809"/>
      <c r="BK212" s="723"/>
      <c r="BL212" s="809"/>
      <c r="BM212" s="723"/>
      <c r="BO212" s="723"/>
      <c r="BQ212" s="723"/>
      <c r="BS212" s="723"/>
      <c r="BU212" s="723"/>
      <c r="BW212" s="723"/>
      <c r="BY212" s="723"/>
      <c r="CA212" s="723"/>
      <c r="CC212" s="723"/>
      <c r="CE212" s="723"/>
      <c r="CG212" s="723"/>
      <c r="CI212" s="723"/>
      <c r="CK212" s="723"/>
      <c r="CY212" s="157"/>
      <c r="DA212" s="157"/>
      <c r="DC212" s="157"/>
      <c r="DD212" s="157"/>
      <c r="DE212" s="157"/>
      <c r="DF212" s="157"/>
      <c r="DG212" s="157"/>
      <c r="DH212" s="157"/>
      <c r="DI212" s="157"/>
      <c r="DJ212" s="157"/>
      <c r="DK212" s="659"/>
      <c r="DL212" s="659"/>
      <c r="DM212" s="659"/>
      <c r="DN212" s="659"/>
      <c r="DO212" s="659"/>
      <c r="DP212" s="659"/>
      <c r="DQ212" s="673"/>
      <c r="DR212" s="659"/>
      <c r="DS212" s="659"/>
      <c r="DT212" s="659"/>
      <c r="DU212" s="659"/>
      <c r="DV212" s="659"/>
      <c r="DW212" s="673"/>
      <c r="DX212" s="659"/>
      <c r="DY212" s="673"/>
      <c r="DZ212" s="659"/>
      <c r="EA212" s="659"/>
      <c r="EB212" s="659"/>
      <c r="EC212" s="710"/>
      <c r="ED212" s="710"/>
      <c r="EE212" s="710"/>
      <c r="EF212" s="659"/>
      <c r="EG212" s="710"/>
      <c r="EH212" s="710"/>
      <c r="EI212" s="710"/>
      <c r="EJ212" s="710"/>
      <c r="EK212" s="710"/>
      <c r="EL212" s="710"/>
      <c r="EM212" s="710"/>
      <c r="EN212" s="710"/>
      <c r="EO212" s="710"/>
      <c r="EP212" s="710"/>
      <c r="EQ212" s="710"/>
      <c r="ER212" s="710"/>
      <c r="ES212" s="710"/>
      <c r="ET212" s="710"/>
      <c r="EU212" s="710"/>
      <c r="EV212" s="710"/>
      <c r="EW212" s="710"/>
      <c r="EX212" s="710"/>
      <c r="EY212" s="710"/>
      <c r="EZ212" s="710"/>
      <c r="FA212" s="710"/>
      <c r="FB212" s="710"/>
      <c r="FC212" s="710"/>
      <c r="FD212" s="710"/>
      <c r="FE212" s="710"/>
      <c r="FF212" s="710"/>
      <c r="FG212" s="710"/>
      <c r="FH212" s="710"/>
      <c r="FI212" s="710"/>
      <c r="FJ212" s="710"/>
      <c r="FK212" s="710"/>
      <c r="FL212" s="710"/>
      <c r="FM212" s="710"/>
      <c r="FN212" s="710"/>
      <c r="FO212" s="710"/>
      <c r="FP212" s="710"/>
      <c r="FQ212" s="710"/>
      <c r="FR212" s="710"/>
      <c r="FS212" s="710"/>
      <c r="FT212" s="710"/>
      <c r="FU212" s="710"/>
      <c r="FV212" s="710"/>
      <c r="FW212" s="710"/>
      <c r="FX212" s="710"/>
      <c r="FY212" s="710"/>
      <c r="FZ212" s="710"/>
      <c r="GA212" s="710"/>
      <c r="GB212" s="710"/>
      <c r="GC212" s="710"/>
      <c r="GE212" s="711"/>
      <c r="GF212" s="711"/>
      <c r="GG212" s="711"/>
    </row>
    <row r="213" spans="1:189" s="546" customFormat="1" ht="14.25" hidden="1" customHeight="1">
      <c r="B213" s="712"/>
      <c r="E213" s="715" t="s">
        <v>551</v>
      </c>
      <c r="O213" s="560">
        <f>SUM('P&amp;L -Dec25'!X113:Z113,'P&amp;L -Dec25'!X144:Z144)</f>
        <v>2586099.2799999998</v>
      </c>
      <c r="Q213" s="560">
        <f>SUM('P&amp;L -Dec25'!Z113:AB113,'P&amp;L -Dec25'!Z144:AB144)</f>
        <v>3280555.38</v>
      </c>
      <c r="S213" s="560">
        <v>3525900.6399999997</v>
      </c>
      <c r="U213" s="560">
        <v>13977145.76</v>
      </c>
      <c r="W213" s="560">
        <f>SUM('P&amp;L -Dec25'!AF113:AH113,'P&amp;L -Dec25'!AF144:AH144)</f>
        <v>14371581.15</v>
      </c>
      <c r="Y213" s="560">
        <f>SUM('P&amp;L -Dec25'!AH113:AJ113,'P&amp;L -Dec25'!AH144:AJ144)</f>
        <v>4922386.45</v>
      </c>
      <c r="AA213" s="560">
        <f>SUM('P&amp;L -Dec25'!AJ113:AL113,'P&amp;L -Dec25'!AJ144:AL144)</f>
        <v>7605360.3100000005</v>
      </c>
      <c r="AC213" s="560">
        <v>8518401.8800000008</v>
      </c>
      <c r="AE213" s="560">
        <f>SUM('P&amp;L -Dec25'!AN113:AP113,'P&amp;L -Dec25'!AN144:AP144)</f>
        <v>11251673.559999999</v>
      </c>
      <c r="AG213" s="560">
        <f>SUM('P&amp;L -Dec25'!AP113:AR113,'P&amp;L -Dec25'!AP144:AR144)</f>
        <v>12586882.309999999</v>
      </c>
      <c r="AI213" s="560">
        <v>12586882.309999999</v>
      </c>
      <c r="AK213" s="560">
        <v>38290277.609999999</v>
      </c>
      <c r="AM213" s="560">
        <v>38290277.609999999</v>
      </c>
      <c r="AO213" s="560">
        <v>36429170.93</v>
      </c>
      <c r="AQ213" s="560">
        <v>9339290.1600000001</v>
      </c>
      <c r="AS213" s="560">
        <v>7765117.3800000008</v>
      </c>
      <c r="AT213" s="809"/>
      <c r="AU213" s="560">
        <f>SUM('P&amp;L -Dec25'!AZ113:BB113,'P&amp;L -Dec25'!AZ144:BB144)</f>
        <v>9312906.0000000019</v>
      </c>
      <c r="AV213" s="809"/>
      <c r="AW213" s="560">
        <v>11222796.959999999</v>
      </c>
      <c r="AX213" s="809"/>
      <c r="AY213" s="560">
        <v>11222796.959999999</v>
      </c>
      <c r="AZ213" s="809"/>
      <c r="BA213" s="560">
        <v>48255427.910000004</v>
      </c>
      <c r="BB213" s="809"/>
      <c r="BC213" s="560">
        <v>51324261.200000003</v>
      </c>
      <c r="BD213" s="809"/>
      <c r="BE213" s="560">
        <v>16650709.520000001</v>
      </c>
      <c r="BF213" s="809"/>
      <c r="BG213" s="560">
        <v>19323363.720000003</v>
      </c>
      <c r="BH213" s="809"/>
      <c r="BI213" s="496">
        <v>22962000.539999999</v>
      </c>
      <c r="BJ213" s="809"/>
      <c r="BK213" s="496">
        <v>24196137.989999998</v>
      </c>
      <c r="BL213" s="809"/>
      <c r="BM213" s="496">
        <v>25055886.330000002</v>
      </c>
      <c r="BO213" s="496">
        <v>105245881.96000001</v>
      </c>
      <c r="BQ213" s="496">
        <v>30358286.970999997</v>
      </c>
      <c r="BS213" s="496">
        <v>34883728.990000002</v>
      </c>
      <c r="BU213" s="496">
        <f>SUM('P&amp;L -Dec25'!BZ113:CB113,'P&amp;L -Dec25'!BZ144:CB144)</f>
        <v>35856749.859999992</v>
      </c>
      <c r="BW213" s="560">
        <v>43673434.570000008</v>
      </c>
      <c r="BY213" s="496">
        <f>SUM('P&amp;L -Dec25'!CD113:CF113,'P&amp;L -Dec25'!CD144:CF144)</f>
        <v>42792799.630000003</v>
      </c>
      <c r="CA213" s="496">
        <v>44510838.180000007</v>
      </c>
      <c r="CC213" s="560">
        <v>43673434.570000008</v>
      </c>
      <c r="CE213" s="560">
        <v>39642331.280000001</v>
      </c>
      <c r="CG213" s="496">
        <f>SUM('P&amp;L -Dec25'!BZ113:CB113,'P&amp;L -Dec25'!BZ144:CB144)</f>
        <v>35856749.859999992</v>
      </c>
      <c r="CI213" s="560">
        <v>34918097.57</v>
      </c>
      <c r="CK213" s="557">
        <v>34883728.990000002</v>
      </c>
      <c r="CM213" s="343">
        <f>SUM('P&amp;L -Dec25'!BW113:BY113,'P&amp;L -Dec25'!BW144:BY144)</f>
        <v>32600408.691</v>
      </c>
      <c r="CO213" s="343">
        <f>SUM('P&amp;L -Dec25'!BV113:BX113,'P&amp;L -Dec25'!BV144:BX144)</f>
        <v>30358286.970999997</v>
      </c>
      <c r="CQ213" s="343">
        <f>SUM('P&amp;L -Dec25'!BV113:BW113,'P&amp;L -Dec25'!BT113,'P&amp;L -Dec25'!BT144,'P&amp;L -Dec25'!BV144:BW144)</f>
        <v>28747966.920999996</v>
      </c>
      <c r="CS213" s="343">
        <f>SUM('P&amp;L -Dec25'!BV144,'P&amp;L -Dec25'!BS144:BT144,'P&amp;L -Dec25'!BS113:BT113,'P&amp;L -Dec25'!BV113)</f>
        <v>27299292.509999998</v>
      </c>
      <c r="CU213" s="343">
        <f>SUM('P&amp;L -Dec25'!BR144:BT144,'P&amp;L -Dec25'!BR113:BT113)</f>
        <v>25055886.329999998</v>
      </c>
      <c r="CW213" s="343">
        <f>SUM('P&amp;L -Dec25'!BQ144:BS144,'P&amp;L -Dec25'!BQ113:BS113)</f>
        <v>23751540.52</v>
      </c>
      <c r="CY213" s="343">
        <f>'P&amp;L -Dec25'!BR113+'P&amp;L -Dec25'!BQ113+'P&amp;L -Dec25'!BP113+'P&amp;L -Dec25'!BR144+'P&amp;L -Dec25'!BQ144+'P&amp;L -Dec25'!BP144</f>
        <v>24196137.990000002</v>
      </c>
      <c r="DA213" s="343">
        <f>'P&amp;L -Dec25'!BQ144+'P&amp;L -Dec25'!BQ113+'P&amp;L -Dec25'!BP113+'P&amp;L -Dec25'!BO113</f>
        <v>24469715.399999999</v>
      </c>
      <c r="DC213" s="343">
        <f>+'P&amp;L -Dec25'!BP113+'P&amp;L -Dec25'!BO113+'P&amp;L -Dec25'!BN113</f>
        <v>22962000.539999999</v>
      </c>
      <c r="DD213" s="157"/>
      <c r="DE213" s="343">
        <f>+'P&amp;L -Dec25'!BM113+'P&amp;L -Dec25'!BO113+'P&amp;L -Dec25'!BN113</f>
        <v>21445673.09</v>
      </c>
      <c r="DF213" s="157"/>
      <c r="DG213" s="343">
        <f>+'P&amp;L -Dec25'!BM113+'P&amp;L -Dec25'!BL113+'P&amp;L -Dec25'!BN113</f>
        <v>19323363.719999999</v>
      </c>
      <c r="DH213" s="157"/>
      <c r="DI213" s="343">
        <f>+'P&amp;L -Dec25'!BM113+'P&amp;L -Dec25'!BL113+'P&amp;L -Dec25'!BK113</f>
        <v>18006660.560000002</v>
      </c>
      <c r="DJ213" s="157"/>
      <c r="DK213" s="666"/>
      <c r="DL213" s="666"/>
      <c r="DM213" s="666"/>
      <c r="DN213" s="666"/>
      <c r="DO213" s="673"/>
      <c r="DP213" s="659"/>
      <c r="DQ213" s="673"/>
      <c r="DR213" s="659"/>
      <c r="DS213" s="673"/>
      <c r="DT213" s="659"/>
      <c r="DU213" s="673"/>
      <c r="DV213" s="659"/>
      <c r="DW213" s="673"/>
      <c r="DX213" s="659"/>
      <c r="DY213" s="673"/>
      <c r="DZ213" s="717"/>
      <c r="EA213" s="659"/>
      <c r="EB213" s="659"/>
      <c r="EC213" s="710"/>
      <c r="ED213" s="710"/>
      <c r="EE213" s="710"/>
      <c r="EF213" s="659"/>
      <c r="EG213" s="710"/>
      <c r="EH213" s="710"/>
      <c r="EI213" s="710"/>
      <c r="EJ213" s="710"/>
      <c r="EK213" s="710"/>
      <c r="EL213" s="710"/>
      <c r="EM213" s="710"/>
      <c r="EN213" s="710"/>
      <c r="EO213" s="717"/>
      <c r="EP213" s="710"/>
      <c r="EQ213" s="666"/>
      <c r="ER213" s="710"/>
      <c r="ES213" s="666"/>
      <c r="ET213" s="710"/>
      <c r="EU213" s="717"/>
      <c r="EV213" s="710"/>
      <c r="EW213" s="710"/>
      <c r="EX213" s="710"/>
      <c r="EY213" s="710"/>
      <c r="EZ213" s="710"/>
      <c r="FA213" s="710"/>
      <c r="FB213" s="710"/>
      <c r="FC213" s="710"/>
      <c r="FD213" s="710"/>
      <c r="FE213" s="710"/>
      <c r="FF213" s="710"/>
      <c r="FG213" s="710"/>
      <c r="FH213" s="710"/>
      <c r="FI213" s="710"/>
      <c r="FJ213" s="710"/>
      <c r="FK213" s="710"/>
      <c r="FL213" s="710"/>
      <c r="FM213" s="710"/>
      <c r="FN213" s="710"/>
      <c r="FO213" s="710"/>
      <c r="FP213" s="710"/>
      <c r="FQ213" s="710"/>
      <c r="FR213" s="710"/>
      <c r="FS213" s="710"/>
      <c r="FT213" s="710"/>
      <c r="FU213" s="710"/>
      <c r="FV213" s="710"/>
      <c r="FW213" s="710"/>
      <c r="FX213" s="710"/>
      <c r="FY213" s="710"/>
      <c r="FZ213" s="710"/>
      <c r="GA213" s="710"/>
      <c r="GB213" s="710"/>
      <c r="GC213" s="710"/>
      <c r="GE213" s="711"/>
      <c r="GF213" s="711"/>
      <c r="GG213" s="711"/>
    </row>
    <row r="214" spans="1:189" s="546" customFormat="1" ht="14.25" hidden="1" customHeight="1">
      <c r="A214" s="715"/>
      <c r="B214" s="716"/>
      <c r="C214" s="715"/>
      <c r="D214" s="715"/>
      <c r="E214" s="715" t="s">
        <v>552</v>
      </c>
      <c r="F214" s="715"/>
      <c r="G214" s="715"/>
      <c r="H214" s="715"/>
      <c r="I214" s="715"/>
      <c r="J214" s="715"/>
      <c r="K214" s="715"/>
      <c r="L214" s="715"/>
      <c r="M214" s="715"/>
      <c r="N214" s="715"/>
      <c r="O214" s="557" t="e">
        <f>AVERAGE('Notes - Dec25'!#REF!)</f>
        <v>#REF!</v>
      </c>
      <c r="P214" s="715"/>
      <c r="Q214" s="557" t="e">
        <f>AVERAGE('Notes - Dec25'!#REF!)</f>
        <v>#REF!</v>
      </c>
      <c r="R214" s="715"/>
      <c r="S214" s="557" t="e">
        <v>#REF!</v>
      </c>
      <c r="T214" s="715"/>
      <c r="U214" s="557" t="e">
        <v>#REF!</v>
      </c>
      <c r="V214" s="715"/>
      <c r="W214" s="557" t="e">
        <f>AVERAGE('Notes - Dec25'!#REF!)</f>
        <v>#REF!</v>
      </c>
      <c r="X214" s="715"/>
      <c r="Y214" s="557" t="e">
        <f>AVERAGE('Notes - Dec25'!#REF!)</f>
        <v>#REF!</v>
      </c>
      <c r="Z214" s="715"/>
      <c r="AA214" s="557" t="e">
        <f>AVERAGE('Notes - Dec25'!#REF!)</f>
        <v>#REF!</v>
      </c>
      <c r="AB214" s="715"/>
      <c r="AC214" s="557" t="e">
        <v>#REF!</v>
      </c>
      <c r="AD214" s="715"/>
      <c r="AE214" s="557" t="e">
        <f>AVERAGE('Notes - Dec25'!#REF!)</f>
        <v>#REF!</v>
      </c>
      <c r="AF214" s="715"/>
      <c r="AG214" s="557" t="e">
        <f>AVERAGE('Notes - Dec25'!#REF!)</f>
        <v>#REF!</v>
      </c>
      <c r="AH214" s="715"/>
      <c r="AI214" s="557" t="e">
        <v>#REF!</v>
      </c>
      <c r="AJ214" s="715"/>
      <c r="AK214" s="557" t="e">
        <v>#REF!</v>
      </c>
      <c r="AL214" s="715"/>
      <c r="AM214" s="557" t="e">
        <v>#REF!</v>
      </c>
      <c r="AN214" s="715"/>
      <c r="AO214" s="557" t="e">
        <v>#REF!</v>
      </c>
      <c r="AP214" s="715"/>
      <c r="AQ214" s="557" t="e">
        <v>#REF!</v>
      </c>
      <c r="AR214" s="715"/>
      <c r="AS214" s="557" t="e">
        <v>#REF!</v>
      </c>
      <c r="AT214" s="809"/>
      <c r="AU214" s="557" t="e">
        <f>AVERAGE('Notes - Dec25'!#REF!)</f>
        <v>#REF!</v>
      </c>
      <c r="AV214" s="809"/>
      <c r="AW214" s="557" t="e">
        <v>#REF!</v>
      </c>
      <c r="AX214" s="809"/>
      <c r="AY214" s="557" t="e">
        <v>#REF!</v>
      </c>
      <c r="AZ214" s="809"/>
      <c r="BA214" s="557" t="e">
        <v>#REF!</v>
      </c>
      <c r="BB214" s="809"/>
      <c r="BC214" s="557" t="e">
        <v>#REF!</v>
      </c>
      <c r="BD214" s="809"/>
      <c r="BE214" s="557" t="e">
        <v>#REF!</v>
      </c>
      <c r="BF214" s="809"/>
      <c r="BG214" s="557" t="e">
        <v>#REF!</v>
      </c>
      <c r="BH214" s="809"/>
      <c r="BI214" s="343" t="e">
        <v>#REF!</v>
      </c>
      <c r="BJ214" s="809"/>
      <c r="BK214" s="343" t="e">
        <v>#REF!</v>
      </c>
      <c r="BL214" s="809"/>
      <c r="BM214" s="343" t="e">
        <v>#REF!</v>
      </c>
      <c r="BN214" s="715"/>
      <c r="BO214" s="343" t="e">
        <v>#REF!</v>
      </c>
      <c r="BP214" s="715"/>
      <c r="BQ214" s="343" t="e">
        <v>#REF!</v>
      </c>
      <c r="BR214" s="715"/>
      <c r="BS214" s="343" t="e">
        <v>#REF!</v>
      </c>
      <c r="BT214" s="715"/>
      <c r="BU214" s="343" t="e">
        <f>AVERAGE('Notes - Dec25'!#REF!)</f>
        <v>#REF!</v>
      </c>
      <c r="BV214" s="715"/>
      <c r="BW214" s="557">
        <v>703422210.65666676</v>
      </c>
      <c r="BX214" s="715"/>
      <c r="BY214" s="343">
        <f>AVERAGE('Notes - Dec25'!BU6:BY6)</f>
        <v>685950137.59666669</v>
      </c>
      <c r="BZ214" s="715"/>
      <c r="CA214" s="343">
        <v>660402403.78666675</v>
      </c>
      <c r="CB214" s="715"/>
      <c r="CC214" s="557">
        <v>640587706.63999999</v>
      </c>
      <c r="CD214" s="715"/>
      <c r="CE214" s="557">
        <v>603748355.64333332</v>
      </c>
      <c r="CF214" s="715"/>
      <c r="CG214" s="343">
        <f>AVERAGE('Notes - Dec25'!CC6:CG6)</f>
        <v>581040651.99333334</v>
      </c>
      <c r="CH214" s="715"/>
      <c r="CI214" s="557">
        <v>555249205.57333326</v>
      </c>
      <c r="CJ214" s="715"/>
      <c r="CK214" s="557">
        <v>529985906.31999999</v>
      </c>
      <c r="CL214" s="715"/>
      <c r="CM214" s="343">
        <f>AVERAGE('Notes - Dec25'!CI6:CM6)</f>
        <v>503244236.55999994</v>
      </c>
      <c r="CN214" s="715"/>
      <c r="CO214" s="343">
        <f>AVERAGE('Notes - Dec25'!CK6:CO6)</f>
        <v>478528620.45333332</v>
      </c>
      <c r="CQ214" s="343">
        <f>AVERAGE('Notes - Dec25'!CM6:CQ6)</f>
        <v>459124708.13333338</v>
      </c>
      <c r="CS214" s="343">
        <f>AVERAGE('Notes - Dec25'!CO6:CS6)</f>
        <v>436249293.67666674</v>
      </c>
      <c r="CU214" s="343">
        <f>AVERAGE('Notes - Dec25'!CQ6:CU6)</f>
        <v>415637116.93666667</v>
      </c>
      <c r="CW214" s="343">
        <f>AVERAGE('Notes - Dec25'!CS6:CW6)</f>
        <v>402391470.67666668</v>
      </c>
      <c r="CY214" s="343">
        <f>AVERAGE('Notes - Dec25'!CU6:CY6)</f>
        <v>389368416.29333329</v>
      </c>
      <c r="DA214" s="343">
        <f>AVERAGE('Notes - Dec25'!CW6:DA6)</f>
        <v>369898800.18333334</v>
      </c>
      <c r="DC214" s="343">
        <f>AVERAGE('Notes - Dec25'!CY6:DC6)</f>
        <v>339693721.11333328</v>
      </c>
      <c r="DD214" s="157"/>
      <c r="DE214" s="343">
        <f>AVERAGE('Notes - Dec25'!DA6:DE6)</f>
        <v>311329282.93333334</v>
      </c>
      <c r="DF214" s="157"/>
      <c r="DG214" s="343">
        <f>AVERAGE('Notes - Dec25'!DC6:DG6)</f>
        <v>288770340.16333336</v>
      </c>
      <c r="DH214" s="157"/>
      <c r="DI214" s="343">
        <f>AVERAGE('Notes - Dec25'!DE6:DI6)</f>
        <v>271651458.31</v>
      </c>
      <c r="DJ214" s="157"/>
      <c r="DK214" s="673"/>
      <c r="DL214" s="673"/>
      <c r="DM214" s="673"/>
      <c r="DN214" s="659"/>
      <c r="DO214" s="673"/>
      <c r="DP214" s="659"/>
      <c r="DQ214" s="673"/>
      <c r="DR214" s="659"/>
      <c r="DS214" s="673"/>
      <c r="DT214" s="659"/>
      <c r="DU214" s="673"/>
      <c r="DV214" s="659"/>
      <c r="DW214" s="673"/>
      <c r="DX214" s="659"/>
      <c r="DY214" s="673"/>
      <c r="DZ214" s="659"/>
      <c r="EA214" s="659"/>
      <c r="EB214" s="659"/>
      <c r="EC214" s="710"/>
      <c r="ED214" s="710"/>
      <c r="EE214" s="710"/>
      <c r="EF214" s="659"/>
      <c r="EG214" s="710"/>
      <c r="EH214" s="710"/>
      <c r="EI214" s="710"/>
      <c r="EJ214" s="710"/>
      <c r="EK214" s="710"/>
      <c r="EL214" s="710"/>
      <c r="EM214" s="710"/>
      <c r="EN214" s="710"/>
      <c r="EO214" s="717"/>
      <c r="EP214" s="710"/>
      <c r="EQ214" s="666"/>
      <c r="ER214" s="710"/>
      <c r="ES214" s="666"/>
      <c r="ET214" s="710"/>
      <c r="EU214" s="717"/>
      <c r="EV214" s="710"/>
      <c r="EW214" s="710"/>
      <c r="EX214" s="710"/>
      <c r="EY214" s="710"/>
      <c r="EZ214" s="710"/>
      <c r="FA214" s="710"/>
      <c r="FB214" s="710"/>
      <c r="FC214" s="710"/>
      <c r="FD214" s="710"/>
      <c r="FE214" s="710"/>
      <c r="FF214" s="710"/>
      <c r="FG214" s="710"/>
      <c r="FH214" s="710"/>
      <c r="FI214" s="710"/>
      <c r="FJ214" s="710"/>
      <c r="FK214" s="710"/>
      <c r="FL214" s="710"/>
      <c r="FM214" s="710"/>
      <c r="FN214" s="710"/>
      <c r="FO214" s="710"/>
      <c r="FP214" s="710"/>
      <c r="FQ214" s="710"/>
      <c r="FR214" s="710"/>
      <c r="FS214" s="710"/>
      <c r="FT214" s="710"/>
      <c r="FU214" s="710"/>
      <c r="FV214" s="710"/>
      <c r="FW214" s="710"/>
      <c r="FX214" s="710"/>
      <c r="FY214" s="710"/>
      <c r="FZ214" s="710"/>
      <c r="GA214" s="710"/>
      <c r="GB214" s="710"/>
      <c r="GC214" s="710"/>
      <c r="GE214" s="711"/>
      <c r="GF214" s="711"/>
      <c r="GG214" s="711"/>
    </row>
    <row r="215" spans="1:189" s="546" customFormat="1" ht="14.25" hidden="1" customHeight="1">
      <c r="A215" s="715"/>
      <c r="B215" s="716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558" t="e">
        <f>+O213/O214</f>
        <v>#REF!</v>
      </c>
      <c r="P215" s="715"/>
      <c r="Q215" s="558" t="e">
        <f>+Q213/Q214</f>
        <v>#REF!</v>
      </c>
      <c r="R215" s="715"/>
      <c r="S215" s="558" t="e">
        <v>#REF!</v>
      </c>
      <c r="T215" s="715"/>
      <c r="U215" s="558" t="e">
        <v>#REF!</v>
      </c>
      <c r="V215" s="715"/>
      <c r="W215" s="558" t="e">
        <f>+W213/W214</f>
        <v>#REF!</v>
      </c>
      <c r="X215" s="715"/>
      <c r="Y215" s="558" t="e">
        <f>+Y213/Y214</f>
        <v>#REF!</v>
      </c>
      <c r="Z215" s="715"/>
      <c r="AA215" s="558" t="e">
        <f>+AA213/AA214</f>
        <v>#REF!</v>
      </c>
      <c r="AB215" s="715"/>
      <c r="AC215" s="558" t="e">
        <v>#REF!</v>
      </c>
      <c r="AD215" s="715"/>
      <c r="AE215" s="558" t="e">
        <f>+AE213/AE214</f>
        <v>#REF!</v>
      </c>
      <c r="AF215" s="715"/>
      <c r="AG215" s="558" t="e">
        <f>+AG213/AG214</f>
        <v>#REF!</v>
      </c>
      <c r="AH215" s="715"/>
      <c r="AI215" s="558" t="e">
        <v>#REF!</v>
      </c>
      <c r="AJ215" s="715"/>
      <c r="AK215" s="558" t="e">
        <v>#REF!</v>
      </c>
      <c r="AL215" s="715"/>
      <c r="AM215" s="558" t="e">
        <v>#REF!</v>
      </c>
      <c r="AN215" s="715"/>
      <c r="AO215" s="558" t="e">
        <v>#REF!</v>
      </c>
      <c r="AP215" s="715"/>
      <c r="AQ215" s="558" t="e">
        <v>#REF!</v>
      </c>
      <c r="AR215" s="715"/>
      <c r="AS215" s="558" t="e">
        <v>#REF!</v>
      </c>
      <c r="AT215" s="809"/>
      <c r="AU215" s="558" t="e">
        <f>+AU213/AU214</f>
        <v>#REF!</v>
      </c>
      <c r="AV215" s="809"/>
      <c r="AW215" s="558" t="e">
        <f>+AW213/AW214</f>
        <v>#REF!</v>
      </c>
      <c r="AX215" s="809"/>
      <c r="AY215" s="558" t="e">
        <v>#REF!</v>
      </c>
      <c r="AZ215" s="809"/>
      <c r="BA215" s="558" t="e">
        <v>#REF!</v>
      </c>
      <c r="BB215" s="809"/>
      <c r="BC215" s="558" t="e">
        <v>#REF!</v>
      </c>
      <c r="BD215" s="809"/>
      <c r="BE215" s="558" t="e">
        <v>#REF!</v>
      </c>
      <c r="BF215" s="809"/>
      <c r="BG215" s="558" t="e">
        <v>#REF!</v>
      </c>
      <c r="BH215" s="809"/>
      <c r="BI215" s="350" t="e">
        <v>#REF!</v>
      </c>
      <c r="BJ215" s="809"/>
      <c r="BK215" s="350" t="e">
        <v>#REF!</v>
      </c>
      <c r="BL215" s="809"/>
      <c r="BM215" s="350" t="e">
        <v>#REF!</v>
      </c>
      <c r="BN215" s="715"/>
      <c r="BO215" s="350" t="e">
        <v>#REF!</v>
      </c>
      <c r="BP215" s="715"/>
      <c r="BQ215" s="350" t="e">
        <v>#REF!</v>
      </c>
      <c r="BR215" s="715"/>
      <c r="BS215" s="350" t="e">
        <v>#REF!</v>
      </c>
      <c r="BT215" s="715"/>
      <c r="BU215" s="350" t="e">
        <f>+BU213/BU214</f>
        <v>#REF!</v>
      </c>
      <c r="BV215" s="715"/>
      <c r="BW215" s="558">
        <v>6.2087084980199138E-2</v>
      </c>
      <c r="BX215" s="715"/>
      <c r="BY215" s="350">
        <f>+BY213/BY214</f>
        <v>6.238470886518261E-2</v>
      </c>
      <c r="BZ215" s="715"/>
      <c r="CA215" s="350">
        <v>6.7399570208679274E-2</v>
      </c>
      <c r="CB215" s="715"/>
      <c r="CC215" s="558">
        <v>6.8177135023516425E-2</v>
      </c>
      <c r="CD215" s="715"/>
      <c r="CE215" s="558">
        <v>6.5660354863838102E-2</v>
      </c>
      <c r="CF215" s="715"/>
      <c r="CG215" s="350">
        <f>+CG213/CG214</f>
        <v>6.1711258475614199E-2</v>
      </c>
      <c r="CH215" s="715"/>
      <c r="CI215" s="558">
        <v>6.2887253542208393E-2</v>
      </c>
      <c r="CJ215" s="715"/>
      <c r="CK215" s="558">
        <v>6.5820106863252265E-2</v>
      </c>
      <c r="CL215" s="715"/>
      <c r="CM215" s="350">
        <f>+CM213/CM214</f>
        <v>6.4780490908042762E-2</v>
      </c>
      <c r="CN215" s="715"/>
      <c r="CO215" s="350">
        <f>+CO213/CO214</f>
        <v>6.3440901282435569E-2</v>
      </c>
      <c r="CQ215" s="350">
        <f>+CQ213/CQ214</f>
        <v>6.2614724086361664E-2</v>
      </c>
      <c r="CS215" s="350">
        <f>+CS213/CS214</f>
        <v>6.2577276125593717E-2</v>
      </c>
      <c r="CU215" s="350">
        <f>+CU213/CU214</f>
        <v>6.0283081825480776E-2</v>
      </c>
      <c r="CW215" s="350">
        <f>+CW213/CW214</f>
        <v>5.9025954203400739E-2</v>
      </c>
      <c r="CY215" s="350">
        <f>+CY213/CY214</f>
        <v>6.2142015062083722E-2</v>
      </c>
      <c r="DA215" s="350">
        <f>+DA213/DA214</f>
        <v>6.6152459504794411E-2</v>
      </c>
      <c r="DC215" s="350">
        <f>+DC213/DC214</f>
        <v>6.7596187720935536E-2</v>
      </c>
      <c r="DD215" s="157"/>
      <c r="DE215" s="350">
        <f>+DE213/DE214</f>
        <v>6.8884214449535991E-2</v>
      </c>
      <c r="DF215" s="157"/>
      <c r="DG215" s="350">
        <f>+DG213/DG214</f>
        <v>6.6916026448804886E-2</v>
      </c>
      <c r="DH215" s="157"/>
      <c r="DI215" s="350">
        <f>+DI213/DI214</f>
        <v>6.6285896906363648E-2</v>
      </c>
      <c r="DJ215" s="157"/>
      <c r="DK215" s="673"/>
      <c r="DL215" s="673"/>
      <c r="DM215" s="673"/>
      <c r="DN215" s="659"/>
      <c r="DO215" s="673"/>
      <c r="DP215" s="659"/>
      <c r="DQ215" s="673"/>
      <c r="DR215" s="659"/>
      <c r="DS215" s="673"/>
      <c r="DT215" s="659"/>
      <c r="DU215" s="673"/>
      <c r="DV215" s="659"/>
      <c r="DW215" s="673"/>
      <c r="DX215" s="659"/>
      <c r="DY215" s="673"/>
      <c r="DZ215" s="659"/>
      <c r="EA215" s="659"/>
      <c r="EB215" s="659"/>
      <c r="EC215" s="710"/>
      <c r="ED215" s="710"/>
      <c r="EE215" s="710"/>
      <c r="EF215" s="659"/>
      <c r="EG215" s="710"/>
      <c r="EH215" s="710"/>
      <c r="EI215" s="710"/>
      <c r="EJ215" s="710"/>
      <c r="EK215" s="710"/>
      <c r="EL215" s="710"/>
      <c r="EM215" s="710"/>
      <c r="EN215" s="710"/>
      <c r="EO215" s="709"/>
      <c r="EP215" s="710"/>
      <c r="EQ215" s="709"/>
      <c r="ER215" s="710"/>
      <c r="ES215" s="709"/>
      <c r="ET215" s="710"/>
      <c r="EU215" s="709"/>
      <c r="EV215" s="710"/>
      <c r="EW215" s="710"/>
      <c r="EX215" s="710"/>
      <c r="EY215" s="710"/>
      <c r="EZ215" s="710"/>
      <c r="FA215" s="710"/>
      <c r="FB215" s="710"/>
      <c r="FC215" s="710"/>
      <c r="FD215" s="710"/>
      <c r="FE215" s="710"/>
      <c r="FF215" s="710"/>
      <c r="FG215" s="710"/>
      <c r="FH215" s="710"/>
      <c r="FI215" s="710"/>
      <c r="FJ215" s="710"/>
      <c r="FK215" s="710"/>
      <c r="FL215" s="710"/>
      <c r="FM215" s="710"/>
      <c r="FN215" s="710"/>
      <c r="FO215" s="710"/>
      <c r="FP215" s="710"/>
      <c r="FQ215" s="710"/>
      <c r="FR215" s="710"/>
      <c r="FS215" s="710"/>
      <c r="FT215" s="710"/>
      <c r="FU215" s="710"/>
      <c r="FV215" s="710"/>
      <c r="FW215" s="710"/>
      <c r="FX215" s="710"/>
      <c r="FY215" s="710"/>
      <c r="FZ215" s="710"/>
      <c r="GA215" s="710"/>
      <c r="GB215" s="710"/>
      <c r="GC215" s="710"/>
      <c r="GE215" s="711"/>
      <c r="GF215" s="711"/>
      <c r="GG215" s="711"/>
    </row>
  </sheetData>
  <conditionalFormatting sqref="G7">
    <cfRule type="cellIs" dxfId="1239" priority="17" operator="greaterThan">
      <formula>7</formula>
    </cfRule>
    <cfRule type="cellIs" dxfId="1238" priority="31" operator="lessThan">
      <formula>7</formula>
    </cfRule>
  </conditionalFormatting>
  <conditionalFormatting sqref="G13">
    <cfRule type="cellIs" dxfId="1237" priority="18" operator="lessThan">
      <formula>0.15</formula>
    </cfRule>
    <cfRule type="cellIs" dxfId="1236" priority="30" operator="greaterThan">
      <formula>0.15</formula>
    </cfRule>
  </conditionalFormatting>
  <conditionalFormatting sqref="G18">
    <cfRule type="cellIs" dxfId="1235" priority="7" operator="lessThan">
      <formula>1</formula>
    </cfRule>
    <cfRule type="cellIs" dxfId="1234" priority="8" operator="greaterThan">
      <formula>1</formula>
    </cfRule>
  </conditionalFormatting>
  <conditionalFormatting sqref="G24">
    <cfRule type="cellIs" dxfId="1233" priority="5" operator="lessThan">
      <formula>0.15</formula>
    </cfRule>
    <cfRule type="cellIs" dxfId="1232" priority="6" operator="greaterThan">
      <formula>0.15</formula>
    </cfRule>
  </conditionalFormatting>
  <conditionalFormatting sqref="G30">
    <cfRule type="cellIs" dxfId="1231" priority="9" operator="lessThan">
      <formula>0.05</formula>
    </cfRule>
    <cfRule type="cellIs" dxfId="1230" priority="10" operator="greaterThan">
      <formula>0.05</formula>
    </cfRule>
  </conditionalFormatting>
  <conditionalFormatting sqref="G37">
    <cfRule type="cellIs" dxfId="1229" priority="1" operator="greaterThan">
      <formula>0.1</formula>
    </cfRule>
    <cfRule type="cellIs" dxfId="1228" priority="2" operator="lessThan">
      <formula>0.1</formula>
    </cfRule>
  </conditionalFormatting>
  <conditionalFormatting sqref="G42">
    <cfRule type="cellIs" dxfId="1227" priority="22" operator="lessThan">
      <formula>0.12</formula>
    </cfRule>
    <cfRule type="cellIs" dxfId="1226" priority="23" operator="greaterThan">
      <formula>0.12</formula>
    </cfRule>
  </conditionalFormatting>
  <conditionalFormatting sqref="G48">
    <cfRule type="cellIs" dxfId="1225" priority="11" operator="greaterThan">
      <formula>1</formula>
    </cfRule>
    <cfRule type="cellIs" dxfId="1224" priority="12" operator="lessThan">
      <formula>1</formula>
    </cfRule>
  </conditionalFormatting>
  <conditionalFormatting sqref="G55">
    <cfRule type="cellIs" dxfId="1223" priority="19" operator="lessThan">
      <formula>0.15</formula>
    </cfRule>
    <cfRule type="cellIs" dxfId="1222" priority="29" operator="greaterThan">
      <formula>0.15</formula>
    </cfRule>
  </conditionalFormatting>
  <conditionalFormatting sqref="G61">
    <cfRule type="cellIs" dxfId="1221" priority="15" operator="lessThan">
      <formula>0.7</formula>
    </cfRule>
    <cfRule type="cellIs" dxfId="1220" priority="16" operator="greaterThan">
      <formula>0.7</formula>
    </cfRule>
  </conditionalFormatting>
  <conditionalFormatting sqref="G69">
    <cfRule type="cellIs" dxfId="1219" priority="21" operator="greaterThan">
      <formula>0.1</formula>
    </cfRule>
    <cfRule type="cellIs" dxfId="1218" priority="24" operator="lessThan">
      <formula>0.1</formula>
    </cfRule>
  </conditionalFormatting>
  <conditionalFormatting sqref="G77">
    <cfRule type="cellIs" dxfId="1217" priority="28" operator="lessThan">
      <formula>0.2</formula>
    </cfRule>
  </conditionalFormatting>
  <conditionalFormatting sqref="G86">
    <cfRule type="cellIs" dxfId="1216" priority="26" operator="lessThan">
      <formula>0.2</formula>
    </cfRule>
    <cfRule type="cellIs" dxfId="1215" priority="27" operator="greaterThan">
      <formula>-0.2</formula>
    </cfRule>
  </conditionalFormatting>
  <conditionalFormatting sqref="G104">
    <cfRule type="cellIs" dxfId="1214" priority="20" operator="greaterThan">
      <formula>0.25</formula>
    </cfRule>
    <cfRule type="cellIs" dxfId="1213" priority="25" operator="lessThan">
      <formula>0.25</formula>
    </cfRule>
  </conditionalFormatting>
  <conditionalFormatting sqref="G110">
    <cfRule type="cellIs" dxfId="1212" priority="3" operator="lessThan">
      <formula>2</formula>
    </cfRule>
    <cfRule type="cellIs" dxfId="1211" priority="4" operator="greaterThan">
      <formula>2</formula>
    </cfRule>
  </conditionalFormatting>
  <conditionalFormatting sqref="G116">
    <cfRule type="cellIs" dxfId="1210" priority="13" operator="lessThan">
      <formula>0.2</formula>
    </cfRule>
    <cfRule type="cellIs" dxfId="1209" priority="14" operator="greaterThan">
      <formula>0.2</formula>
    </cfRule>
  </conditionalFormatting>
  <conditionalFormatting sqref="I7">
    <cfRule type="cellIs" dxfId="1208" priority="48" operator="greaterThan">
      <formula>7</formula>
    </cfRule>
    <cfRule type="cellIs" dxfId="1207" priority="62" operator="lessThan">
      <formula>7</formula>
    </cfRule>
  </conditionalFormatting>
  <conditionalFormatting sqref="I13">
    <cfRule type="cellIs" dxfId="1206" priority="49" operator="lessThan">
      <formula>0.15</formula>
    </cfRule>
    <cfRule type="cellIs" dxfId="1205" priority="61" operator="greaterThan">
      <formula>0.15</formula>
    </cfRule>
  </conditionalFormatting>
  <conditionalFormatting sqref="I18">
    <cfRule type="cellIs" dxfId="1204" priority="38" operator="lessThan">
      <formula>1</formula>
    </cfRule>
    <cfRule type="cellIs" dxfId="1203" priority="39" operator="greaterThan">
      <formula>1</formula>
    </cfRule>
  </conditionalFormatting>
  <conditionalFormatting sqref="I24">
    <cfRule type="cellIs" dxfId="1202" priority="36" operator="lessThan">
      <formula>0.15</formula>
    </cfRule>
    <cfRule type="cellIs" dxfId="1201" priority="37" operator="greaterThan">
      <formula>0.15</formula>
    </cfRule>
  </conditionalFormatting>
  <conditionalFormatting sqref="I30">
    <cfRule type="cellIs" dxfId="1200" priority="40" operator="lessThan">
      <formula>0.05</formula>
    </cfRule>
    <cfRule type="cellIs" dxfId="1199" priority="41" operator="greaterThan">
      <formula>0.05</formula>
    </cfRule>
  </conditionalFormatting>
  <conditionalFormatting sqref="I37">
    <cfRule type="cellIs" dxfId="1198" priority="32" operator="greaterThan">
      <formula>0.1</formula>
    </cfRule>
    <cfRule type="cellIs" dxfId="1197" priority="33" operator="lessThan">
      <formula>0.1</formula>
    </cfRule>
  </conditionalFormatting>
  <conditionalFormatting sqref="I42">
    <cfRule type="cellIs" dxfId="1196" priority="53" operator="lessThan">
      <formula>0.12</formula>
    </cfRule>
    <cfRule type="cellIs" dxfId="1195" priority="54" operator="greaterThan">
      <formula>0.12</formula>
    </cfRule>
  </conditionalFormatting>
  <conditionalFormatting sqref="I48">
    <cfRule type="cellIs" dxfId="1194" priority="42" operator="greaterThan">
      <formula>1</formula>
    </cfRule>
    <cfRule type="cellIs" dxfId="1193" priority="43" operator="lessThan">
      <formula>1</formula>
    </cfRule>
  </conditionalFormatting>
  <conditionalFormatting sqref="I55">
    <cfRule type="cellIs" dxfId="1192" priority="50" operator="lessThan">
      <formula>0.15</formula>
    </cfRule>
    <cfRule type="cellIs" dxfId="1191" priority="60" operator="greaterThan">
      <formula>0.15</formula>
    </cfRule>
  </conditionalFormatting>
  <conditionalFormatting sqref="I61">
    <cfRule type="cellIs" dxfId="1190" priority="46" operator="lessThan">
      <formula>0.7</formula>
    </cfRule>
    <cfRule type="cellIs" dxfId="1189" priority="47" operator="greaterThan">
      <formula>0.7</formula>
    </cfRule>
  </conditionalFormatting>
  <conditionalFormatting sqref="I69">
    <cfRule type="cellIs" dxfId="1188" priority="52" operator="greaterThan">
      <formula>0.1</formula>
    </cfRule>
    <cfRule type="cellIs" dxfId="1187" priority="55" operator="lessThan">
      <formula>0.1</formula>
    </cfRule>
  </conditionalFormatting>
  <conditionalFormatting sqref="I77">
    <cfRule type="cellIs" dxfId="1186" priority="59" operator="lessThan">
      <formula>0.2</formula>
    </cfRule>
  </conditionalFormatting>
  <conditionalFormatting sqref="I86">
    <cfRule type="cellIs" dxfId="1185" priority="57" operator="lessThan">
      <formula>0.2</formula>
    </cfRule>
    <cfRule type="cellIs" dxfId="1184" priority="58" operator="greaterThan">
      <formula>-0.2</formula>
    </cfRule>
  </conditionalFormatting>
  <conditionalFormatting sqref="I104">
    <cfRule type="cellIs" dxfId="1183" priority="51" operator="greaterThan">
      <formula>0.25</formula>
    </cfRule>
    <cfRule type="cellIs" dxfId="1182" priority="56" operator="lessThan">
      <formula>0.25</formula>
    </cfRule>
  </conditionalFormatting>
  <conditionalFormatting sqref="I110">
    <cfRule type="cellIs" dxfId="1181" priority="34" operator="lessThan">
      <formula>2</formula>
    </cfRule>
    <cfRule type="cellIs" dxfId="1180" priority="35" operator="greaterThan">
      <formula>2</formula>
    </cfRule>
  </conditionalFormatting>
  <conditionalFormatting sqref="I116">
    <cfRule type="cellIs" dxfId="1179" priority="44" operator="lessThan">
      <formula>0.2</formula>
    </cfRule>
    <cfRule type="cellIs" dxfId="1178" priority="45" operator="greaterThan">
      <formula>0.2</formula>
    </cfRule>
  </conditionalFormatting>
  <conditionalFormatting sqref="K7">
    <cfRule type="cellIs" dxfId="1177" priority="79" operator="greaterThan">
      <formula>7</formula>
    </cfRule>
    <cfRule type="cellIs" dxfId="1176" priority="93" operator="lessThan">
      <formula>7</formula>
    </cfRule>
  </conditionalFormatting>
  <conditionalFormatting sqref="K13">
    <cfRule type="cellIs" dxfId="1175" priority="80" operator="lessThan">
      <formula>0.15</formula>
    </cfRule>
    <cfRule type="cellIs" dxfId="1174" priority="92" operator="greaterThan">
      <formula>0.15</formula>
    </cfRule>
  </conditionalFormatting>
  <conditionalFormatting sqref="K18">
    <cfRule type="cellIs" dxfId="1173" priority="69" operator="lessThan">
      <formula>1</formula>
    </cfRule>
    <cfRule type="cellIs" dxfId="1172" priority="70" operator="greaterThan">
      <formula>1</formula>
    </cfRule>
  </conditionalFormatting>
  <conditionalFormatting sqref="K24">
    <cfRule type="cellIs" dxfId="1171" priority="67" operator="lessThan">
      <formula>0.15</formula>
    </cfRule>
    <cfRule type="cellIs" dxfId="1170" priority="68" operator="greaterThan">
      <formula>0.15</formula>
    </cfRule>
  </conditionalFormatting>
  <conditionalFormatting sqref="K30">
    <cfRule type="cellIs" dxfId="1169" priority="71" operator="lessThan">
      <formula>0.05</formula>
    </cfRule>
    <cfRule type="cellIs" dxfId="1168" priority="72" operator="greaterThan">
      <formula>0.05</formula>
    </cfRule>
  </conditionalFormatting>
  <conditionalFormatting sqref="K37">
    <cfRule type="cellIs" dxfId="1167" priority="63" operator="greaterThan">
      <formula>0.1</formula>
    </cfRule>
    <cfRule type="cellIs" dxfId="1166" priority="64" operator="lessThan">
      <formula>0.1</formula>
    </cfRule>
  </conditionalFormatting>
  <conditionalFormatting sqref="K42">
    <cfRule type="cellIs" dxfId="1165" priority="84" operator="lessThan">
      <formula>0.12</formula>
    </cfRule>
    <cfRule type="cellIs" dxfId="1164" priority="85" operator="greaterThan">
      <formula>0.12</formula>
    </cfRule>
  </conditionalFormatting>
  <conditionalFormatting sqref="K48">
    <cfRule type="cellIs" dxfId="1163" priority="73" operator="greaterThan">
      <formula>1</formula>
    </cfRule>
    <cfRule type="cellIs" dxfId="1162" priority="74" operator="lessThan">
      <formula>1</formula>
    </cfRule>
  </conditionalFormatting>
  <conditionalFormatting sqref="K55">
    <cfRule type="cellIs" dxfId="1161" priority="81" operator="lessThan">
      <formula>0.15</formula>
    </cfRule>
    <cfRule type="cellIs" dxfId="1160" priority="91" operator="greaterThan">
      <formula>0.15</formula>
    </cfRule>
  </conditionalFormatting>
  <conditionalFormatting sqref="K61">
    <cfRule type="cellIs" dxfId="1159" priority="77" operator="lessThan">
      <formula>0.7</formula>
    </cfRule>
    <cfRule type="cellIs" dxfId="1158" priority="78" operator="greaterThan">
      <formula>0.7</formula>
    </cfRule>
  </conditionalFormatting>
  <conditionalFormatting sqref="K69">
    <cfRule type="cellIs" dxfId="1157" priority="83" operator="greaterThan">
      <formula>0.1</formula>
    </cfRule>
    <cfRule type="cellIs" dxfId="1156" priority="86" operator="lessThan">
      <formula>0.1</formula>
    </cfRule>
  </conditionalFormatting>
  <conditionalFormatting sqref="K77">
    <cfRule type="cellIs" dxfId="1155" priority="90" operator="lessThan">
      <formula>0.2</formula>
    </cfRule>
  </conditionalFormatting>
  <conditionalFormatting sqref="K86">
    <cfRule type="cellIs" dxfId="1154" priority="88" operator="lessThan">
      <formula>0.2</formula>
    </cfRule>
    <cfRule type="cellIs" dxfId="1153" priority="89" operator="greaterThan">
      <formula>-0.2</formula>
    </cfRule>
  </conditionalFormatting>
  <conditionalFormatting sqref="K104">
    <cfRule type="cellIs" dxfId="1152" priority="82" operator="greaterThan">
      <formula>0.25</formula>
    </cfRule>
    <cfRule type="cellIs" dxfId="1151" priority="87" operator="lessThan">
      <formula>0.25</formula>
    </cfRule>
  </conditionalFormatting>
  <conditionalFormatting sqref="K110">
    <cfRule type="cellIs" dxfId="1150" priority="65" operator="lessThan">
      <formula>2</formula>
    </cfRule>
    <cfRule type="cellIs" dxfId="1149" priority="66" operator="greaterThan">
      <formula>2</formula>
    </cfRule>
  </conditionalFormatting>
  <conditionalFormatting sqref="K116">
    <cfRule type="cellIs" dxfId="1148" priority="75" operator="lessThan">
      <formula>0.2</formula>
    </cfRule>
    <cfRule type="cellIs" dxfId="1147" priority="76" operator="greaterThan">
      <formula>0.2</formula>
    </cfRule>
  </conditionalFormatting>
  <conditionalFormatting sqref="M7">
    <cfRule type="cellIs" dxfId="1146" priority="110" operator="greaterThan">
      <formula>7</formula>
    </cfRule>
    <cfRule type="cellIs" dxfId="1145" priority="124" operator="lessThan">
      <formula>7</formula>
    </cfRule>
  </conditionalFormatting>
  <conditionalFormatting sqref="M13">
    <cfRule type="cellIs" dxfId="1144" priority="111" operator="lessThan">
      <formula>0.15</formula>
    </cfRule>
    <cfRule type="cellIs" dxfId="1143" priority="123" operator="greaterThan">
      <formula>0.15</formula>
    </cfRule>
  </conditionalFormatting>
  <conditionalFormatting sqref="M18">
    <cfRule type="cellIs" dxfId="1142" priority="100" operator="lessThan">
      <formula>1</formula>
    </cfRule>
    <cfRule type="cellIs" dxfId="1141" priority="101" operator="greaterThan">
      <formula>1</formula>
    </cfRule>
  </conditionalFormatting>
  <conditionalFormatting sqref="M24">
    <cfRule type="cellIs" dxfId="1140" priority="98" operator="lessThan">
      <formula>0.15</formula>
    </cfRule>
    <cfRule type="cellIs" dxfId="1139" priority="99" operator="greaterThan">
      <formula>0.15</formula>
    </cfRule>
  </conditionalFormatting>
  <conditionalFormatting sqref="M30">
    <cfRule type="cellIs" dxfId="1138" priority="102" operator="lessThan">
      <formula>0.05</formula>
    </cfRule>
    <cfRule type="cellIs" dxfId="1137" priority="103" operator="greaterThan">
      <formula>0.05</formula>
    </cfRule>
  </conditionalFormatting>
  <conditionalFormatting sqref="M37">
    <cfRule type="cellIs" dxfId="1136" priority="94" operator="greaterThan">
      <formula>0.1</formula>
    </cfRule>
    <cfRule type="cellIs" dxfId="1135" priority="95" operator="lessThan">
      <formula>0.1</formula>
    </cfRule>
  </conditionalFormatting>
  <conditionalFormatting sqref="M42">
    <cfRule type="cellIs" dxfId="1134" priority="115" operator="lessThan">
      <formula>0.12</formula>
    </cfRule>
    <cfRule type="cellIs" dxfId="1133" priority="116" operator="greaterThan">
      <formula>0.12</formula>
    </cfRule>
  </conditionalFormatting>
  <conditionalFormatting sqref="M48">
    <cfRule type="cellIs" dxfId="1132" priority="104" operator="greaterThan">
      <formula>1</formula>
    </cfRule>
    <cfRule type="cellIs" dxfId="1131" priority="105" operator="lessThan">
      <formula>1</formula>
    </cfRule>
  </conditionalFormatting>
  <conditionalFormatting sqref="M55">
    <cfRule type="cellIs" dxfId="1130" priority="112" operator="lessThan">
      <formula>0.15</formula>
    </cfRule>
    <cfRule type="cellIs" dxfId="1129" priority="122" operator="greaterThan">
      <formula>0.15</formula>
    </cfRule>
  </conditionalFormatting>
  <conditionalFormatting sqref="M61">
    <cfRule type="cellIs" dxfId="1128" priority="108" operator="lessThan">
      <formula>0.7</formula>
    </cfRule>
    <cfRule type="cellIs" dxfId="1127" priority="109" operator="greaterThan">
      <formula>0.7</formula>
    </cfRule>
  </conditionalFormatting>
  <conditionalFormatting sqref="M69">
    <cfRule type="cellIs" dxfId="1126" priority="114" operator="greaterThan">
      <formula>0.1</formula>
    </cfRule>
    <cfRule type="cellIs" dxfId="1125" priority="117" operator="lessThan">
      <formula>0.1</formula>
    </cfRule>
  </conditionalFormatting>
  <conditionalFormatting sqref="M77">
    <cfRule type="cellIs" dxfId="1124" priority="121" operator="lessThan">
      <formula>0.2</formula>
    </cfRule>
  </conditionalFormatting>
  <conditionalFormatting sqref="M86">
    <cfRule type="cellIs" dxfId="1123" priority="119" operator="lessThan">
      <formula>0.2</formula>
    </cfRule>
    <cfRule type="cellIs" dxfId="1122" priority="120" operator="greaterThan">
      <formula>-0.2</formula>
    </cfRule>
  </conditionalFormatting>
  <conditionalFormatting sqref="M104">
    <cfRule type="cellIs" dxfId="1121" priority="113" operator="greaterThan">
      <formula>0.25</formula>
    </cfRule>
    <cfRule type="cellIs" dxfId="1120" priority="118" operator="lessThan">
      <formula>0.25</formula>
    </cfRule>
  </conditionalFormatting>
  <conditionalFormatting sqref="M110">
    <cfRule type="cellIs" dxfId="1119" priority="96" operator="lessThan">
      <formula>2</formula>
    </cfRule>
    <cfRule type="cellIs" dxfId="1118" priority="97" operator="greaterThan">
      <formula>2</formula>
    </cfRule>
  </conditionalFormatting>
  <conditionalFormatting sqref="M116">
    <cfRule type="cellIs" dxfId="1117" priority="106" operator="lessThan">
      <formula>0.2</formula>
    </cfRule>
    <cfRule type="cellIs" dxfId="1116" priority="107" operator="greaterThan">
      <formula>0.2</formula>
    </cfRule>
  </conditionalFormatting>
  <conditionalFormatting sqref="O7">
    <cfRule type="cellIs" dxfId="1115" priority="143" operator="greaterThan">
      <formula>7</formula>
    </cfRule>
    <cfRule type="cellIs" dxfId="1114" priority="157" operator="lessThan">
      <formula>7</formula>
    </cfRule>
  </conditionalFormatting>
  <conditionalFormatting sqref="O13">
    <cfRule type="cellIs" dxfId="1113" priority="144" operator="lessThan">
      <formula>0.15</formula>
    </cfRule>
    <cfRule type="cellIs" dxfId="1112" priority="156" operator="greaterThan">
      <formula>0.15</formula>
    </cfRule>
  </conditionalFormatting>
  <conditionalFormatting sqref="O18">
    <cfRule type="cellIs" dxfId="1111" priority="131" operator="lessThan">
      <formula>1</formula>
    </cfRule>
    <cfRule type="cellIs" dxfId="1110" priority="132" operator="greaterThan">
      <formula>1</formula>
    </cfRule>
  </conditionalFormatting>
  <conditionalFormatting sqref="O24">
    <cfRule type="cellIs" dxfId="1109" priority="129" operator="lessThan">
      <formula>0.15</formula>
    </cfRule>
    <cfRule type="cellIs" dxfId="1108" priority="130" operator="greaterThan">
      <formula>0.15</formula>
    </cfRule>
  </conditionalFormatting>
  <conditionalFormatting sqref="O30">
    <cfRule type="cellIs" dxfId="1107" priority="133" operator="lessThan">
      <formula>0.05</formula>
    </cfRule>
    <cfRule type="cellIs" dxfId="1106" priority="134" operator="greaterThan">
      <formula>0.05</formula>
    </cfRule>
  </conditionalFormatting>
  <conditionalFormatting sqref="O37">
    <cfRule type="cellIs" dxfId="1105" priority="125" operator="greaterThan">
      <formula>0.1</formula>
    </cfRule>
    <cfRule type="cellIs" dxfId="1104" priority="126" operator="lessThan">
      <formula>0.1</formula>
    </cfRule>
  </conditionalFormatting>
  <conditionalFormatting sqref="O42">
    <cfRule type="cellIs" dxfId="1103" priority="148" operator="lessThan">
      <formula>0.12</formula>
    </cfRule>
    <cfRule type="cellIs" dxfId="1102" priority="149" operator="greaterThan">
      <formula>0.12</formula>
    </cfRule>
  </conditionalFormatting>
  <conditionalFormatting sqref="O48">
    <cfRule type="cellIs" dxfId="1101" priority="137" operator="greaterThan">
      <formula>1</formula>
    </cfRule>
    <cfRule type="cellIs" dxfId="1100" priority="138" operator="lessThan">
      <formula>1</formula>
    </cfRule>
  </conditionalFormatting>
  <conditionalFormatting sqref="O55">
    <cfRule type="cellIs" dxfId="1099" priority="145" operator="lessThan">
      <formula>0.15</formula>
    </cfRule>
    <cfRule type="cellIs" dxfId="1098" priority="155" operator="greaterThan">
      <formula>0.15</formula>
    </cfRule>
  </conditionalFormatting>
  <conditionalFormatting sqref="O61">
    <cfRule type="cellIs" dxfId="1097" priority="141" operator="lessThan">
      <formula>0.7</formula>
    </cfRule>
    <cfRule type="cellIs" dxfId="1096" priority="142" operator="greaterThan">
      <formula>0.7</formula>
    </cfRule>
  </conditionalFormatting>
  <conditionalFormatting sqref="O69">
    <cfRule type="cellIs" dxfId="1095" priority="147" operator="greaterThan">
      <formula>0.1</formula>
    </cfRule>
    <cfRule type="cellIs" dxfId="1094" priority="150" operator="lessThan">
      <formula>0.1</formula>
    </cfRule>
  </conditionalFormatting>
  <conditionalFormatting sqref="O77">
    <cfRule type="cellIs" dxfId="1093" priority="154" operator="lessThan">
      <formula>0.2</formula>
    </cfRule>
  </conditionalFormatting>
  <conditionalFormatting sqref="O86">
    <cfRule type="cellIs" dxfId="1092" priority="152" operator="lessThan">
      <formula>0.2</formula>
    </cfRule>
    <cfRule type="cellIs" dxfId="1091" priority="153" operator="greaterThan">
      <formula>-0.2</formula>
    </cfRule>
  </conditionalFormatting>
  <conditionalFormatting sqref="O104">
    <cfRule type="cellIs" dxfId="1090" priority="146" operator="greaterThan">
      <formula>0.25</formula>
    </cfRule>
    <cfRule type="cellIs" dxfId="1089" priority="151" operator="lessThan">
      <formula>0.25</formula>
    </cfRule>
  </conditionalFormatting>
  <conditionalFormatting sqref="O110">
    <cfRule type="cellIs" dxfId="1088" priority="127" operator="lessThan">
      <formula>2</formula>
    </cfRule>
    <cfRule type="cellIs" dxfId="1087" priority="128" operator="greaterThan">
      <formula>2</formula>
    </cfRule>
  </conditionalFormatting>
  <conditionalFormatting sqref="O116">
    <cfRule type="cellIs" dxfId="1086" priority="139" operator="lessThan">
      <formula>0.2</formula>
    </cfRule>
    <cfRule type="cellIs" dxfId="1085" priority="140" operator="greaterThan">
      <formula>0.2</formula>
    </cfRule>
  </conditionalFormatting>
  <conditionalFormatting sqref="O122">
    <cfRule type="cellIs" dxfId="1084" priority="135" operator="lessThan">
      <formula>0</formula>
    </cfRule>
    <cfRule type="cellIs" dxfId="1083" priority="136" operator="greaterThan">
      <formula>0</formula>
    </cfRule>
  </conditionalFormatting>
  <conditionalFormatting sqref="Q7">
    <cfRule type="cellIs" dxfId="1082" priority="209" operator="greaterThan">
      <formula>7</formula>
    </cfRule>
    <cfRule type="cellIs" dxfId="1081" priority="223" operator="lessThan">
      <formula>7</formula>
    </cfRule>
  </conditionalFormatting>
  <conditionalFormatting sqref="Q13">
    <cfRule type="cellIs" dxfId="1080" priority="210" operator="lessThan">
      <formula>0.15</formula>
    </cfRule>
    <cfRule type="cellIs" dxfId="1079" priority="222" operator="greaterThan">
      <formula>0.15</formula>
    </cfRule>
  </conditionalFormatting>
  <conditionalFormatting sqref="Q18">
    <cfRule type="cellIs" dxfId="1078" priority="197" operator="lessThan">
      <formula>1</formula>
    </cfRule>
    <cfRule type="cellIs" dxfId="1077" priority="198" operator="greaterThan">
      <formula>1</formula>
    </cfRule>
  </conditionalFormatting>
  <conditionalFormatting sqref="Q24">
    <cfRule type="cellIs" dxfId="1076" priority="195" operator="lessThan">
      <formula>0.15</formula>
    </cfRule>
    <cfRule type="cellIs" dxfId="1075" priority="196" operator="greaterThan">
      <formula>0.15</formula>
    </cfRule>
  </conditionalFormatting>
  <conditionalFormatting sqref="Q30">
    <cfRule type="cellIs" dxfId="1074" priority="199" operator="lessThan">
      <formula>0.05</formula>
    </cfRule>
    <cfRule type="cellIs" dxfId="1073" priority="200" operator="greaterThan">
      <formula>0.05</formula>
    </cfRule>
  </conditionalFormatting>
  <conditionalFormatting sqref="Q37">
    <cfRule type="cellIs" dxfId="1072" priority="191" operator="greaterThan">
      <formula>0.1</formula>
    </cfRule>
    <cfRule type="cellIs" dxfId="1071" priority="192" operator="lessThan">
      <formula>0.1</formula>
    </cfRule>
  </conditionalFormatting>
  <conditionalFormatting sqref="Q42">
    <cfRule type="cellIs" dxfId="1070" priority="214" operator="lessThan">
      <formula>0.12</formula>
    </cfRule>
    <cfRule type="cellIs" dxfId="1069" priority="215" operator="greaterThan">
      <formula>0.12</formula>
    </cfRule>
  </conditionalFormatting>
  <conditionalFormatting sqref="Q48">
    <cfRule type="cellIs" dxfId="1068" priority="203" operator="greaterThan">
      <formula>1</formula>
    </cfRule>
    <cfRule type="cellIs" dxfId="1067" priority="204" operator="lessThan">
      <formula>1</formula>
    </cfRule>
  </conditionalFormatting>
  <conditionalFormatting sqref="Q55">
    <cfRule type="cellIs" dxfId="1066" priority="211" operator="lessThan">
      <formula>0.15</formula>
    </cfRule>
    <cfRule type="cellIs" dxfId="1065" priority="221" operator="greaterThan">
      <formula>0.15</formula>
    </cfRule>
  </conditionalFormatting>
  <conditionalFormatting sqref="Q61">
    <cfRule type="cellIs" dxfId="1064" priority="207" operator="lessThan">
      <formula>0.7</formula>
    </cfRule>
    <cfRule type="cellIs" dxfId="1063" priority="208" operator="greaterThan">
      <formula>0.7</formula>
    </cfRule>
  </conditionalFormatting>
  <conditionalFormatting sqref="Q69">
    <cfRule type="cellIs" dxfId="1062" priority="213" operator="greaterThan">
      <formula>0.1</formula>
    </cfRule>
    <cfRule type="cellIs" dxfId="1061" priority="216" operator="lessThan">
      <formula>0.1</formula>
    </cfRule>
  </conditionalFormatting>
  <conditionalFormatting sqref="Q77">
    <cfRule type="cellIs" dxfId="1060" priority="220" operator="lessThan">
      <formula>0.2</formula>
    </cfRule>
  </conditionalFormatting>
  <conditionalFormatting sqref="Q86">
    <cfRule type="cellIs" dxfId="1059" priority="218" operator="lessThan">
      <formula>0.2</formula>
    </cfRule>
    <cfRule type="cellIs" dxfId="1058" priority="219" operator="greaterThan">
      <formula>-0.2</formula>
    </cfRule>
  </conditionalFormatting>
  <conditionalFormatting sqref="Q104">
    <cfRule type="cellIs" dxfId="1057" priority="212" operator="greaterThan">
      <formula>0.25</formula>
    </cfRule>
    <cfRule type="cellIs" dxfId="1056" priority="217" operator="lessThan">
      <formula>0.25</formula>
    </cfRule>
  </conditionalFormatting>
  <conditionalFormatting sqref="Q110">
    <cfRule type="cellIs" dxfId="1055" priority="193" operator="lessThan">
      <formula>2</formula>
    </cfRule>
    <cfRule type="cellIs" dxfId="1054" priority="194" operator="greaterThan">
      <formula>2</formula>
    </cfRule>
  </conditionalFormatting>
  <conditionalFormatting sqref="Q116">
    <cfRule type="cellIs" dxfId="1053" priority="205" operator="lessThan">
      <formula>0.2</formula>
    </cfRule>
    <cfRule type="cellIs" dxfId="1052" priority="206" operator="greaterThan">
      <formula>0.2</formula>
    </cfRule>
  </conditionalFormatting>
  <conditionalFormatting sqref="Q122">
    <cfRule type="cellIs" dxfId="1051" priority="201" operator="lessThan">
      <formula>0</formula>
    </cfRule>
    <cfRule type="cellIs" dxfId="1050" priority="202" operator="greaterThan">
      <formula>0</formula>
    </cfRule>
  </conditionalFormatting>
  <conditionalFormatting sqref="S7">
    <cfRule type="cellIs" dxfId="1049" priority="176" operator="greaterThan">
      <formula>7</formula>
    </cfRule>
    <cfRule type="cellIs" dxfId="1048" priority="190" operator="lessThan">
      <formula>7</formula>
    </cfRule>
  </conditionalFormatting>
  <conditionalFormatting sqref="S13">
    <cfRule type="cellIs" dxfId="1047" priority="177" operator="lessThan">
      <formula>0.15</formula>
    </cfRule>
    <cfRule type="cellIs" dxfId="1046" priority="189" operator="greaterThan">
      <formula>0.15</formula>
    </cfRule>
  </conditionalFormatting>
  <conditionalFormatting sqref="S18">
    <cfRule type="cellIs" dxfId="1045" priority="164" operator="lessThan">
      <formula>1</formula>
    </cfRule>
    <cfRule type="cellIs" dxfId="1044" priority="165" operator="greaterThan">
      <formula>1</formula>
    </cfRule>
  </conditionalFormatting>
  <conditionalFormatting sqref="S24">
    <cfRule type="cellIs" dxfId="1043" priority="162" operator="lessThan">
      <formula>0.15</formula>
    </cfRule>
    <cfRule type="cellIs" dxfId="1042" priority="163" operator="greaterThan">
      <formula>0.15</formula>
    </cfRule>
  </conditionalFormatting>
  <conditionalFormatting sqref="S30">
    <cfRule type="cellIs" dxfId="1041" priority="166" operator="lessThan">
      <formula>0.05</formula>
    </cfRule>
    <cfRule type="cellIs" dxfId="1040" priority="167" operator="greaterThan">
      <formula>0.05</formula>
    </cfRule>
  </conditionalFormatting>
  <conditionalFormatting sqref="S37">
    <cfRule type="cellIs" dxfId="1039" priority="158" operator="greaterThan">
      <formula>0.1</formula>
    </cfRule>
    <cfRule type="cellIs" dxfId="1038" priority="159" operator="lessThan">
      <formula>0.1</formula>
    </cfRule>
  </conditionalFormatting>
  <conditionalFormatting sqref="S42">
    <cfRule type="cellIs" dxfId="1037" priority="181" operator="lessThan">
      <formula>0.12</formula>
    </cfRule>
    <cfRule type="cellIs" dxfId="1036" priority="182" operator="greaterThan">
      <formula>0.12</formula>
    </cfRule>
  </conditionalFormatting>
  <conditionalFormatting sqref="S48">
    <cfRule type="cellIs" dxfId="1035" priority="170" operator="greaterThan">
      <formula>1</formula>
    </cfRule>
    <cfRule type="cellIs" dxfId="1034" priority="171" operator="lessThan">
      <formula>1</formula>
    </cfRule>
  </conditionalFormatting>
  <conditionalFormatting sqref="S55">
    <cfRule type="cellIs" dxfId="1033" priority="178" operator="lessThan">
      <formula>0.15</formula>
    </cfRule>
    <cfRule type="cellIs" dxfId="1032" priority="188" operator="greaterThan">
      <formula>0.15</formula>
    </cfRule>
  </conditionalFormatting>
  <conditionalFormatting sqref="S61">
    <cfRule type="cellIs" dxfId="1031" priority="174" operator="lessThan">
      <formula>0.7</formula>
    </cfRule>
    <cfRule type="cellIs" dxfId="1030" priority="175" operator="greaterThan">
      <formula>0.7</formula>
    </cfRule>
  </conditionalFormatting>
  <conditionalFormatting sqref="S69">
    <cfRule type="cellIs" dxfId="1029" priority="180" operator="greaterThan">
      <formula>0.1</formula>
    </cfRule>
    <cfRule type="cellIs" dxfId="1028" priority="183" operator="lessThan">
      <formula>0.1</formula>
    </cfRule>
  </conditionalFormatting>
  <conditionalFormatting sqref="S77">
    <cfRule type="cellIs" dxfId="1027" priority="187" operator="lessThan">
      <formula>0.2</formula>
    </cfRule>
  </conditionalFormatting>
  <conditionalFormatting sqref="S86">
    <cfRule type="cellIs" dxfId="1026" priority="185" operator="lessThan">
      <formula>0.2</formula>
    </cfRule>
    <cfRule type="cellIs" dxfId="1025" priority="186" operator="greaterThan">
      <formula>-0.2</formula>
    </cfRule>
  </conditionalFormatting>
  <conditionalFormatting sqref="S104">
    <cfRule type="cellIs" dxfId="1024" priority="179" operator="greaterThan">
      <formula>0.25</formula>
    </cfRule>
    <cfRule type="cellIs" dxfId="1023" priority="184" operator="lessThan">
      <formula>0.25</formula>
    </cfRule>
  </conditionalFormatting>
  <conditionalFormatting sqref="S110">
    <cfRule type="cellIs" dxfId="1022" priority="160" operator="lessThan">
      <formula>2</formula>
    </cfRule>
    <cfRule type="cellIs" dxfId="1021" priority="161" operator="greaterThan">
      <formula>2</formula>
    </cfRule>
  </conditionalFormatting>
  <conditionalFormatting sqref="S116">
    <cfRule type="cellIs" dxfId="1020" priority="172" operator="lessThan">
      <formula>0.2</formula>
    </cfRule>
    <cfRule type="cellIs" dxfId="1019" priority="173" operator="greaterThan">
      <formula>0.2</formula>
    </cfRule>
  </conditionalFormatting>
  <conditionalFormatting sqref="S122">
    <cfRule type="cellIs" dxfId="1018" priority="168" operator="lessThan">
      <formula>0</formula>
    </cfRule>
    <cfRule type="cellIs" dxfId="1017" priority="169" operator="greaterThan">
      <formula>0</formula>
    </cfRule>
  </conditionalFormatting>
  <conditionalFormatting sqref="U7">
    <cfRule type="cellIs" dxfId="1016" priority="242" operator="greaterThan">
      <formula>7</formula>
    </cfRule>
    <cfRule type="cellIs" dxfId="1015" priority="256" operator="lessThan">
      <formula>7</formula>
    </cfRule>
  </conditionalFormatting>
  <conditionalFormatting sqref="U13">
    <cfRule type="cellIs" dxfId="1014" priority="243" operator="lessThan">
      <formula>0.15</formula>
    </cfRule>
    <cfRule type="cellIs" dxfId="1013" priority="255" operator="greaterThan">
      <formula>0.15</formula>
    </cfRule>
  </conditionalFormatting>
  <conditionalFormatting sqref="U18">
    <cfRule type="cellIs" dxfId="1012" priority="230" operator="lessThan">
      <formula>1</formula>
    </cfRule>
    <cfRule type="cellIs" dxfId="1011" priority="231" operator="greaterThan">
      <formula>1</formula>
    </cfRule>
  </conditionalFormatting>
  <conditionalFormatting sqref="U24">
    <cfRule type="cellIs" dxfId="1010" priority="228" operator="lessThan">
      <formula>0.15</formula>
    </cfRule>
    <cfRule type="cellIs" dxfId="1009" priority="229" operator="greaterThan">
      <formula>0.15</formula>
    </cfRule>
  </conditionalFormatting>
  <conditionalFormatting sqref="U30">
    <cfRule type="cellIs" dxfId="1008" priority="232" operator="lessThan">
      <formula>0.05</formula>
    </cfRule>
    <cfRule type="cellIs" dxfId="1007" priority="233" operator="greaterThan">
      <formula>0.05</formula>
    </cfRule>
  </conditionalFormatting>
  <conditionalFormatting sqref="U37">
    <cfRule type="cellIs" dxfId="1006" priority="224" operator="greaterThan">
      <formula>0.1</formula>
    </cfRule>
    <cfRule type="cellIs" dxfId="1005" priority="225" operator="lessThan">
      <formula>0.1</formula>
    </cfRule>
  </conditionalFormatting>
  <conditionalFormatting sqref="U42">
    <cfRule type="cellIs" dxfId="1004" priority="247" operator="lessThan">
      <formula>0.12</formula>
    </cfRule>
    <cfRule type="cellIs" dxfId="1003" priority="248" operator="greaterThan">
      <formula>0.12</formula>
    </cfRule>
  </conditionalFormatting>
  <conditionalFormatting sqref="U48">
    <cfRule type="cellIs" dxfId="1002" priority="236" operator="greaterThan">
      <formula>1</formula>
    </cfRule>
    <cfRule type="cellIs" dxfId="1001" priority="237" operator="lessThan">
      <formula>1</formula>
    </cfRule>
  </conditionalFormatting>
  <conditionalFormatting sqref="U55">
    <cfRule type="cellIs" dxfId="1000" priority="244" operator="lessThan">
      <formula>0.15</formula>
    </cfRule>
    <cfRule type="cellIs" dxfId="999" priority="254" operator="greaterThan">
      <formula>0.15</formula>
    </cfRule>
  </conditionalFormatting>
  <conditionalFormatting sqref="U61">
    <cfRule type="cellIs" dxfId="998" priority="240" operator="lessThan">
      <formula>0.7</formula>
    </cfRule>
    <cfRule type="cellIs" dxfId="997" priority="241" operator="greaterThan">
      <formula>0.7</formula>
    </cfRule>
  </conditionalFormatting>
  <conditionalFormatting sqref="U69">
    <cfRule type="cellIs" dxfId="996" priority="246" operator="greaterThan">
      <formula>0.1</formula>
    </cfRule>
    <cfRule type="cellIs" dxfId="995" priority="249" operator="lessThan">
      <formula>0.1</formula>
    </cfRule>
  </conditionalFormatting>
  <conditionalFormatting sqref="U77">
    <cfRule type="cellIs" dxfId="994" priority="253" operator="lessThan">
      <formula>0.2</formula>
    </cfRule>
  </conditionalFormatting>
  <conditionalFormatting sqref="U86">
    <cfRule type="cellIs" dxfId="993" priority="251" operator="lessThan">
      <formula>0.2</formula>
    </cfRule>
    <cfRule type="cellIs" dxfId="992" priority="252" operator="greaterThan">
      <formula>-0.2</formula>
    </cfRule>
  </conditionalFormatting>
  <conditionalFormatting sqref="U104">
    <cfRule type="cellIs" dxfId="991" priority="245" operator="greaterThan">
      <formula>0.25</formula>
    </cfRule>
    <cfRule type="cellIs" dxfId="990" priority="250" operator="lessThan">
      <formula>0.25</formula>
    </cfRule>
  </conditionalFormatting>
  <conditionalFormatting sqref="U110">
    <cfRule type="cellIs" dxfId="989" priority="226" operator="lessThan">
      <formula>2</formula>
    </cfRule>
    <cfRule type="cellIs" dxfId="988" priority="227" operator="greaterThan">
      <formula>2</formula>
    </cfRule>
  </conditionalFormatting>
  <conditionalFormatting sqref="U116">
    <cfRule type="cellIs" dxfId="987" priority="238" operator="lessThan">
      <formula>0.2</formula>
    </cfRule>
    <cfRule type="cellIs" dxfId="986" priority="239" operator="greaterThan">
      <formula>0.2</formula>
    </cfRule>
  </conditionalFormatting>
  <conditionalFormatting sqref="U122">
    <cfRule type="cellIs" dxfId="985" priority="234" operator="lessThan">
      <formula>0</formula>
    </cfRule>
    <cfRule type="cellIs" dxfId="984" priority="235" operator="greaterThan">
      <formula>0</formula>
    </cfRule>
  </conditionalFormatting>
  <conditionalFormatting sqref="W7">
    <cfRule type="cellIs" dxfId="983" priority="411" operator="greaterThan">
      <formula>7</formula>
    </cfRule>
    <cfRule type="cellIs" dxfId="982" priority="425" operator="lessThan">
      <formula>7</formula>
    </cfRule>
  </conditionalFormatting>
  <conditionalFormatting sqref="W13">
    <cfRule type="cellIs" dxfId="981" priority="412" operator="lessThan">
      <formula>0.15</formula>
    </cfRule>
    <cfRule type="cellIs" dxfId="980" priority="424" operator="greaterThan">
      <formula>0.15</formula>
    </cfRule>
  </conditionalFormatting>
  <conditionalFormatting sqref="W18">
    <cfRule type="cellIs" dxfId="979" priority="399" operator="lessThan">
      <formula>1</formula>
    </cfRule>
    <cfRule type="cellIs" dxfId="978" priority="400" operator="greaterThan">
      <formula>1</formula>
    </cfRule>
  </conditionalFormatting>
  <conditionalFormatting sqref="W24">
    <cfRule type="cellIs" dxfId="977" priority="397" operator="lessThan">
      <formula>0.15</formula>
    </cfRule>
    <cfRule type="cellIs" dxfId="976" priority="398" operator="greaterThan">
      <formula>0.15</formula>
    </cfRule>
  </conditionalFormatting>
  <conditionalFormatting sqref="W30">
    <cfRule type="cellIs" dxfId="975" priority="401" operator="lessThan">
      <formula>0.05</formula>
    </cfRule>
    <cfRule type="cellIs" dxfId="974" priority="402" operator="greaterThan">
      <formula>0.05</formula>
    </cfRule>
  </conditionalFormatting>
  <conditionalFormatting sqref="W37">
    <cfRule type="cellIs" dxfId="973" priority="356" operator="greaterThan">
      <formula>0.1</formula>
    </cfRule>
    <cfRule type="cellIs" dxfId="972" priority="357" operator="lessThan">
      <formula>0.1</formula>
    </cfRule>
  </conditionalFormatting>
  <conditionalFormatting sqref="W42">
    <cfRule type="cellIs" dxfId="971" priority="416" operator="lessThan">
      <formula>0.12</formula>
    </cfRule>
    <cfRule type="cellIs" dxfId="970" priority="417" operator="greaterThan">
      <formula>0.12</formula>
    </cfRule>
  </conditionalFormatting>
  <conditionalFormatting sqref="W48">
    <cfRule type="cellIs" dxfId="969" priority="405" operator="greaterThan">
      <formula>1</formula>
    </cfRule>
    <cfRule type="cellIs" dxfId="968" priority="406" operator="lessThan">
      <formula>1</formula>
    </cfRule>
  </conditionalFormatting>
  <conditionalFormatting sqref="W55">
    <cfRule type="cellIs" dxfId="967" priority="413" operator="lessThan">
      <formula>0.15</formula>
    </cfRule>
    <cfRule type="cellIs" dxfId="966" priority="423" operator="greaterThan">
      <formula>0.15</formula>
    </cfRule>
  </conditionalFormatting>
  <conditionalFormatting sqref="W61">
    <cfRule type="cellIs" dxfId="965" priority="409" operator="lessThan">
      <formula>0.7</formula>
    </cfRule>
    <cfRule type="cellIs" dxfId="964" priority="410" operator="greaterThan">
      <formula>0.7</formula>
    </cfRule>
  </conditionalFormatting>
  <conditionalFormatting sqref="W69">
    <cfRule type="cellIs" dxfId="963" priority="415" operator="greaterThan">
      <formula>0.1</formula>
    </cfRule>
    <cfRule type="cellIs" dxfId="962" priority="418" operator="lessThan">
      <formula>0.1</formula>
    </cfRule>
  </conditionalFormatting>
  <conditionalFormatting sqref="W77">
    <cfRule type="cellIs" dxfId="961" priority="422" operator="lessThan">
      <formula>0.2</formula>
    </cfRule>
  </conditionalFormatting>
  <conditionalFormatting sqref="W86">
    <cfRule type="cellIs" dxfId="960" priority="420" operator="lessThan">
      <formula>0.2</formula>
    </cfRule>
    <cfRule type="cellIs" dxfId="959" priority="421" operator="greaterThan">
      <formula>-0.2</formula>
    </cfRule>
  </conditionalFormatting>
  <conditionalFormatting sqref="W104">
    <cfRule type="cellIs" dxfId="958" priority="414" operator="greaterThan">
      <formula>0.25</formula>
    </cfRule>
    <cfRule type="cellIs" dxfId="957" priority="419" operator="lessThan">
      <formula>0.25</formula>
    </cfRule>
  </conditionalFormatting>
  <conditionalFormatting sqref="W110">
    <cfRule type="cellIs" dxfId="956" priority="395" operator="lessThan">
      <formula>2</formula>
    </cfRule>
    <cfRule type="cellIs" dxfId="955" priority="396" operator="greaterThan">
      <formula>2</formula>
    </cfRule>
  </conditionalFormatting>
  <conditionalFormatting sqref="W116">
    <cfRule type="cellIs" dxfId="954" priority="407" operator="lessThan">
      <formula>0.2</formula>
    </cfRule>
    <cfRule type="cellIs" dxfId="953" priority="408" operator="greaterThan">
      <formula>0.2</formula>
    </cfRule>
  </conditionalFormatting>
  <conditionalFormatting sqref="W122">
    <cfRule type="cellIs" dxfId="952" priority="403" operator="lessThan">
      <formula>0</formula>
    </cfRule>
    <cfRule type="cellIs" dxfId="951" priority="404" operator="greaterThan">
      <formula>0</formula>
    </cfRule>
  </conditionalFormatting>
  <conditionalFormatting sqref="Y7">
    <cfRule type="cellIs" dxfId="950" priority="444" operator="greaterThan">
      <formula>7</formula>
    </cfRule>
    <cfRule type="cellIs" dxfId="949" priority="458" operator="lessThan">
      <formula>7</formula>
    </cfRule>
  </conditionalFormatting>
  <conditionalFormatting sqref="Y13">
    <cfRule type="cellIs" dxfId="948" priority="445" operator="lessThan">
      <formula>0.15</formula>
    </cfRule>
    <cfRule type="cellIs" dxfId="947" priority="457" operator="greaterThan">
      <formula>0.15</formula>
    </cfRule>
  </conditionalFormatting>
  <conditionalFormatting sqref="Y18">
    <cfRule type="cellIs" dxfId="946" priority="432" operator="lessThan">
      <formula>1</formula>
    </cfRule>
    <cfRule type="cellIs" dxfId="945" priority="433" operator="greaterThan">
      <formula>1</formula>
    </cfRule>
  </conditionalFormatting>
  <conditionalFormatting sqref="Y24">
    <cfRule type="cellIs" dxfId="944" priority="430" operator="lessThan">
      <formula>0.15</formula>
    </cfRule>
    <cfRule type="cellIs" dxfId="943" priority="431" operator="greaterThan">
      <formula>0.15</formula>
    </cfRule>
  </conditionalFormatting>
  <conditionalFormatting sqref="Y30">
    <cfRule type="cellIs" dxfId="942" priority="434" operator="lessThan">
      <formula>0.05</formula>
    </cfRule>
    <cfRule type="cellIs" dxfId="941" priority="435" operator="greaterThan">
      <formula>0.05</formula>
    </cfRule>
  </conditionalFormatting>
  <conditionalFormatting sqref="Y37">
    <cfRule type="cellIs" dxfId="940" priority="426" operator="greaterThan">
      <formula>0.1</formula>
    </cfRule>
    <cfRule type="cellIs" dxfId="939" priority="427" operator="lessThan">
      <formula>0.1</formula>
    </cfRule>
  </conditionalFormatting>
  <conditionalFormatting sqref="Y42">
    <cfRule type="cellIs" dxfId="938" priority="449" operator="lessThan">
      <formula>0.12</formula>
    </cfRule>
    <cfRule type="cellIs" dxfId="937" priority="450" operator="greaterThan">
      <formula>0.12</formula>
    </cfRule>
  </conditionalFormatting>
  <conditionalFormatting sqref="Y48">
    <cfRule type="cellIs" dxfId="936" priority="438" operator="greaterThan">
      <formula>1</formula>
    </cfRule>
    <cfRule type="cellIs" dxfId="935" priority="439" operator="lessThan">
      <formula>1</formula>
    </cfRule>
  </conditionalFormatting>
  <conditionalFormatting sqref="Y55">
    <cfRule type="cellIs" dxfId="934" priority="446" operator="lessThan">
      <formula>0.15</formula>
    </cfRule>
    <cfRule type="cellIs" dxfId="933" priority="456" operator="greaterThan">
      <formula>0.15</formula>
    </cfRule>
  </conditionalFormatting>
  <conditionalFormatting sqref="Y61">
    <cfRule type="cellIs" dxfId="932" priority="442" operator="lessThan">
      <formula>0.7</formula>
    </cfRule>
    <cfRule type="cellIs" dxfId="931" priority="443" operator="greaterThan">
      <formula>0.7</formula>
    </cfRule>
  </conditionalFormatting>
  <conditionalFormatting sqref="Y69">
    <cfRule type="cellIs" dxfId="930" priority="448" operator="greaterThan">
      <formula>0.1</formula>
    </cfRule>
    <cfRule type="cellIs" dxfId="929" priority="451" operator="lessThan">
      <formula>0.1</formula>
    </cfRule>
  </conditionalFormatting>
  <conditionalFormatting sqref="Y77">
    <cfRule type="cellIs" dxfId="928" priority="455" operator="lessThan">
      <formula>0.2</formula>
    </cfRule>
  </conditionalFormatting>
  <conditionalFormatting sqref="Y86">
    <cfRule type="cellIs" dxfId="927" priority="453" operator="lessThan">
      <formula>0.2</formula>
    </cfRule>
    <cfRule type="cellIs" dxfId="926" priority="454" operator="greaterThan">
      <formula>-0.2</formula>
    </cfRule>
  </conditionalFormatting>
  <conditionalFormatting sqref="Y104">
    <cfRule type="cellIs" dxfId="925" priority="447" operator="greaterThan">
      <formula>0.25</formula>
    </cfRule>
    <cfRule type="cellIs" dxfId="924" priority="452" operator="lessThan">
      <formula>0.25</formula>
    </cfRule>
  </conditionalFormatting>
  <conditionalFormatting sqref="Y110">
    <cfRule type="cellIs" dxfId="923" priority="428" operator="lessThan">
      <formula>2</formula>
    </cfRule>
    <cfRule type="cellIs" dxfId="922" priority="429" operator="greaterThan">
      <formula>2</formula>
    </cfRule>
  </conditionalFormatting>
  <conditionalFormatting sqref="Y116">
    <cfRule type="cellIs" dxfId="921" priority="440" operator="lessThan">
      <formula>0.2</formula>
    </cfRule>
    <cfRule type="cellIs" dxfId="920" priority="441" operator="greaterThan">
      <formula>0.2</formula>
    </cfRule>
  </conditionalFormatting>
  <conditionalFormatting sqref="Y122">
    <cfRule type="cellIs" dxfId="919" priority="436" operator="lessThan">
      <formula>0</formula>
    </cfRule>
    <cfRule type="cellIs" dxfId="918" priority="437" operator="greaterThan">
      <formula>0</formula>
    </cfRule>
  </conditionalFormatting>
  <conditionalFormatting sqref="AA7">
    <cfRule type="cellIs" dxfId="917" priority="510" operator="greaterThan">
      <formula>7</formula>
    </cfRule>
    <cfRule type="cellIs" dxfId="916" priority="524" operator="lessThan">
      <formula>7</formula>
    </cfRule>
  </conditionalFormatting>
  <conditionalFormatting sqref="AA13">
    <cfRule type="cellIs" dxfId="915" priority="511" operator="lessThan">
      <formula>0.15</formula>
    </cfRule>
    <cfRule type="cellIs" dxfId="914" priority="523" operator="greaterThan">
      <formula>0.15</formula>
    </cfRule>
  </conditionalFormatting>
  <conditionalFormatting sqref="AA18">
    <cfRule type="cellIs" dxfId="913" priority="498" operator="lessThan">
      <formula>1</formula>
    </cfRule>
    <cfRule type="cellIs" dxfId="912" priority="499" operator="greaterThan">
      <formula>1</formula>
    </cfRule>
  </conditionalFormatting>
  <conditionalFormatting sqref="AA24">
    <cfRule type="cellIs" dxfId="911" priority="496" operator="lessThan">
      <formula>0.15</formula>
    </cfRule>
    <cfRule type="cellIs" dxfId="910" priority="497" operator="greaterThan">
      <formula>0.15</formula>
    </cfRule>
  </conditionalFormatting>
  <conditionalFormatting sqref="AA30">
    <cfRule type="cellIs" dxfId="909" priority="500" operator="lessThan">
      <formula>0.05</formula>
    </cfRule>
    <cfRule type="cellIs" dxfId="908" priority="501" operator="greaterThan">
      <formula>0.05</formula>
    </cfRule>
  </conditionalFormatting>
  <conditionalFormatting sqref="AA37">
    <cfRule type="cellIs" dxfId="907" priority="492" operator="greaterThan">
      <formula>0.1</formula>
    </cfRule>
    <cfRule type="cellIs" dxfId="906" priority="493" operator="lessThan">
      <formula>0.1</formula>
    </cfRule>
  </conditionalFormatting>
  <conditionalFormatting sqref="AA42">
    <cfRule type="cellIs" dxfId="905" priority="515" operator="lessThan">
      <formula>0.12</formula>
    </cfRule>
    <cfRule type="cellIs" dxfId="904" priority="516" operator="greaterThan">
      <formula>0.12</formula>
    </cfRule>
  </conditionalFormatting>
  <conditionalFormatting sqref="AA48">
    <cfRule type="cellIs" dxfId="903" priority="504" operator="greaterThan">
      <formula>1</formula>
    </cfRule>
    <cfRule type="cellIs" dxfId="902" priority="505" operator="lessThan">
      <formula>1</formula>
    </cfRule>
  </conditionalFormatting>
  <conditionalFormatting sqref="AA55">
    <cfRule type="cellIs" dxfId="901" priority="512" operator="lessThan">
      <formula>0.15</formula>
    </cfRule>
    <cfRule type="cellIs" dxfId="900" priority="522" operator="greaterThan">
      <formula>0.15</formula>
    </cfRule>
  </conditionalFormatting>
  <conditionalFormatting sqref="AA61">
    <cfRule type="cellIs" dxfId="899" priority="508" operator="lessThan">
      <formula>0.7</formula>
    </cfRule>
    <cfRule type="cellIs" dxfId="898" priority="509" operator="greaterThan">
      <formula>0.7</formula>
    </cfRule>
  </conditionalFormatting>
  <conditionalFormatting sqref="AA69">
    <cfRule type="cellIs" dxfId="897" priority="514" operator="greaterThan">
      <formula>0.1</formula>
    </cfRule>
    <cfRule type="cellIs" dxfId="896" priority="517" operator="lessThan">
      <formula>0.1</formula>
    </cfRule>
  </conditionalFormatting>
  <conditionalFormatting sqref="AA77">
    <cfRule type="cellIs" dxfId="895" priority="521" operator="lessThan">
      <formula>0.2</formula>
    </cfRule>
  </conditionalFormatting>
  <conditionalFormatting sqref="AA86">
    <cfRule type="cellIs" dxfId="894" priority="519" operator="lessThan">
      <formula>0.2</formula>
    </cfRule>
    <cfRule type="cellIs" dxfId="893" priority="520" operator="greaterThan">
      <formula>-0.2</formula>
    </cfRule>
  </conditionalFormatting>
  <conditionalFormatting sqref="AA104">
    <cfRule type="cellIs" dxfId="892" priority="513" operator="greaterThan">
      <formula>0.25</formula>
    </cfRule>
    <cfRule type="cellIs" dxfId="891" priority="518" operator="lessThan">
      <formula>0.25</formula>
    </cfRule>
  </conditionalFormatting>
  <conditionalFormatting sqref="AA110">
    <cfRule type="cellIs" dxfId="890" priority="494" operator="lessThan">
      <formula>2</formula>
    </cfRule>
    <cfRule type="cellIs" dxfId="889" priority="495" operator="greaterThan">
      <formula>2</formula>
    </cfRule>
  </conditionalFormatting>
  <conditionalFormatting sqref="AA116">
    <cfRule type="cellIs" dxfId="888" priority="506" operator="lessThan">
      <formula>0.2</formula>
    </cfRule>
    <cfRule type="cellIs" dxfId="887" priority="507" operator="greaterThan">
      <formula>0.2</formula>
    </cfRule>
  </conditionalFormatting>
  <conditionalFormatting sqref="AA122">
    <cfRule type="cellIs" dxfId="886" priority="502" operator="lessThan">
      <formula>0</formula>
    </cfRule>
    <cfRule type="cellIs" dxfId="885" priority="503" operator="greaterThan">
      <formula>0</formula>
    </cfRule>
  </conditionalFormatting>
  <conditionalFormatting sqref="AC7">
    <cfRule type="cellIs" dxfId="884" priority="477" operator="greaterThan">
      <formula>7</formula>
    </cfRule>
    <cfRule type="cellIs" dxfId="883" priority="491" operator="lessThan">
      <formula>7</formula>
    </cfRule>
  </conditionalFormatting>
  <conditionalFormatting sqref="AC13">
    <cfRule type="cellIs" dxfId="882" priority="478" operator="lessThan">
      <formula>0.15</formula>
    </cfRule>
    <cfRule type="cellIs" dxfId="881" priority="490" operator="greaterThan">
      <formula>0.15</formula>
    </cfRule>
  </conditionalFormatting>
  <conditionalFormatting sqref="AC18">
    <cfRule type="cellIs" dxfId="880" priority="465" operator="lessThan">
      <formula>1</formula>
    </cfRule>
    <cfRule type="cellIs" dxfId="879" priority="466" operator="greaterThan">
      <formula>1</formula>
    </cfRule>
  </conditionalFormatting>
  <conditionalFormatting sqref="AC24">
    <cfRule type="cellIs" dxfId="878" priority="463" operator="lessThan">
      <formula>0.15</formula>
    </cfRule>
    <cfRule type="cellIs" dxfId="877" priority="464" operator="greaterThan">
      <formula>0.15</formula>
    </cfRule>
  </conditionalFormatting>
  <conditionalFormatting sqref="AC30">
    <cfRule type="cellIs" dxfId="876" priority="467" operator="lessThan">
      <formula>0.05</formula>
    </cfRule>
    <cfRule type="cellIs" dxfId="875" priority="468" operator="greaterThan">
      <formula>0.05</formula>
    </cfRule>
  </conditionalFormatting>
  <conditionalFormatting sqref="AC37">
    <cfRule type="cellIs" dxfId="874" priority="459" operator="greaterThan">
      <formula>0.1</formula>
    </cfRule>
    <cfRule type="cellIs" dxfId="873" priority="460" operator="lessThan">
      <formula>0.1</formula>
    </cfRule>
  </conditionalFormatting>
  <conditionalFormatting sqref="AC42">
    <cfRule type="cellIs" dxfId="872" priority="482" operator="lessThan">
      <formula>0.12</formula>
    </cfRule>
    <cfRule type="cellIs" dxfId="871" priority="483" operator="greaterThan">
      <formula>0.12</formula>
    </cfRule>
  </conditionalFormatting>
  <conditionalFormatting sqref="AC48">
    <cfRule type="cellIs" dxfId="870" priority="471" operator="greaterThan">
      <formula>1</formula>
    </cfRule>
    <cfRule type="cellIs" dxfId="869" priority="472" operator="lessThan">
      <formula>1</formula>
    </cfRule>
  </conditionalFormatting>
  <conditionalFormatting sqref="AC55">
    <cfRule type="cellIs" dxfId="868" priority="479" operator="lessThan">
      <formula>0.15</formula>
    </cfRule>
    <cfRule type="cellIs" dxfId="867" priority="489" operator="greaterThan">
      <formula>0.15</formula>
    </cfRule>
  </conditionalFormatting>
  <conditionalFormatting sqref="AC61">
    <cfRule type="cellIs" dxfId="866" priority="475" operator="lessThan">
      <formula>0.7</formula>
    </cfRule>
    <cfRule type="cellIs" dxfId="865" priority="476" operator="greaterThan">
      <formula>0.7</formula>
    </cfRule>
  </conditionalFormatting>
  <conditionalFormatting sqref="AC69">
    <cfRule type="cellIs" dxfId="864" priority="481" operator="greaterThan">
      <formula>0.1</formula>
    </cfRule>
    <cfRule type="cellIs" dxfId="863" priority="484" operator="lessThan">
      <formula>0.1</formula>
    </cfRule>
  </conditionalFormatting>
  <conditionalFormatting sqref="AC77">
    <cfRule type="cellIs" dxfId="862" priority="488" operator="lessThan">
      <formula>0.2</formula>
    </cfRule>
  </conditionalFormatting>
  <conditionalFormatting sqref="AC86">
    <cfRule type="cellIs" dxfId="861" priority="486" operator="lessThan">
      <formula>0.2</formula>
    </cfRule>
    <cfRule type="cellIs" dxfId="860" priority="487" operator="greaterThan">
      <formula>-0.2</formula>
    </cfRule>
  </conditionalFormatting>
  <conditionalFormatting sqref="AC104">
    <cfRule type="cellIs" dxfId="859" priority="480" operator="greaterThan">
      <formula>0.25</formula>
    </cfRule>
    <cfRule type="cellIs" dxfId="858" priority="485" operator="lessThan">
      <formula>0.25</formula>
    </cfRule>
  </conditionalFormatting>
  <conditionalFormatting sqref="AC110">
    <cfRule type="cellIs" dxfId="857" priority="461" operator="lessThan">
      <formula>2</formula>
    </cfRule>
    <cfRule type="cellIs" dxfId="856" priority="462" operator="greaterThan">
      <formula>2</formula>
    </cfRule>
  </conditionalFormatting>
  <conditionalFormatting sqref="AC116">
    <cfRule type="cellIs" dxfId="855" priority="473" operator="lessThan">
      <formula>0.2</formula>
    </cfRule>
    <cfRule type="cellIs" dxfId="854" priority="474" operator="greaterThan">
      <formula>0.2</formula>
    </cfRule>
  </conditionalFormatting>
  <conditionalFormatting sqref="AC122">
    <cfRule type="cellIs" dxfId="853" priority="469" operator="lessThan">
      <formula>0</formula>
    </cfRule>
    <cfRule type="cellIs" dxfId="852" priority="470" operator="greaterThan">
      <formula>0</formula>
    </cfRule>
  </conditionalFormatting>
  <conditionalFormatting sqref="AE7">
    <cfRule type="cellIs" dxfId="851" priority="610" operator="greaterThan">
      <formula>7</formula>
    </cfRule>
    <cfRule type="cellIs" dxfId="850" priority="626" operator="lessThan">
      <formula>7</formula>
    </cfRule>
  </conditionalFormatting>
  <conditionalFormatting sqref="AE13">
    <cfRule type="cellIs" dxfId="849" priority="611" operator="lessThan">
      <formula>0.15</formula>
    </cfRule>
    <cfRule type="cellIs" dxfId="848" priority="625" operator="greaterThan">
      <formula>0.15</formula>
    </cfRule>
  </conditionalFormatting>
  <conditionalFormatting sqref="AE18">
    <cfRule type="cellIs" dxfId="847" priority="598" operator="lessThan">
      <formula>1</formula>
    </cfRule>
    <cfRule type="cellIs" dxfId="846" priority="599" operator="greaterThan">
      <formula>1</formula>
    </cfRule>
  </conditionalFormatting>
  <conditionalFormatting sqref="AE24">
    <cfRule type="cellIs" dxfId="845" priority="596" operator="lessThan">
      <formula>0.15</formula>
    </cfRule>
    <cfRule type="cellIs" dxfId="844" priority="597" operator="greaterThan">
      <formula>0.15</formula>
    </cfRule>
  </conditionalFormatting>
  <conditionalFormatting sqref="AE30">
    <cfRule type="cellIs" dxfId="843" priority="600" operator="lessThan">
      <formula>0.05</formula>
    </cfRule>
    <cfRule type="cellIs" dxfId="842" priority="601" operator="greaterThan">
      <formula>0.05</formula>
    </cfRule>
  </conditionalFormatting>
  <conditionalFormatting sqref="AE37">
    <cfRule type="cellIs" dxfId="841" priority="558" operator="greaterThan">
      <formula>0.1</formula>
    </cfRule>
    <cfRule type="cellIs" dxfId="840" priority="559" operator="lessThan">
      <formula>0.1</formula>
    </cfRule>
  </conditionalFormatting>
  <conditionalFormatting sqref="AE42">
    <cfRule type="cellIs" dxfId="839" priority="616" operator="lessThan">
      <formula>0.12</formula>
    </cfRule>
    <cfRule type="cellIs" dxfId="838" priority="617" operator="greaterThan">
      <formula>0.12</formula>
    </cfRule>
  </conditionalFormatting>
  <conditionalFormatting sqref="AE48">
    <cfRule type="cellIs" dxfId="837" priority="604" operator="greaterThan">
      <formula>1</formula>
    </cfRule>
    <cfRule type="cellIs" dxfId="836" priority="605" operator="lessThan">
      <formula>1</formula>
    </cfRule>
  </conditionalFormatting>
  <conditionalFormatting sqref="AE55">
    <cfRule type="cellIs" dxfId="835" priority="613" operator="lessThan">
      <formula>0.15</formula>
    </cfRule>
    <cfRule type="cellIs" dxfId="834" priority="623" operator="greaterThan">
      <formula>0.15</formula>
    </cfRule>
  </conditionalFormatting>
  <conditionalFormatting sqref="AE61">
    <cfRule type="cellIs" dxfId="833" priority="608" operator="lessThan">
      <formula>0.7</formula>
    </cfRule>
    <cfRule type="cellIs" dxfId="832" priority="609" operator="greaterThan">
      <formula>0.7</formula>
    </cfRule>
  </conditionalFormatting>
  <conditionalFormatting sqref="AE69">
    <cfRule type="cellIs" dxfId="831" priority="615" operator="greaterThan">
      <formula>0.1</formula>
    </cfRule>
    <cfRule type="cellIs" dxfId="830" priority="618" operator="lessThan">
      <formula>0.1</formula>
    </cfRule>
  </conditionalFormatting>
  <conditionalFormatting sqref="AE77">
    <cfRule type="cellIs" dxfId="829" priority="622" operator="lessThan">
      <formula>0.2</formula>
    </cfRule>
  </conditionalFormatting>
  <conditionalFormatting sqref="AE86">
    <cfRule type="cellIs" dxfId="828" priority="620" operator="lessThan">
      <formula>0.2</formula>
    </cfRule>
    <cfRule type="cellIs" dxfId="827" priority="621" operator="greaterThan">
      <formula>-0.2</formula>
    </cfRule>
  </conditionalFormatting>
  <conditionalFormatting sqref="AE104">
    <cfRule type="cellIs" dxfId="826" priority="614" operator="greaterThan">
      <formula>0.25</formula>
    </cfRule>
    <cfRule type="cellIs" dxfId="825" priority="619" operator="lessThan">
      <formula>0.25</formula>
    </cfRule>
  </conditionalFormatting>
  <conditionalFormatting sqref="AE110">
    <cfRule type="cellIs" dxfId="824" priority="594" operator="lessThan">
      <formula>2</formula>
    </cfRule>
    <cfRule type="cellIs" dxfId="823" priority="595" operator="greaterThan">
      <formula>2</formula>
    </cfRule>
  </conditionalFormatting>
  <conditionalFormatting sqref="AE116">
    <cfRule type="cellIs" dxfId="822" priority="606" operator="lessThan">
      <formula>0.2</formula>
    </cfRule>
    <cfRule type="cellIs" dxfId="821" priority="607" operator="greaterThan">
      <formula>0.2</formula>
    </cfRule>
  </conditionalFormatting>
  <conditionalFormatting sqref="AE122">
    <cfRule type="cellIs" dxfId="820" priority="602" operator="lessThan">
      <formula>0</formula>
    </cfRule>
    <cfRule type="cellIs" dxfId="819" priority="603" operator="greaterThan">
      <formula>0</formula>
    </cfRule>
  </conditionalFormatting>
  <conditionalFormatting sqref="AG7">
    <cfRule type="cellIs" dxfId="818" priority="577" operator="greaterThan">
      <formula>7</formula>
    </cfRule>
    <cfRule type="cellIs" dxfId="817" priority="593" operator="lessThan">
      <formula>7</formula>
    </cfRule>
  </conditionalFormatting>
  <conditionalFormatting sqref="AG13">
    <cfRule type="cellIs" dxfId="816" priority="578" operator="lessThan">
      <formula>0.15</formula>
    </cfRule>
    <cfRule type="cellIs" dxfId="815" priority="592" operator="greaterThan">
      <formula>0.15</formula>
    </cfRule>
  </conditionalFormatting>
  <conditionalFormatting sqref="AG18">
    <cfRule type="cellIs" dxfId="814" priority="565" operator="lessThan">
      <formula>1</formula>
    </cfRule>
    <cfRule type="cellIs" dxfId="813" priority="566" operator="greaterThan">
      <formula>1</formula>
    </cfRule>
  </conditionalFormatting>
  <conditionalFormatting sqref="AG24">
    <cfRule type="cellIs" dxfId="812" priority="563" operator="lessThan">
      <formula>0.15</formula>
    </cfRule>
    <cfRule type="cellIs" dxfId="811" priority="564" operator="greaterThan">
      <formula>0.15</formula>
    </cfRule>
  </conditionalFormatting>
  <conditionalFormatting sqref="AG30">
    <cfRule type="cellIs" dxfId="810" priority="567" operator="lessThan">
      <formula>0.05</formula>
    </cfRule>
    <cfRule type="cellIs" dxfId="809" priority="568" operator="greaterThan">
      <formula>0.05</formula>
    </cfRule>
  </conditionalFormatting>
  <conditionalFormatting sqref="AG37">
    <cfRule type="cellIs" dxfId="808" priority="579" operator="greaterThan">
      <formula>0.08</formula>
    </cfRule>
    <cfRule type="cellIs" dxfId="807" priority="591" operator="lessThan">
      <formula>0.08</formula>
    </cfRule>
  </conditionalFormatting>
  <conditionalFormatting sqref="AG42">
    <cfRule type="cellIs" dxfId="806" priority="583" operator="lessThan">
      <formula>0.12</formula>
    </cfRule>
    <cfRule type="cellIs" dxfId="805" priority="584" operator="greaterThan">
      <formula>0.12</formula>
    </cfRule>
  </conditionalFormatting>
  <conditionalFormatting sqref="AG48">
    <cfRule type="cellIs" dxfId="804" priority="571" operator="greaterThan">
      <formula>1</formula>
    </cfRule>
    <cfRule type="cellIs" dxfId="803" priority="572" operator="lessThan">
      <formula>1</formula>
    </cfRule>
  </conditionalFormatting>
  <conditionalFormatting sqref="AG55">
    <cfRule type="cellIs" dxfId="802" priority="580" operator="lessThan">
      <formula>0.15</formula>
    </cfRule>
    <cfRule type="cellIs" dxfId="801" priority="590" operator="greaterThan">
      <formula>0.15</formula>
    </cfRule>
  </conditionalFormatting>
  <conditionalFormatting sqref="AG61">
    <cfRule type="cellIs" dxfId="800" priority="575" operator="lessThan">
      <formula>0.7</formula>
    </cfRule>
    <cfRule type="cellIs" dxfId="799" priority="576" operator="greaterThan">
      <formula>0.7</formula>
    </cfRule>
  </conditionalFormatting>
  <conditionalFormatting sqref="AG69">
    <cfRule type="cellIs" dxfId="798" priority="582" operator="greaterThan">
      <formula>0.1</formula>
    </cfRule>
    <cfRule type="cellIs" dxfId="797" priority="585" operator="lessThan">
      <formula>0.1</formula>
    </cfRule>
  </conditionalFormatting>
  <conditionalFormatting sqref="AG77">
    <cfRule type="cellIs" dxfId="796" priority="589" operator="lessThan">
      <formula>0.2</formula>
    </cfRule>
  </conditionalFormatting>
  <conditionalFormatting sqref="AG86">
    <cfRule type="cellIs" dxfId="795" priority="587" operator="lessThan">
      <formula>0.2</formula>
    </cfRule>
    <cfRule type="cellIs" dxfId="794" priority="588" operator="greaterThan">
      <formula>-0.2</formula>
    </cfRule>
  </conditionalFormatting>
  <conditionalFormatting sqref="AG104">
    <cfRule type="cellIs" dxfId="793" priority="581" operator="greaterThan">
      <formula>0.25</formula>
    </cfRule>
    <cfRule type="cellIs" dxfId="792" priority="586" operator="lessThan">
      <formula>0.25</formula>
    </cfRule>
  </conditionalFormatting>
  <conditionalFormatting sqref="AG110">
    <cfRule type="cellIs" dxfId="791" priority="561" operator="lessThan">
      <formula>2</formula>
    </cfRule>
    <cfRule type="cellIs" dxfId="790" priority="562" operator="greaterThan">
      <formula>2</formula>
    </cfRule>
  </conditionalFormatting>
  <conditionalFormatting sqref="AG116">
    <cfRule type="cellIs" dxfId="789" priority="573" operator="lessThan">
      <formula>0.2</formula>
    </cfRule>
    <cfRule type="cellIs" dxfId="788" priority="574" operator="greaterThan">
      <formula>0.2</formula>
    </cfRule>
  </conditionalFormatting>
  <conditionalFormatting sqref="AG122">
    <cfRule type="cellIs" dxfId="787" priority="569" operator="lessThan">
      <formula>0</formula>
    </cfRule>
    <cfRule type="cellIs" dxfId="786" priority="570" operator="greaterThan">
      <formula>0</formula>
    </cfRule>
  </conditionalFormatting>
  <conditionalFormatting sqref="AI7">
    <cfRule type="cellIs" dxfId="785" priority="643" operator="greaterThan">
      <formula>7</formula>
    </cfRule>
    <cfRule type="cellIs" dxfId="784" priority="659" operator="lessThan">
      <formula>7</formula>
    </cfRule>
  </conditionalFormatting>
  <conditionalFormatting sqref="AI13">
    <cfRule type="cellIs" dxfId="783" priority="644" operator="lessThan">
      <formula>0.15</formula>
    </cfRule>
    <cfRule type="cellIs" dxfId="782" priority="658" operator="greaterThan">
      <formula>0.15</formula>
    </cfRule>
  </conditionalFormatting>
  <conditionalFormatting sqref="AI18">
    <cfRule type="cellIs" dxfId="781" priority="631" operator="lessThan">
      <formula>1</formula>
    </cfRule>
    <cfRule type="cellIs" dxfId="780" priority="632" operator="greaterThan">
      <formula>1</formula>
    </cfRule>
  </conditionalFormatting>
  <conditionalFormatting sqref="AI24">
    <cfRule type="cellIs" dxfId="779" priority="629" operator="lessThan">
      <formula>0.15</formula>
    </cfRule>
    <cfRule type="cellIs" dxfId="778" priority="630" operator="greaterThan">
      <formula>0.15</formula>
    </cfRule>
  </conditionalFormatting>
  <conditionalFormatting sqref="AI30">
    <cfRule type="cellIs" dxfId="777" priority="633" operator="lessThan">
      <formula>0.05</formula>
    </cfRule>
    <cfRule type="cellIs" dxfId="776" priority="634" operator="greaterThan">
      <formula>0.05</formula>
    </cfRule>
  </conditionalFormatting>
  <conditionalFormatting sqref="AI37">
    <cfRule type="cellIs" dxfId="775" priority="645" operator="greaterThan">
      <formula>0.08</formula>
    </cfRule>
    <cfRule type="cellIs" dxfId="774" priority="657" operator="lessThan">
      <formula>0.08</formula>
    </cfRule>
  </conditionalFormatting>
  <conditionalFormatting sqref="AI42">
    <cfRule type="cellIs" dxfId="773" priority="649" operator="lessThan">
      <formula>0.12</formula>
    </cfRule>
    <cfRule type="cellIs" dxfId="772" priority="650" operator="greaterThan">
      <formula>0.12</formula>
    </cfRule>
  </conditionalFormatting>
  <conditionalFormatting sqref="AI48">
    <cfRule type="cellIs" dxfId="771" priority="637" operator="greaterThan">
      <formula>1</formula>
    </cfRule>
    <cfRule type="cellIs" dxfId="770" priority="638" operator="lessThan">
      <formula>1</formula>
    </cfRule>
  </conditionalFormatting>
  <conditionalFormatting sqref="AI55">
    <cfRule type="cellIs" dxfId="769" priority="646" operator="lessThan">
      <formula>0.15</formula>
    </cfRule>
    <cfRule type="cellIs" dxfId="768" priority="656" operator="greaterThan">
      <formula>0.15</formula>
    </cfRule>
  </conditionalFormatting>
  <conditionalFormatting sqref="AI61">
    <cfRule type="cellIs" dxfId="767" priority="641" operator="lessThan">
      <formula>0.7</formula>
    </cfRule>
    <cfRule type="cellIs" dxfId="766" priority="642" operator="greaterThan">
      <formula>0.7</formula>
    </cfRule>
  </conditionalFormatting>
  <conditionalFormatting sqref="AI69">
    <cfRule type="cellIs" dxfId="765" priority="648" operator="greaterThan">
      <formula>0.1</formula>
    </cfRule>
    <cfRule type="cellIs" dxfId="764" priority="651" operator="lessThan">
      <formula>0.1</formula>
    </cfRule>
  </conditionalFormatting>
  <conditionalFormatting sqref="AI77">
    <cfRule type="cellIs" dxfId="763" priority="655" operator="lessThan">
      <formula>0.2</formula>
    </cfRule>
  </conditionalFormatting>
  <conditionalFormatting sqref="AI86">
    <cfRule type="cellIs" dxfId="762" priority="653" operator="lessThan">
      <formula>0.2</formula>
    </cfRule>
    <cfRule type="cellIs" dxfId="761" priority="654" operator="greaterThan">
      <formula>-0.2</formula>
    </cfRule>
  </conditionalFormatting>
  <conditionalFormatting sqref="AI104">
    <cfRule type="cellIs" dxfId="760" priority="647" operator="greaterThan">
      <formula>0.25</formula>
    </cfRule>
    <cfRule type="cellIs" dxfId="759" priority="652" operator="lessThan">
      <formula>0.25</formula>
    </cfRule>
  </conditionalFormatting>
  <conditionalFormatting sqref="AI110">
    <cfRule type="cellIs" dxfId="758" priority="627" operator="lessThan">
      <formula>2</formula>
    </cfRule>
    <cfRule type="cellIs" dxfId="757" priority="628" operator="greaterThan">
      <formula>2</formula>
    </cfRule>
  </conditionalFormatting>
  <conditionalFormatting sqref="AI116">
    <cfRule type="cellIs" dxfId="756" priority="639" operator="lessThan">
      <formula>0.2</formula>
    </cfRule>
    <cfRule type="cellIs" dxfId="755" priority="640" operator="greaterThan">
      <formula>0.2</formula>
    </cfRule>
  </conditionalFormatting>
  <conditionalFormatting sqref="AI122">
    <cfRule type="cellIs" dxfId="754" priority="635" operator="lessThan">
      <formula>0</formula>
    </cfRule>
    <cfRule type="cellIs" dxfId="753" priority="636" operator="greaterThan">
      <formula>0</formula>
    </cfRule>
  </conditionalFormatting>
  <conditionalFormatting sqref="AK7">
    <cfRule type="cellIs" dxfId="752" priority="888" operator="greaterThan">
      <formula>7</formula>
    </cfRule>
    <cfRule type="cellIs" dxfId="751" priority="904" operator="lessThan">
      <formula>7</formula>
    </cfRule>
  </conditionalFormatting>
  <conditionalFormatting sqref="AK13">
    <cfRule type="cellIs" dxfId="750" priority="889" operator="lessThan">
      <formula>0.15</formula>
    </cfRule>
    <cfRule type="cellIs" dxfId="749" priority="903" operator="greaterThan">
      <formula>0.15</formula>
    </cfRule>
  </conditionalFormatting>
  <conditionalFormatting sqref="AK18">
    <cfRule type="cellIs" dxfId="748" priority="876" operator="lessThan">
      <formula>1</formula>
    </cfRule>
    <cfRule type="cellIs" dxfId="747" priority="877" operator="greaterThan">
      <formula>1</formula>
    </cfRule>
  </conditionalFormatting>
  <conditionalFormatting sqref="AK24">
    <cfRule type="cellIs" dxfId="746" priority="874" operator="lessThan">
      <formula>0.15</formula>
    </cfRule>
    <cfRule type="cellIs" dxfId="745" priority="875" operator="greaterThan">
      <formula>0.15</formula>
    </cfRule>
  </conditionalFormatting>
  <conditionalFormatting sqref="AK30">
    <cfRule type="cellIs" dxfId="744" priority="878" operator="lessThan">
      <formula>0.05</formula>
    </cfRule>
    <cfRule type="cellIs" dxfId="743" priority="879" operator="greaterThan">
      <formula>0.05</formula>
    </cfRule>
  </conditionalFormatting>
  <conditionalFormatting sqref="AK37">
    <cfRule type="cellIs" dxfId="742" priority="890" operator="greaterThan">
      <formula>0.08</formula>
    </cfRule>
    <cfRule type="cellIs" dxfId="741" priority="902" operator="lessThan">
      <formula>0.08</formula>
    </cfRule>
  </conditionalFormatting>
  <conditionalFormatting sqref="AK42">
    <cfRule type="cellIs" dxfId="740" priority="894" operator="lessThan">
      <formula>0.12</formula>
    </cfRule>
    <cfRule type="cellIs" dxfId="739" priority="895" operator="greaterThan">
      <formula>0.12</formula>
    </cfRule>
  </conditionalFormatting>
  <conditionalFormatting sqref="AK48">
    <cfRule type="cellIs" dxfId="738" priority="882" operator="greaterThan">
      <formula>1</formula>
    </cfRule>
    <cfRule type="cellIs" dxfId="737" priority="883" operator="lessThan">
      <formula>1</formula>
    </cfRule>
  </conditionalFormatting>
  <conditionalFormatting sqref="AK55">
    <cfRule type="cellIs" dxfId="736" priority="891" operator="lessThan">
      <formula>0.15</formula>
    </cfRule>
    <cfRule type="cellIs" dxfId="735" priority="901" operator="greaterThan">
      <formula>0.15</formula>
    </cfRule>
  </conditionalFormatting>
  <conditionalFormatting sqref="AK61">
    <cfRule type="cellIs" dxfId="734" priority="886" operator="lessThan">
      <formula>0.7</formula>
    </cfRule>
    <cfRule type="cellIs" dxfId="733" priority="887" operator="greaterThan">
      <formula>0.7</formula>
    </cfRule>
  </conditionalFormatting>
  <conditionalFormatting sqref="AK69">
    <cfRule type="cellIs" dxfId="732" priority="893" operator="greaterThan">
      <formula>0.1</formula>
    </cfRule>
    <cfRule type="cellIs" dxfId="731" priority="896" operator="lessThan">
      <formula>0.1</formula>
    </cfRule>
  </conditionalFormatting>
  <conditionalFormatting sqref="AK77">
    <cfRule type="cellIs" dxfId="730" priority="900" operator="lessThan">
      <formula>0.2</formula>
    </cfRule>
  </conditionalFormatting>
  <conditionalFormatting sqref="AK86">
    <cfRule type="cellIs" dxfId="729" priority="898" operator="lessThan">
      <formula>0.2</formula>
    </cfRule>
    <cfRule type="cellIs" dxfId="728" priority="899" operator="greaterThan">
      <formula>-0.2</formula>
    </cfRule>
  </conditionalFormatting>
  <conditionalFormatting sqref="AK104">
    <cfRule type="cellIs" dxfId="727" priority="892" operator="greaterThan">
      <formula>0.25</formula>
    </cfRule>
    <cfRule type="cellIs" dxfId="726" priority="897" operator="lessThan">
      <formula>0.25</formula>
    </cfRule>
  </conditionalFormatting>
  <conditionalFormatting sqref="AK110">
    <cfRule type="cellIs" dxfId="725" priority="870" operator="lessThan">
      <formula>2</formula>
    </cfRule>
    <cfRule type="cellIs" dxfId="724" priority="871" operator="greaterThan">
      <formula>2</formula>
    </cfRule>
  </conditionalFormatting>
  <conditionalFormatting sqref="AK116">
    <cfRule type="cellIs" dxfId="723" priority="884" operator="lessThan">
      <formula>0.2</formula>
    </cfRule>
    <cfRule type="cellIs" dxfId="722" priority="885" operator="greaterThan">
      <formula>0.2</formula>
    </cfRule>
  </conditionalFormatting>
  <conditionalFormatting sqref="AK122">
    <cfRule type="cellIs" dxfId="721" priority="880" operator="lessThan">
      <formula>0</formula>
    </cfRule>
    <cfRule type="cellIs" dxfId="720" priority="881" operator="greaterThan">
      <formula>0</formula>
    </cfRule>
  </conditionalFormatting>
  <conditionalFormatting sqref="AM7">
    <cfRule type="cellIs" dxfId="719" priority="678" operator="greaterThan">
      <formula>7</formula>
    </cfRule>
    <cfRule type="cellIs" dxfId="718" priority="694" operator="lessThan">
      <formula>7</formula>
    </cfRule>
  </conditionalFormatting>
  <conditionalFormatting sqref="AM13">
    <cfRule type="cellIs" dxfId="717" priority="679" operator="lessThan">
      <formula>0.15</formula>
    </cfRule>
    <cfRule type="cellIs" dxfId="716" priority="693" operator="greaterThan">
      <formula>0.15</formula>
    </cfRule>
  </conditionalFormatting>
  <conditionalFormatting sqref="AM18">
    <cfRule type="cellIs" dxfId="715" priority="666" operator="lessThan">
      <formula>1</formula>
    </cfRule>
    <cfRule type="cellIs" dxfId="714" priority="667" operator="greaterThan">
      <formula>1</formula>
    </cfRule>
  </conditionalFormatting>
  <conditionalFormatting sqref="AM24">
    <cfRule type="cellIs" dxfId="713" priority="664" operator="lessThan">
      <formula>0.15</formula>
    </cfRule>
    <cfRule type="cellIs" dxfId="712" priority="665" operator="greaterThan">
      <formula>0.15</formula>
    </cfRule>
  </conditionalFormatting>
  <conditionalFormatting sqref="AM30">
    <cfRule type="cellIs" dxfId="711" priority="668" operator="lessThan">
      <formula>0.05</formula>
    </cfRule>
    <cfRule type="cellIs" dxfId="710" priority="669" operator="greaterThan">
      <formula>0.05</formula>
    </cfRule>
  </conditionalFormatting>
  <conditionalFormatting sqref="AM37">
    <cfRule type="cellIs" dxfId="709" priority="680" operator="greaterThan">
      <formula>0.08</formula>
    </cfRule>
    <cfRule type="cellIs" dxfId="708" priority="692" operator="lessThan">
      <formula>0.08</formula>
    </cfRule>
  </conditionalFormatting>
  <conditionalFormatting sqref="AM42">
    <cfRule type="cellIs" dxfId="707" priority="684" operator="lessThan">
      <formula>0.12</formula>
    </cfRule>
    <cfRule type="cellIs" dxfId="706" priority="685" operator="greaterThan">
      <formula>0.12</formula>
    </cfRule>
  </conditionalFormatting>
  <conditionalFormatting sqref="AM48">
    <cfRule type="cellIs" dxfId="705" priority="672" operator="greaterThan">
      <formula>1</formula>
    </cfRule>
    <cfRule type="cellIs" dxfId="704" priority="673" operator="lessThan">
      <formula>1</formula>
    </cfRule>
  </conditionalFormatting>
  <conditionalFormatting sqref="AM55">
    <cfRule type="cellIs" dxfId="703" priority="681" operator="lessThan">
      <formula>0.15</formula>
    </cfRule>
    <cfRule type="cellIs" dxfId="702" priority="691" operator="greaterThan">
      <formula>0.15</formula>
    </cfRule>
  </conditionalFormatting>
  <conditionalFormatting sqref="AM61">
    <cfRule type="cellIs" dxfId="701" priority="676" operator="lessThan">
      <formula>0.7</formula>
    </cfRule>
    <cfRule type="cellIs" dxfId="700" priority="677" operator="greaterThan">
      <formula>0.7</formula>
    </cfRule>
  </conditionalFormatting>
  <conditionalFormatting sqref="AM69">
    <cfRule type="cellIs" dxfId="699" priority="683" operator="greaterThan">
      <formula>0.1</formula>
    </cfRule>
    <cfRule type="cellIs" dxfId="698" priority="686" operator="lessThan">
      <formula>0.1</formula>
    </cfRule>
  </conditionalFormatting>
  <conditionalFormatting sqref="AM77">
    <cfRule type="cellIs" dxfId="697" priority="690" operator="lessThan">
      <formula>0.2</formula>
    </cfRule>
  </conditionalFormatting>
  <conditionalFormatting sqref="AM86">
    <cfRule type="cellIs" dxfId="696" priority="688" operator="lessThan">
      <formula>0.2</formula>
    </cfRule>
    <cfRule type="cellIs" dxfId="695" priority="689" operator="greaterThan">
      <formula>-0.2</formula>
    </cfRule>
  </conditionalFormatting>
  <conditionalFormatting sqref="AM104">
    <cfRule type="cellIs" dxfId="694" priority="682" operator="greaterThan">
      <formula>0.25</formula>
    </cfRule>
    <cfRule type="cellIs" dxfId="693" priority="687" operator="lessThan">
      <formula>0.25</formula>
    </cfRule>
  </conditionalFormatting>
  <conditionalFormatting sqref="AM110">
    <cfRule type="cellIs" dxfId="692" priority="660" operator="lessThan">
      <formula>2</formula>
    </cfRule>
    <cfRule type="cellIs" dxfId="691" priority="661" operator="greaterThan">
      <formula>2</formula>
    </cfRule>
  </conditionalFormatting>
  <conditionalFormatting sqref="AM116">
    <cfRule type="cellIs" dxfId="690" priority="674" operator="lessThan">
      <formula>0.2</formula>
    </cfRule>
    <cfRule type="cellIs" dxfId="689" priority="675" operator="greaterThan">
      <formula>0.2</formula>
    </cfRule>
  </conditionalFormatting>
  <conditionalFormatting sqref="AM122">
    <cfRule type="cellIs" dxfId="688" priority="670" operator="lessThan">
      <formula>0</formula>
    </cfRule>
    <cfRule type="cellIs" dxfId="687" priority="671" operator="greaterThan">
      <formula>0</formula>
    </cfRule>
  </conditionalFormatting>
  <conditionalFormatting sqref="AO7">
    <cfRule type="cellIs" dxfId="686" priority="713" operator="greaterThan">
      <formula>7</formula>
    </cfRule>
    <cfRule type="cellIs" dxfId="685" priority="729" operator="lessThan">
      <formula>7</formula>
    </cfRule>
  </conditionalFormatting>
  <conditionalFormatting sqref="AO13">
    <cfRule type="cellIs" dxfId="684" priority="714" operator="lessThan">
      <formula>0.15</formula>
    </cfRule>
    <cfRule type="cellIs" dxfId="683" priority="728" operator="greaterThan">
      <formula>0.15</formula>
    </cfRule>
  </conditionalFormatting>
  <conditionalFormatting sqref="AO18">
    <cfRule type="cellIs" dxfId="682" priority="701" operator="lessThan">
      <formula>1</formula>
    </cfRule>
    <cfRule type="cellIs" dxfId="681" priority="702" operator="greaterThan">
      <formula>1</formula>
    </cfRule>
  </conditionalFormatting>
  <conditionalFormatting sqref="AO24">
    <cfRule type="cellIs" dxfId="680" priority="699" operator="lessThan">
      <formula>0.15</formula>
    </cfRule>
    <cfRule type="cellIs" dxfId="679" priority="700" operator="greaterThan">
      <formula>0.15</formula>
    </cfRule>
  </conditionalFormatting>
  <conditionalFormatting sqref="AO30">
    <cfRule type="cellIs" dxfId="678" priority="703" operator="lessThan">
      <formula>0.05</formula>
    </cfRule>
    <cfRule type="cellIs" dxfId="677" priority="704" operator="greaterThan">
      <formula>0.05</formula>
    </cfRule>
  </conditionalFormatting>
  <conditionalFormatting sqref="AO37">
    <cfRule type="cellIs" dxfId="676" priority="715" operator="greaterThan">
      <formula>0.08</formula>
    </cfRule>
    <cfRule type="cellIs" dxfId="675" priority="727" operator="lessThan">
      <formula>0.08</formula>
    </cfRule>
  </conditionalFormatting>
  <conditionalFormatting sqref="AO42">
    <cfRule type="cellIs" dxfId="674" priority="719" operator="lessThan">
      <formula>0.12</formula>
    </cfRule>
    <cfRule type="cellIs" dxfId="673" priority="720" operator="greaterThan">
      <formula>0.12</formula>
    </cfRule>
  </conditionalFormatting>
  <conditionalFormatting sqref="AO48">
    <cfRule type="cellIs" dxfId="672" priority="707" operator="greaterThan">
      <formula>1</formula>
    </cfRule>
    <cfRule type="cellIs" dxfId="671" priority="708" operator="lessThan">
      <formula>1</formula>
    </cfRule>
  </conditionalFormatting>
  <conditionalFormatting sqref="AO55">
    <cfRule type="cellIs" dxfId="670" priority="716" operator="lessThan">
      <formula>0.15</formula>
    </cfRule>
    <cfRule type="cellIs" dxfId="669" priority="726" operator="greaterThan">
      <formula>0.15</formula>
    </cfRule>
  </conditionalFormatting>
  <conditionalFormatting sqref="AO61">
    <cfRule type="cellIs" dxfId="668" priority="711" operator="lessThan">
      <formula>0.7</formula>
    </cfRule>
    <cfRule type="cellIs" dxfId="667" priority="712" operator="greaterThan">
      <formula>0.7</formula>
    </cfRule>
  </conditionalFormatting>
  <conditionalFormatting sqref="AO69">
    <cfRule type="cellIs" dxfId="666" priority="718" operator="greaterThan">
      <formula>0.1</formula>
    </cfRule>
    <cfRule type="cellIs" dxfId="665" priority="721" operator="lessThan">
      <formula>0.1</formula>
    </cfRule>
  </conditionalFormatting>
  <conditionalFormatting sqref="AO77">
    <cfRule type="cellIs" dxfId="664" priority="725" operator="lessThan">
      <formula>0.2</formula>
    </cfRule>
  </conditionalFormatting>
  <conditionalFormatting sqref="AO86">
    <cfRule type="cellIs" dxfId="663" priority="723" operator="lessThan">
      <formula>0.2</formula>
    </cfRule>
    <cfRule type="cellIs" dxfId="662" priority="724" operator="greaterThan">
      <formula>-0.2</formula>
    </cfRule>
  </conditionalFormatting>
  <conditionalFormatting sqref="AO104">
    <cfRule type="cellIs" dxfId="661" priority="717" operator="greaterThan">
      <formula>0.25</formula>
    </cfRule>
    <cfRule type="cellIs" dxfId="660" priority="722" operator="lessThan">
      <formula>0.25</formula>
    </cfRule>
  </conditionalFormatting>
  <conditionalFormatting sqref="AO110">
    <cfRule type="cellIs" dxfId="659" priority="695" operator="lessThan">
      <formula>2</formula>
    </cfRule>
    <cfRule type="cellIs" dxfId="658" priority="696" operator="greaterThan">
      <formula>2</formula>
    </cfRule>
  </conditionalFormatting>
  <conditionalFormatting sqref="AO116">
    <cfRule type="cellIs" dxfId="657" priority="709" operator="lessThan">
      <formula>0.2</formula>
    </cfRule>
    <cfRule type="cellIs" dxfId="656" priority="710" operator="greaterThan">
      <formula>0.2</formula>
    </cfRule>
  </conditionalFormatting>
  <conditionalFormatting sqref="AO122">
    <cfRule type="cellIs" dxfId="655" priority="705" operator="lessThan">
      <formula>0</formula>
    </cfRule>
    <cfRule type="cellIs" dxfId="654" priority="706" operator="greaterThan">
      <formula>0</formula>
    </cfRule>
  </conditionalFormatting>
  <conditionalFormatting sqref="AQ7">
    <cfRule type="cellIs" dxfId="653" priority="923" operator="greaterThan">
      <formula>7</formula>
    </cfRule>
    <cfRule type="cellIs" dxfId="652" priority="939" operator="lessThan">
      <formula>7</formula>
    </cfRule>
  </conditionalFormatting>
  <conditionalFormatting sqref="AQ13">
    <cfRule type="cellIs" dxfId="651" priority="924" operator="lessThan">
      <formula>0.15</formula>
    </cfRule>
    <cfRule type="cellIs" dxfId="650" priority="938" operator="greaterThan">
      <formula>0.15</formula>
    </cfRule>
  </conditionalFormatting>
  <conditionalFormatting sqref="AQ18">
    <cfRule type="cellIs" dxfId="649" priority="911" operator="lessThan">
      <formula>1</formula>
    </cfRule>
    <cfRule type="cellIs" dxfId="648" priority="912" operator="greaterThan">
      <formula>1</formula>
    </cfRule>
  </conditionalFormatting>
  <conditionalFormatting sqref="AQ24">
    <cfRule type="cellIs" dxfId="647" priority="909" operator="lessThan">
      <formula>0.15</formula>
    </cfRule>
    <cfRule type="cellIs" dxfId="646" priority="910" operator="greaterThan">
      <formula>0.15</formula>
    </cfRule>
  </conditionalFormatting>
  <conditionalFormatting sqref="AQ30">
    <cfRule type="cellIs" dxfId="645" priority="913" operator="lessThan">
      <formula>0.05</formula>
    </cfRule>
    <cfRule type="cellIs" dxfId="644" priority="914" operator="greaterThan">
      <formula>0.05</formula>
    </cfRule>
  </conditionalFormatting>
  <conditionalFormatting sqref="AQ37">
    <cfRule type="cellIs" dxfId="643" priority="925" operator="greaterThan">
      <formula>0.08</formula>
    </cfRule>
    <cfRule type="cellIs" dxfId="642" priority="937" operator="lessThan">
      <formula>0.08</formula>
    </cfRule>
  </conditionalFormatting>
  <conditionalFormatting sqref="AQ42">
    <cfRule type="cellIs" dxfId="641" priority="929" operator="lessThan">
      <formula>0.12</formula>
    </cfRule>
    <cfRule type="cellIs" dxfId="640" priority="930" operator="greaterThan">
      <formula>0.12</formula>
    </cfRule>
  </conditionalFormatting>
  <conditionalFormatting sqref="AQ48">
    <cfRule type="cellIs" dxfId="639" priority="917" operator="greaterThan">
      <formula>1</formula>
    </cfRule>
    <cfRule type="cellIs" dxfId="638" priority="918" operator="lessThan">
      <formula>1</formula>
    </cfRule>
  </conditionalFormatting>
  <conditionalFormatting sqref="AQ55">
    <cfRule type="cellIs" dxfId="637" priority="926" operator="lessThan">
      <formula>0.15</formula>
    </cfRule>
    <cfRule type="cellIs" dxfId="636" priority="936" operator="greaterThan">
      <formula>0.15</formula>
    </cfRule>
  </conditionalFormatting>
  <conditionalFormatting sqref="AQ61">
    <cfRule type="cellIs" dxfId="635" priority="921" operator="lessThan">
      <formula>0.7</formula>
    </cfRule>
    <cfRule type="cellIs" dxfId="634" priority="922" operator="greaterThan">
      <formula>0.7</formula>
    </cfRule>
  </conditionalFormatting>
  <conditionalFormatting sqref="AQ69">
    <cfRule type="cellIs" dxfId="633" priority="928" operator="greaterThan">
      <formula>0.1</formula>
    </cfRule>
    <cfRule type="cellIs" dxfId="632" priority="931" operator="lessThan">
      <formula>0.1</formula>
    </cfRule>
  </conditionalFormatting>
  <conditionalFormatting sqref="AQ77">
    <cfRule type="cellIs" dxfId="631" priority="935" operator="lessThan">
      <formula>0.2</formula>
    </cfRule>
  </conditionalFormatting>
  <conditionalFormatting sqref="AQ86">
    <cfRule type="cellIs" dxfId="630" priority="933" operator="lessThan">
      <formula>0.2</formula>
    </cfRule>
    <cfRule type="cellIs" dxfId="629" priority="934" operator="greaterThan">
      <formula>-0.2</formula>
    </cfRule>
  </conditionalFormatting>
  <conditionalFormatting sqref="AQ104">
    <cfRule type="cellIs" dxfId="628" priority="927" operator="greaterThan">
      <formula>0.25</formula>
    </cfRule>
    <cfRule type="cellIs" dxfId="627" priority="932" operator="lessThan">
      <formula>0.25</formula>
    </cfRule>
  </conditionalFormatting>
  <conditionalFormatting sqref="AQ110">
    <cfRule type="cellIs" dxfId="626" priority="905" operator="lessThan">
      <formula>2</formula>
    </cfRule>
    <cfRule type="cellIs" dxfId="625" priority="906" operator="greaterThan">
      <formula>2</formula>
    </cfRule>
  </conditionalFormatting>
  <conditionalFormatting sqref="AQ116">
    <cfRule type="cellIs" dxfId="624" priority="919" operator="lessThan">
      <formula>0.2</formula>
    </cfRule>
    <cfRule type="cellIs" dxfId="623" priority="920" operator="greaterThan">
      <formula>0.2</formula>
    </cfRule>
  </conditionalFormatting>
  <conditionalFormatting sqref="AQ122">
    <cfRule type="cellIs" dxfId="622" priority="915" operator="lessThan">
      <formula>0</formula>
    </cfRule>
    <cfRule type="cellIs" dxfId="621" priority="916" operator="greaterThan">
      <formula>0</formula>
    </cfRule>
  </conditionalFormatting>
  <conditionalFormatting sqref="AS7">
    <cfRule type="cellIs" dxfId="620" priority="1028" operator="greaterThan">
      <formula>7</formula>
    </cfRule>
    <cfRule type="cellIs" dxfId="619" priority="1044" operator="lessThan">
      <formula>7</formula>
    </cfRule>
  </conditionalFormatting>
  <conditionalFormatting sqref="AS13">
    <cfRule type="cellIs" dxfId="618" priority="1029" operator="lessThan">
      <formula>0.15</formula>
    </cfRule>
    <cfRule type="cellIs" dxfId="617" priority="1043" operator="greaterThan">
      <formula>0.15</formula>
    </cfRule>
  </conditionalFormatting>
  <conditionalFormatting sqref="AS18">
    <cfRule type="cellIs" dxfId="616" priority="1016" operator="lessThan">
      <formula>1</formula>
    </cfRule>
    <cfRule type="cellIs" dxfId="615" priority="1017" operator="greaterThan">
      <formula>1</formula>
    </cfRule>
  </conditionalFormatting>
  <conditionalFormatting sqref="AS24">
    <cfRule type="cellIs" dxfId="614" priority="1014" operator="lessThan">
      <formula>0.15</formula>
    </cfRule>
    <cfRule type="cellIs" dxfId="613" priority="1015" operator="greaterThan">
      <formula>0.15</formula>
    </cfRule>
  </conditionalFormatting>
  <conditionalFormatting sqref="AS30">
    <cfRule type="cellIs" dxfId="612" priority="1018" operator="lessThan">
      <formula>0.05</formula>
    </cfRule>
    <cfRule type="cellIs" dxfId="611" priority="1019" operator="greaterThan">
      <formula>0.05</formula>
    </cfRule>
  </conditionalFormatting>
  <conditionalFormatting sqref="AS37">
    <cfRule type="cellIs" dxfId="610" priority="1030" operator="greaterThan">
      <formula>0.08</formula>
    </cfRule>
    <cfRule type="cellIs" dxfId="609" priority="1042" operator="lessThan">
      <formula>0.08</formula>
    </cfRule>
  </conditionalFormatting>
  <conditionalFormatting sqref="AS42">
    <cfRule type="cellIs" dxfId="608" priority="1034" operator="lessThan">
      <formula>0.12</formula>
    </cfRule>
    <cfRule type="cellIs" dxfId="607" priority="1035" operator="greaterThan">
      <formula>0.12</formula>
    </cfRule>
  </conditionalFormatting>
  <conditionalFormatting sqref="AS48">
    <cfRule type="cellIs" dxfId="606" priority="1022" operator="greaterThan">
      <formula>1</formula>
    </cfRule>
    <cfRule type="cellIs" dxfId="605" priority="1023" operator="lessThan">
      <formula>1</formula>
    </cfRule>
  </conditionalFormatting>
  <conditionalFormatting sqref="AS55">
    <cfRule type="cellIs" dxfId="604" priority="1031" operator="lessThan">
      <formula>0.15</formula>
    </cfRule>
    <cfRule type="cellIs" dxfId="603" priority="1041" operator="greaterThan">
      <formula>0.15</formula>
    </cfRule>
  </conditionalFormatting>
  <conditionalFormatting sqref="AS61">
    <cfRule type="cellIs" dxfId="602" priority="1026" operator="lessThan">
      <formula>0.7</formula>
    </cfRule>
    <cfRule type="cellIs" dxfId="601" priority="1027" operator="greaterThan">
      <formula>0.7</formula>
    </cfRule>
  </conditionalFormatting>
  <conditionalFormatting sqref="AS69">
    <cfRule type="cellIs" dxfId="600" priority="1033" operator="greaterThan">
      <formula>0.1</formula>
    </cfRule>
    <cfRule type="cellIs" dxfId="599" priority="1036" operator="lessThan">
      <formula>0.1</formula>
    </cfRule>
  </conditionalFormatting>
  <conditionalFormatting sqref="AS77">
    <cfRule type="cellIs" dxfId="598" priority="1040" operator="lessThan">
      <formula>0.2</formula>
    </cfRule>
  </conditionalFormatting>
  <conditionalFormatting sqref="AS86">
    <cfRule type="cellIs" dxfId="597" priority="1038" operator="lessThan">
      <formula>0.2</formula>
    </cfRule>
    <cfRule type="cellIs" dxfId="596" priority="1039" operator="greaterThan">
      <formula>-0.2</formula>
    </cfRule>
  </conditionalFormatting>
  <conditionalFormatting sqref="AS104">
    <cfRule type="cellIs" dxfId="595" priority="1032" operator="greaterThan">
      <formula>0.25</formula>
    </cfRule>
    <cfRule type="cellIs" dxfId="594" priority="1037" operator="lessThan">
      <formula>0.25</formula>
    </cfRule>
  </conditionalFormatting>
  <conditionalFormatting sqref="AS110">
    <cfRule type="cellIs" dxfId="593" priority="1010" operator="lessThan">
      <formula>2</formula>
    </cfRule>
    <cfRule type="cellIs" dxfId="592" priority="1011" operator="greaterThan">
      <formula>2</formula>
    </cfRule>
  </conditionalFormatting>
  <conditionalFormatting sqref="AS116">
    <cfRule type="cellIs" dxfId="591" priority="1024" operator="lessThan">
      <formula>0.2</formula>
    </cfRule>
    <cfRule type="cellIs" dxfId="590" priority="1025" operator="greaterThan">
      <formula>0.2</formula>
    </cfRule>
  </conditionalFormatting>
  <conditionalFormatting sqref="AS122">
    <cfRule type="cellIs" dxfId="589" priority="1020" operator="lessThan">
      <formula>0</formula>
    </cfRule>
    <cfRule type="cellIs" dxfId="588" priority="1021" operator="greaterThan">
      <formula>0</formula>
    </cfRule>
  </conditionalFormatting>
  <conditionalFormatting sqref="AU7">
    <cfRule type="cellIs" dxfId="587" priority="1203" operator="greaterThan">
      <formula>7</formula>
    </cfRule>
    <cfRule type="cellIs" dxfId="586" priority="1219" operator="lessThan">
      <formula>7</formula>
    </cfRule>
  </conditionalFormatting>
  <conditionalFormatting sqref="AU13">
    <cfRule type="cellIs" dxfId="585" priority="1204" operator="lessThan">
      <formula>0.15</formula>
    </cfRule>
    <cfRule type="cellIs" dxfId="584" priority="1218" operator="greaterThan">
      <formula>0.15</formula>
    </cfRule>
  </conditionalFormatting>
  <conditionalFormatting sqref="AU18">
    <cfRule type="cellIs" dxfId="583" priority="1191" operator="lessThan">
      <formula>1</formula>
    </cfRule>
    <cfRule type="cellIs" dxfId="582" priority="1192" operator="greaterThan">
      <formula>1</formula>
    </cfRule>
  </conditionalFormatting>
  <conditionalFormatting sqref="AU24">
    <cfRule type="cellIs" dxfId="581" priority="1189" operator="lessThan">
      <formula>0.15</formula>
    </cfRule>
    <cfRule type="cellIs" dxfId="580" priority="1190" operator="greaterThan">
      <formula>0.15</formula>
    </cfRule>
  </conditionalFormatting>
  <conditionalFormatting sqref="AU30">
    <cfRule type="cellIs" dxfId="579" priority="1193" operator="lessThan">
      <formula>0.05</formula>
    </cfRule>
    <cfRule type="cellIs" dxfId="578" priority="1194" operator="greaterThan">
      <formula>0.05</formula>
    </cfRule>
  </conditionalFormatting>
  <conditionalFormatting sqref="AU37">
    <cfRule type="cellIs" dxfId="577" priority="1205" operator="greaterThan">
      <formula>0.08</formula>
    </cfRule>
    <cfRule type="cellIs" dxfId="576" priority="1217" operator="lessThan">
      <formula>0.08</formula>
    </cfRule>
  </conditionalFormatting>
  <conditionalFormatting sqref="AU42">
    <cfRule type="cellIs" dxfId="575" priority="1209" operator="lessThan">
      <formula>0.12</formula>
    </cfRule>
    <cfRule type="cellIs" dxfId="574" priority="1210" operator="greaterThan">
      <formula>0.12</formula>
    </cfRule>
  </conditionalFormatting>
  <conditionalFormatting sqref="AU48">
    <cfRule type="cellIs" dxfId="573" priority="1197" operator="greaterThan">
      <formula>1</formula>
    </cfRule>
    <cfRule type="cellIs" dxfId="572" priority="1198" operator="lessThan">
      <formula>1</formula>
    </cfRule>
  </conditionalFormatting>
  <conditionalFormatting sqref="AU55">
    <cfRule type="cellIs" dxfId="571" priority="1206" operator="lessThan">
      <formula>0.15</formula>
    </cfRule>
    <cfRule type="cellIs" dxfId="570" priority="1216" operator="greaterThan">
      <formula>0.15</formula>
    </cfRule>
  </conditionalFormatting>
  <conditionalFormatting sqref="AU61">
    <cfRule type="cellIs" dxfId="569" priority="1201" operator="lessThan">
      <formula>0.7</formula>
    </cfRule>
    <cfRule type="cellIs" dxfId="568" priority="1202" operator="greaterThan">
      <formula>0.7</formula>
    </cfRule>
  </conditionalFormatting>
  <conditionalFormatting sqref="AU69">
    <cfRule type="cellIs" dxfId="567" priority="1208" operator="greaterThan">
      <formula>0.1</formula>
    </cfRule>
    <cfRule type="cellIs" dxfId="566" priority="1211" operator="lessThan">
      <formula>0.1</formula>
    </cfRule>
  </conditionalFormatting>
  <conditionalFormatting sqref="AU77">
    <cfRule type="cellIs" dxfId="565" priority="1215" operator="lessThan">
      <formula>0.2</formula>
    </cfRule>
  </conditionalFormatting>
  <conditionalFormatting sqref="AU86">
    <cfRule type="cellIs" dxfId="564" priority="1213" operator="lessThan">
      <formula>0.2</formula>
    </cfRule>
    <cfRule type="cellIs" dxfId="563" priority="1214" operator="greaterThan">
      <formula>-0.2</formula>
    </cfRule>
  </conditionalFormatting>
  <conditionalFormatting sqref="AU104">
    <cfRule type="cellIs" dxfId="562" priority="1207" operator="greaterThan">
      <formula>0.25</formula>
    </cfRule>
    <cfRule type="cellIs" dxfId="561" priority="1212" operator="lessThan">
      <formula>0.25</formula>
    </cfRule>
  </conditionalFormatting>
  <conditionalFormatting sqref="AU110">
    <cfRule type="cellIs" dxfId="560" priority="1185" operator="lessThan">
      <formula>2</formula>
    </cfRule>
    <cfRule type="cellIs" dxfId="559" priority="1186" operator="greaterThan">
      <formula>2</formula>
    </cfRule>
  </conditionalFormatting>
  <conditionalFormatting sqref="AU116">
    <cfRule type="cellIs" dxfId="558" priority="1199" operator="lessThan">
      <formula>0.2</formula>
    </cfRule>
    <cfRule type="cellIs" dxfId="557" priority="1200" operator="greaterThan">
      <formula>0.2</formula>
    </cfRule>
  </conditionalFormatting>
  <conditionalFormatting sqref="AU122">
    <cfRule type="cellIs" dxfId="556" priority="1195" operator="lessThan">
      <formula>0</formula>
    </cfRule>
    <cfRule type="cellIs" dxfId="555" priority="1196" operator="greaterThan">
      <formula>0</formula>
    </cfRule>
  </conditionalFormatting>
  <conditionalFormatting sqref="AW7">
    <cfRule type="cellIs" dxfId="554" priority="1168" operator="greaterThan">
      <formula>7</formula>
    </cfRule>
    <cfRule type="cellIs" dxfId="553" priority="1184" operator="lessThan">
      <formula>7</formula>
    </cfRule>
  </conditionalFormatting>
  <conditionalFormatting sqref="AW13">
    <cfRule type="cellIs" dxfId="552" priority="1169" operator="lessThan">
      <formula>0.15</formula>
    </cfRule>
    <cfRule type="cellIs" dxfId="551" priority="1183" operator="greaterThan">
      <formula>0.15</formula>
    </cfRule>
  </conditionalFormatting>
  <conditionalFormatting sqref="AW18">
    <cfRule type="cellIs" dxfId="550" priority="1156" operator="lessThan">
      <formula>1</formula>
    </cfRule>
    <cfRule type="cellIs" dxfId="549" priority="1157" operator="greaterThan">
      <formula>1</formula>
    </cfRule>
  </conditionalFormatting>
  <conditionalFormatting sqref="AW24">
    <cfRule type="cellIs" dxfId="548" priority="1154" operator="lessThan">
      <formula>0.15</formula>
    </cfRule>
    <cfRule type="cellIs" dxfId="547" priority="1155" operator="greaterThan">
      <formula>0.15</formula>
    </cfRule>
  </conditionalFormatting>
  <conditionalFormatting sqref="AW30">
    <cfRule type="cellIs" dxfId="546" priority="1158" operator="lessThan">
      <formula>0.05</formula>
    </cfRule>
    <cfRule type="cellIs" dxfId="545" priority="1159" operator="greaterThan">
      <formula>0.05</formula>
    </cfRule>
  </conditionalFormatting>
  <conditionalFormatting sqref="AW37">
    <cfRule type="cellIs" dxfId="544" priority="1170" operator="greaterThan">
      <formula>0.08</formula>
    </cfRule>
    <cfRule type="cellIs" dxfId="543" priority="1182" operator="lessThan">
      <formula>0.08</formula>
    </cfRule>
  </conditionalFormatting>
  <conditionalFormatting sqref="AW42">
    <cfRule type="cellIs" dxfId="542" priority="1174" operator="lessThan">
      <formula>0.12</formula>
    </cfRule>
    <cfRule type="cellIs" dxfId="541" priority="1175" operator="greaterThan">
      <formula>0.12</formula>
    </cfRule>
  </conditionalFormatting>
  <conditionalFormatting sqref="AW48">
    <cfRule type="cellIs" dxfId="540" priority="1162" operator="greaterThan">
      <formula>1</formula>
    </cfRule>
    <cfRule type="cellIs" dxfId="539" priority="1163" operator="lessThan">
      <formula>1</formula>
    </cfRule>
  </conditionalFormatting>
  <conditionalFormatting sqref="AW55">
    <cfRule type="cellIs" dxfId="538" priority="1171" operator="lessThan">
      <formula>0.15</formula>
    </cfRule>
    <cfRule type="cellIs" dxfId="537" priority="1181" operator="greaterThan">
      <formula>0.15</formula>
    </cfRule>
  </conditionalFormatting>
  <conditionalFormatting sqref="AW61">
    <cfRule type="cellIs" dxfId="536" priority="1166" operator="lessThan">
      <formula>0.7</formula>
    </cfRule>
    <cfRule type="cellIs" dxfId="535" priority="1167" operator="greaterThan">
      <formula>0.7</formula>
    </cfRule>
  </conditionalFormatting>
  <conditionalFormatting sqref="AW69">
    <cfRule type="cellIs" dxfId="534" priority="1173" operator="greaterThan">
      <formula>0.1</formula>
    </cfRule>
    <cfRule type="cellIs" dxfId="533" priority="1176" operator="lessThan">
      <formula>0.1</formula>
    </cfRule>
  </conditionalFormatting>
  <conditionalFormatting sqref="AW77">
    <cfRule type="cellIs" dxfId="532" priority="1180" operator="lessThan">
      <formula>0.2</formula>
    </cfRule>
  </conditionalFormatting>
  <conditionalFormatting sqref="AW86">
    <cfRule type="cellIs" dxfId="531" priority="1178" operator="lessThan">
      <formula>0.2</formula>
    </cfRule>
    <cfRule type="cellIs" dxfId="530" priority="1179" operator="greaterThan">
      <formula>-0.2</formula>
    </cfRule>
  </conditionalFormatting>
  <conditionalFormatting sqref="AW104">
    <cfRule type="cellIs" dxfId="529" priority="1172" operator="greaterThan">
      <formula>0.25</formula>
    </cfRule>
    <cfRule type="cellIs" dxfId="528" priority="1177" operator="lessThan">
      <formula>0.25</formula>
    </cfRule>
  </conditionalFormatting>
  <conditionalFormatting sqref="AW110">
    <cfRule type="cellIs" dxfId="527" priority="1150" operator="lessThan">
      <formula>2</formula>
    </cfRule>
    <cfRule type="cellIs" dxfId="526" priority="1151" operator="greaterThan">
      <formula>2</formula>
    </cfRule>
  </conditionalFormatting>
  <conditionalFormatting sqref="AW116">
    <cfRule type="cellIs" dxfId="525" priority="1164" operator="lessThan">
      <formula>0.2</formula>
    </cfRule>
    <cfRule type="cellIs" dxfId="524" priority="1165" operator="greaterThan">
      <formula>0.2</formula>
    </cfRule>
  </conditionalFormatting>
  <conditionalFormatting sqref="AW122">
    <cfRule type="cellIs" dxfId="523" priority="1160" operator="lessThan">
      <formula>0</formula>
    </cfRule>
    <cfRule type="cellIs" dxfId="522" priority="1161" operator="greaterThan">
      <formula>0</formula>
    </cfRule>
  </conditionalFormatting>
  <conditionalFormatting sqref="AY7">
    <cfRule type="cellIs" dxfId="521" priority="1310" operator="greaterThan">
      <formula>7</formula>
    </cfRule>
    <cfRule type="cellIs" dxfId="520" priority="1326" operator="lessThan">
      <formula>7</formula>
    </cfRule>
  </conditionalFormatting>
  <conditionalFormatting sqref="AY13">
    <cfRule type="cellIs" dxfId="519" priority="1311" operator="lessThan">
      <formula>0.15</formula>
    </cfRule>
    <cfRule type="cellIs" dxfId="518" priority="1325" operator="greaterThan">
      <formula>0.15</formula>
    </cfRule>
  </conditionalFormatting>
  <conditionalFormatting sqref="AY18">
    <cfRule type="cellIs" dxfId="517" priority="1296" operator="lessThan">
      <formula>1</formula>
    </cfRule>
    <cfRule type="cellIs" dxfId="516" priority="1297" operator="greaterThan">
      <formula>1</formula>
    </cfRule>
  </conditionalFormatting>
  <conditionalFormatting sqref="AY24">
    <cfRule type="cellIs" dxfId="515" priority="1294" operator="lessThan">
      <formula>0.15</formula>
    </cfRule>
    <cfRule type="cellIs" dxfId="514" priority="1295" operator="greaterThan">
      <formula>0.15</formula>
    </cfRule>
  </conditionalFormatting>
  <conditionalFormatting sqref="AY30">
    <cfRule type="cellIs" dxfId="513" priority="1298" operator="lessThan">
      <formula>0.05</formula>
    </cfRule>
    <cfRule type="cellIs" dxfId="512" priority="1299" operator="greaterThan">
      <formula>0.05</formula>
    </cfRule>
  </conditionalFormatting>
  <conditionalFormatting sqref="AY37">
    <cfRule type="cellIs" dxfId="511" priority="1312" operator="greaterThan">
      <formula>0.08</formula>
    </cfRule>
    <cfRule type="cellIs" dxfId="510" priority="1324" operator="lessThan">
      <formula>0.08</formula>
    </cfRule>
  </conditionalFormatting>
  <conditionalFormatting sqref="AY42">
    <cfRule type="cellIs" dxfId="509" priority="1316" operator="lessThan">
      <formula>0.12</formula>
    </cfRule>
    <cfRule type="cellIs" dxfId="508" priority="1317" operator="greaterThan">
      <formula>0.12</formula>
    </cfRule>
  </conditionalFormatting>
  <conditionalFormatting sqref="AY48">
    <cfRule type="cellIs" dxfId="507" priority="1302" operator="greaterThan">
      <formula>1</formula>
    </cfRule>
    <cfRule type="cellIs" dxfId="506" priority="1303" operator="lessThan">
      <formula>1</formula>
    </cfRule>
  </conditionalFormatting>
  <conditionalFormatting sqref="AY55">
    <cfRule type="cellIs" dxfId="505" priority="1313" operator="lessThan">
      <formula>0.15</formula>
    </cfRule>
    <cfRule type="cellIs" dxfId="504" priority="1323" operator="greaterThan">
      <formula>0.15</formula>
    </cfRule>
  </conditionalFormatting>
  <conditionalFormatting sqref="AY61">
    <cfRule type="cellIs" dxfId="503" priority="1308" operator="lessThan">
      <formula>0.7</formula>
    </cfRule>
    <cfRule type="cellIs" dxfId="502" priority="1309" operator="greaterThan">
      <formula>0.7</formula>
    </cfRule>
  </conditionalFormatting>
  <conditionalFormatting sqref="AY69">
    <cfRule type="cellIs" dxfId="501" priority="1315" operator="greaterThan">
      <formula>0.1</formula>
    </cfRule>
    <cfRule type="cellIs" dxfId="500" priority="1318" operator="lessThan">
      <formula>0.1</formula>
    </cfRule>
  </conditionalFormatting>
  <conditionalFormatting sqref="AY77">
    <cfRule type="cellIs" dxfId="499" priority="1322" operator="lessThan">
      <formula>0.2</formula>
    </cfRule>
  </conditionalFormatting>
  <conditionalFormatting sqref="AY86">
    <cfRule type="cellIs" dxfId="498" priority="1320" operator="lessThan">
      <formula>0.2</formula>
    </cfRule>
    <cfRule type="cellIs" dxfId="497" priority="1321" operator="greaterThan">
      <formula>-0.2</formula>
    </cfRule>
  </conditionalFormatting>
  <conditionalFormatting sqref="AY104">
    <cfRule type="cellIs" dxfId="496" priority="1314" operator="greaterThan">
      <formula>0.25</formula>
    </cfRule>
    <cfRule type="cellIs" dxfId="495" priority="1319" operator="lessThan">
      <formula>0.25</formula>
    </cfRule>
  </conditionalFormatting>
  <conditionalFormatting sqref="AY110">
    <cfRule type="cellIs" dxfId="494" priority="1306" operator="lessThan">
      <formula>2</formula>
    </cfRule>
    <cfRule type="cellIs" dxfId="493" priority="1307" operator="greaterThan">
      <formula>2</formula>
    </cfRule>
  </conditionalFormatting>
  <conditionalFormatting sqref="AY116">
    <cfRule type="cellIs" dxfId="492" priority="1304" operator="lessThan">
      <formula>0.2</formula>
    </cfRule>
    <cfRule type="cellIs" dxfId="491" priority="1305" operator="greaterThan">
      <formula>0.2</formula>
    </cfRule>
  </conditionalFormatting>
  <conditionalFormatting sqref="AY122">
    <cfRule type="cellIs" dxfId="490" priority="1300" operator="lessThan">
      <formula>0</formula>
    </cfRule>
    <cfRule type="cellIs" dxfId="489" priority="1301" operator="greaterThan">
      <formula>0</formula>
    </cfRule>
  </conditionalFormatting>
  <conditionalFormatting sqref="BA7">
    <cfRule type="cellIs" dxfId="488" priority="1415" operator="greaterThan">
      <formula>7</formula>
    </cfRule>
    <cfRule type="cellIs" dxfId="487" priority="1431" operator="lessThan">
      <formula>7</formula>
    </cfRule>
  </conditionalFormatting>
  <conditionalFormatting sqref="BA13">
    <cfRule type="cellIs" dxfId="486" priority="1416" operator="lessThan">
      <formula>0.15</formula>
    </cfRule>
    <cfRule type="cellIs" dxfId="485" priority="1430" operator="greaterThan">
      <formula>0.15</formula>
    </cfRule>
  </conditionalFormatting>
  <conditionalFormatting sqref="BA18">
    <cfRule type="cellIs" dxfId="484" priority="1401" operator="lessThan">
      <formula>1</formula>
    </cfRule>
    <cfRule type="cellIs" dxfId="483" priority="1402" operator="greaterThan">
      <formula>1</formula>
    </cfRule>
  </conditionalFormatting>
  <conditionalFormatting sqref="BA24">
    <cfRule type="cellIs" dxfId="482" priority="1399" operator="lessThan">
      <formula>0.15</formula>
    </cfRule>
    <cfRule type="cellIs" dxfId="481" priority="1400" operator="greaterThan">
      <formula>0.15</formula>
    </cfRule>
  </conditionalFormatting>
  <conditionalFormatting sqref="BA30">
    <cfRule type="cellIs" dxfId="480" priority="1403" operator="lessThan">
      <formula>0.05</formula>
    </cfRule>
    <cfRule type="cellIs" dxfId="479" priority="1404" operator="greaterThan">
      <formula>0.05</formula>
    </cfRule>
  </conditionalFormatting>
  <conditionalFormatting sqref="BA37">
    <cfRule type="cellIs" dxfId="478" priority="1417" operator="greaterThan">
      <formula>0.08</formula>
    </cfRule>
    <cfRule type="cellIs" dxfId="477" priority="1429" operator="lessThan">
      <formula>0.08</formula>
    </cfRule>
  </conditionalFormatting>
  <conditionalFormatting sqref="BA42">
    <cfRule type="cellIs" dxfId="476" priority="1421" operator="lessThan">
      <formula>0.12</formula>
    </cfRule>
    <cfRule type="cellIs" dxfId="475" priority="1422" operator="greaterThan">
      <formula>0.12</formula>
    </cfRule>
  </conditionalFormatting>
  <conditionalFormatting sqref="BA48">
    <cfRule type="cellIs" dxfId="474" priority="1407" operator="greaterThan">
      <formula>1</formula>
    </cfRule>
    <cfRule type="cellIs" dxfId="473" priority="1408" operator="lessThan">
      <formula>1</formula>
    </cfRule>
  </conditionalFormatting>
  <conditionalFormatting sqref="BA55">
    <cfRule type="cellIs" dxfId="472" priority="1418" operator="lessThan">
      <formula>0.15</formula>
    </cfRule>
    <cfRule type="cellIs" dxfId="471" priority="1428" operator="greaterThan">
      <formula>0.15</formula>
    </cfRule>
  </conditionalFormatting>
  <conditionalFormatting sqref="BA61">
    <cfRule type="cellIs" dxfId="470" priority="1413" operator="lessThan">
      <formula>0.7</formula>
    </cfRule>
    <cfRule type="cellIs" dxfId="469" priority="1414" operator="greaterThan">
      <formula>0.7</formula>
    </cfRule>
  </conditionalFormatting>
  <conditionalFormatting sqref="BA69">
    <cfRule type="cellIs" dxfId="468" priority="1420" operator="greaterThan">
      <formula>0.1</formula>
    </cfRule>
    <cfRule type="cellIs" dxfId="467" priority="1423" operator="lessThan">
      <formula>0.1</formula>
    </cfRule>
  </conditionalFormatting>
  <conditionalFormatting sqref="BA77">
    <cfRule type="cellIs" dxfId="466" priority="1427" operator="lessThan">
      <formula>0.2</formula>
    </cfRule>
  </conditionalFormatting>
  <conditionalFormatting sqref="BA86">
    <cfRule type="cellIs" dxfId="465" priority="1425" operator="lessThan">
      <formula>0.2</formula>
    </cfRule>
    <cfRule type="cellIs" dxfId="464" priority="1426" operator="greaterThan">
      <formula>-0.2</formula>
    </cfRule>
  </conditionalFormatting>
  <conditionalFormatting sqref="BA104">
    <cfRule type="cellIs" dxfId="463" priority="1419" operator="greaterThan">
      <formula>0.25</formula>
    </cfRule>
    <cfRule type="cellIs" dxfId="462" priority="1424" operator="lessThan">
      <formula>0.25</formula>
    </cfRule>
  </conditionalFormatting>
  <conditionalFormatting sqref="BA110">
    <cfRule type="cellIs" dxfId="461" priority="1411" operator="lessThan">
      <formula>2</formula>
    </cfRule>
    <cfRule type="cellIs" dxfId="460" priority="1412" operator="greaterThan">
      <formula>2</formula>
    </cfRule>
  </conditionalFormatting>
  <conditionalFormatting sqref="BA116">
    <cfRule type="cellIs" dxfId="459" priority="1409" operator="lessThan">
      <formula>0.2</formula>
    </cfRule>
    <cfRule type="cellIs" dxfId="458" priority="1410" operator="greaterThan">
      <formula>0.2</formula>
    </cfRule>
  </conditionalFormatting>
  <conditionalFormatting sqref="BA122">
    <cfRule type="cellIs" dxfId="457" priority="1405" operator="lessThan">
      <formula>0</formula>
    </cfRule>
    <cfRule type="cellIs" dxfId="456" priority="1406" operator="greaterThan">
      <formula>0</formula>
    </cfRule>
  </conditionalFormatting>
  <conditionalFormatting sqref="BC7">
    <cfRule type="cellIs" dxfId="455" priority="1555" operator="greaterThan">
      <formula>7</formula>
    </cfRule>
    <cfRule type="cellIs" dxfId="454" priority="1571" operator="lessThan">
      <formula>7</formula>
    </cfRule>
  </conditionalFormatting>
  <conditionalFormatting sqref="BC13">
    <cfRule type="cellIs" dxfId="453" priority="1556" operator="lessThan">
      <formula>0.15</formula>
    </cfRule>
    <cfRule type="cellIs" dxfId="452" priority="1570" operator="greaterThan">
      <formula>0.15</formula>
    </cfRule>
  </conditionalFormatting>
  <conditionalFormatting sqref="BC18">
    <cfRule type="cellIs" dxfId="451" priority="1541" operator="lessThan">
      <formula>1</formula>
    </cfRule>
    <cfRule type="cellIs" dxfId="450" priority="1542" operator="greaterThan">
      <formula>1</formula>
    </cfRule>
  </conditionalFormatting>
  <conditionalFormatting sqref="BC24">
    <cfRule type="cellIs" dxfId="449" priority="1539" operator="lessThan">
      <formula>0.15</formula>
    </cfRule>
    <cfRule type="cellIs" dxfId="448" priority="1540" operator="greaterThan">
      <formula>0.15</formula>
    </cfRule>
  </conditionalFormatting>
  <conditionalFormatting sqref="BC30">
    <cfRule type="cellIs" dxfId="447" priority="1543" operator="lessThan">
      <formula>0.05</formula>
    </cfRule>
    <cfRule type="cellIs" dxfId="446" priority="1544" operator="greaterThan">
      <formula>0.05</formula>
    </cfRule>
  </conditionalFormatting>
  <conditionalFormatting sqref="BC37">
    <cfRule type="cellIs" dxfId="445" priority="1557" operator="greaterThan">
      <formula>0.08</formula>
    </cfRule>
    <cfRule type="cellIs" dxfId="444" priority="1569" operator="lessThan">
      <formula>0.08</formula>
    </cfRule>
  </conditionalFormatting>
  <conditionalFormatting sqref="BC42">
    <cfRule type="cellIs" dxfId="443" priority="1561" operator="lessThan">
      <formula>0.12</formula>
    </cfRule>
    <cfRule type="cellIs" dxfId="442" priority="1562" operator="greaterThan">
      <formula>0.12</formula>
    </cfRule>
  </conditionalFormatting>
  <conditionalFormatting sqref="BC48">
    <cfRule type="cellIs" dxfId="441" priority="1547" operator="greaterThan">
      <formula>1</formula>
    </cfRule>
    <cfRule type="cellIs" dxfId="440" priority="1548" operator="lessThan">
      <formula>1</formula>
    </cfRule>
  </conditionalFormatting>
  <conditionalFormatting sqref="BC55">
    <cfRule type="cellIs" dxfId="439" priority="1558" operator="lessThan">
      <formula>0.15</formula>
    </cfRule>
    <cfRule type="cellIs" dxfId="438" priority="1568" operator="greaterThan">
      <formula>0.15</formula>
    </cfRule>
  </conditionalFormatting>
  <conditionalFormatting sqref="BC61">
    <cfRule type="cellIs" dxfId="437" priority="1553" operator="lessThan">
      <formula>0.7</formula>
    </cfRule>
    <cfRule type="cellIs" dxfId="436" priority="1554" operator="greaterThan">
      <formula>0.7</formula>
    </cfRule>
  </conditionalFormatting>
  <conditionalFormatting sqref="BC69">
    <cfRule type="cellIs" dxfId="435" priority="1560" operator="greaterThan">
      <formula>0.1</formula>
    </cfRule>
    <cfRule type="cellIs" dxfId="434" priority="1563" operator="lessThan">
      <formula>0.1</formula>
    </cfRule>
  </conditionalFormatting>
  <conditionalFormatting sqref="BC77">
    <cfRule type="cellIs" dxfId="433" priority="1567" operator="lessThan">
      <formula>0.2</formula>
    </cfRule>
  </conditionalFormatting>
  <conditionalFormatting sqref="BC86">
    <cfRule type="cellIs" dxfId="432" priority="1565" operator="lessThan">
      <formula>0.2</formula>
    </cfRule>
    <cfRule type="cellIs" dxfId="431" priority="1566" operator="greaterThan">
      <formula>-0.2</formula>
    </cfRule>
  </conditionalFormatting>
  <conditionalFormatting sqref="BC104">
    <cfRule type="cellIs" dxfId="430" priority="1559" operator="greaterThan">
      <formula>0.25</formula>
    </cfRule>
    <cfRule type="cellIs" dxfId="429" priority="1564" operator="lessThan">
      <formula>0.25</formula>
    </cfRule>
  </conditionalFormatting>
  <conditionalFormatting sqref="BC110">
    <cfRule type="cellIs" dxfId="428" priority="1551" operator="lessThan">
      <formula>2</formula>
    </cfRule>
    <cfRule type="cellIs" dxfId="427" priority="1552" operator="greaterThan">
      <formula>2</formula>
    </cfRule>
  </conditionalFormatting>
  <conditionalFormatting sqref="BC116">
    <cfRule type="cellIs" dxfId="426" priority="1549" operator="lessThan">
      <formula>0.2</formula>
    </cfRule>
    <cfRule type="cellIs" dxfId="425" priority="1550" operator="greaterThan">
      <formula>0.2</formula>
    </cfRule>
  </conditionalFormatting>
  <conditionalFormatting sqref="BC122">
    <cfRule type="cellIs" dxfId="424" priority="1545" operator="lessThan">
      <formula>0</formula>
    </cfRule>
    <cfRule type="cellIs" dxfId="423" priority="1546" operator="greaterThan">
      <formula>0</formula>
    </cfRule>
  </conditionalFormatting>
  <conditionalFormatting sqref="BE7">
    <cfRule type="cellIs" dxfId="422" priority="1660" operator="greaterThan">
      <formula>7</formula>
    </cfRule>
    <cfRule type="cellIs" dxfId="421" priority="1676" operator="lessThan">
      <formula>7</formula>
    </cfRule>
  </conditionalFormatting>
  <conditionalFormatting sqref="BE13">
    <cfRule type="cellIs" dxfId="420" priority="1661" operator="lessThan">
      <formula>0.15</formula>
    </cfRule>
    <cfRule type="cellIs" dxfId="419" priority="1675" operator="greaterThan">
      <formula>0.15</formula>
    </cfRule>
  </conditionalFormatting>
  <conditionalFormatting sqref="BE18">
    <cfRule type="cellIs" dxfId="418" priority="1646" operator="lessThan">
      <formula>1</formula>
    </cfRule>
    <cfRule type="cellIs" dxfId="417" priority="1647" operator="greaterThan">
      <formula>1</formula>
    </cfRule>
  </conditionalFormatting>
  <conditionalFormatting sqref="BE24">
    <cfRule type="cellIs" dxfId="416" priority="1644" operator="lessThan">
      <formula>0.15</formula>
    </cfRule>
    <cfRule type="cellIs" dxfId="415" priority="1645" operator="greaterThan">
      <formula>0.15</formula>
    </cfRule>
  </conditionalFormatting>
  <conditionalFormatting sqref="BE30">
    <cfRule type="cellIs" dxfId="414" priority="1648" operator="lessThan">
      <formula>0.05</formula>
    </cfRule>
    <cfRule type="cellIs" dxfId="413" priority="1649" operator="greaterThan">
      <formula>0.05</formula>
    </cfRule>
  </conditionalFormatting>
  <conditionalFormatting sqref="BE37">
    <cfRule type="cellIs" dxfId="412" priority="1662" operator="greaterThan">
      <formula>0.08</formula>
    </cfRule>
    <cfRule type="cellIs" dxfId="411" priority="1674" operator="lessThan">
      <formula>0.08</formula>
    </cfRule>
  </conditionalFormatting>
  <conditionalFormatting sqref="BE42">
    <cfRule type="cellIs" dxfId="410" priority="1666" operator="lessThan">
      <formula>0.12</formula>
    </cfRule>
    <cfRule type="cellIs" dxfId="409" priority="1667" operator="greaterThan">
      <formula>0.12</formula>
    </cfRule>
  </conditionalFormatting>
  <conditionalFormatting sqref="BE48">
    <cfRule type="cellIs" dxfId="408" priority="1652" operator="greaterThan">
      <formula>1</formula>
    </cfRule>
    <cfRule type="cellIs" dxfId="407" priority="1653" operator="lessThan">
      <formula>1</formula>
    </cfRule>
  </conditionalFormatting>
  <conditionalFormatting sqref="BE55">
    <cfRule type="cellIs" dxfId="406" priority="1663" operator="lessThan">
      <formula>0.15</formula>
    </cfRule>
    <cfRule type="cellIs" dxfId="405" priority="1673" operator="greaterThan">
      <formula>0.15</formula>
    </cfRule>
  </conditionalFormatting>
  <conditionalFormatting sqref="BE61">
    <cfRule type="cellIs" dxfId="404" priority="1658" operator="lessThan">
      <formula>0.7</formula>
    </cfRule>
    <cfRule type="cellIs" dxfId="403" priority="1659" operator="greaterThan">
      <formula>0.7</formula>
    </cfRule>
  </conditionalFormatting>
  <conditionalFormatting sqref="BE69">
    <cfRule type="cellIs" dxfId="402" priority="1665" operator="greaterThan">
      <formula>0.1</formula>
    </cfRule>
    <cfRule type="cellIs" dxfId="401" priority="1668" operator="lessThan">
      <formula>0.1</formula>
    </cfRule>
  </conditionalFormatting>
  <conditionalFormatting sqref="BE77">
    <cfRule type="cellIs" dxfId="400" priority="1672" operator="lessThan">
      <formula>0.2</formula>
    </cfRule>
  </conditionalFormatting>
  <conditionalFormatting sqref="BE86">
    <cfRule type="cellIs" dxfId="399" priority="1670" operator="lessThan">
      <formula>0.2</formula>
    </cfRule>
    <cfRule type="cellIs" dxfId="398" priority="1671" operator="greaterThan">
      <formula>-0.2</formula>
    </cfRule>
  </conditionalFormatting>
  <conditionalFormatting sqref="BE104">
    <cfRule type="cellIs" dxfId="397" priority="1664" operator="greaterThan">
      <formula>0.25</formula>
    </cfRule>
    <cfRule type="cellIs" dxfId="396" priority="1669" operator="lessThan">
      <formula>0.25</formula>
    </cfRule>
  </conditionalFormatting>
  <conditionalFormatting sqref="BE110">
    <cfRule type="cellIs" dxfId="395" priority="1656" operator="lessThan">
      <formula>2</formula>
    </cfRule>
    <cfRule type="cellIs" dxfId="394" priority="1657" operator="greaterThan">
      <formula>2</formula>
    </cfRule>
  </conditionalFormatting>
  <conditionalFormatting sqref="BE116">
    <cfRule type="cellIs" dxfId="393" priority="1654" operator="lessThan">
      <formula>0.2</formula>
    </cfRule>
    <cfRule type="cellIs" dxfId="392" priority="1655" operator="greaterThan">
      <formula>0.2</formula>
    </cfRule>
  </conditionalFormatting>
  <conditionalFormatting sqref="BE122">
    <cfRule type="cellIs" dxfId="391" priority="1650" operator="lessThan">
      <formula>0</formula>
    </cfRule>
    <cfRule type="cellIs" dxfId="390" priority="1651" operator="greaterThan">
      <formula>0</formula>
    </cfRule>
  </conditionalFormatting>
  <conditionalFormatting sqref="BG7">
    <cfRule type="cellIs" dxfId="389" priority="1730" operator="greaterThan">
      <formula>7</formula>
    </cfRule>
    <cfRule type="cellIs" dxfId="388" priority="1746" operator="lessThan">
      <formula>7</formula>
    </cfRule>
  </conditionalFormatting>
  <conditionalFormatting sqref="BG13">
    <cfRule type="cellIs" dxfId="387" priority="1731" operator="lessThan">
      <formula>0.15</formula>
    </cfRule>
    <cfRule type="cellIs" dxfId="386" priority="1745" operator="greaterThan">
      <formula>0.15</formula>
    </cfRule>
  </conditionalFormatting>
  <conditionalFormatting sqref="BG18">
    <cfRule type="cellIs" dxfId="385" priority="1716" operator="lessThan">
      <formula>1</formula>
    </cfRule>
    <cfRule type="cellIs" dxfId="384" priority="1717" operator="greaterThan">
      <formula>1</formula>
    </cfRule>
  </conditionalFormatting>
  <conditionalFormatting sqref="BG24">
    <cfRule type="cellIs" dxfId="383" priority="1714" operator="lessThan">
      <formula>0.15</formula>
    </cfRule>
    <cfRule type="cellIs" dxfId="382" priority="1715" operator="greaterThan">
      <formula>0.15</formula>
    </cfRule>
  </conditionalFormatting>
  <conditionalFormatting sqref="BG30">
    <cfRule type="cellIs" dxfId="381" priority="1718" operator="lessThan">
      <formula>0.05</formula>
    </cfRule>
    <cfRule type="cellIs" dxfId="380" priority="1719" operator="greaterThan">
      <formula>0.05</formula>
    </cfRule>
  </conditionalFormatting>
  <conditionalFormatting sqref="BG37">
    <cfRule type="cellIs" dxfId="379" priority="1732" operator="greaterThan">
      <formula>0.08</formula>
    </cfRule>
    <cfRule type="cellIs" dxfId="378" priority="1744" operator="lessThan">
      <formula>0.08</formula>
    </cfRule>
  </conditionalFormatting>
  <conditionalFormatting sqref="BG42">
    <cfRule type="cellIs" dxfId="377" priority="1736" operator="lessThan">
      <formula>0.12</formula>
    </cfRule>
    <cfRule type="cellIs" dxfId="376" priority="1737" operator="greaterThan">
      <formula>0.12</formula>
    </cfRule>
  </conditionalFormatting>
  <conditionalFormatting sqref="BG48">
    <cfRule type="cellIs" dxfId="375" priority="1722" operator="greaterThan">
      <formula>1</formula>
    </cfRule>
    <cfRule type="cellIs" dxfId="374" priority="1723" operator="lessThan">
      <formula>1</formula>
    </cfRule>
  </conditionalFormatting>
  <conditionalFormatting sqref="BG55">
    <cfRule type="cellIs" dxfId="373" priority="1733" operator="lessThan">
      <formula>0.15</formula>
    </cfRule>
    <cfRule type="cellIs" dxfId="372" priority="1743" operator="greaterThan">
      <formula>0.15</formula>
    </cfRule>
  </conditionalFormatting>
  <conditionalFormatting sqref="BG61">
    <cfRule type="cellIs" dxfId="371" priority="1728" operator="lessThan">
      <formula>0.7</formula>
    </cfRule>
    <cfRule type="cellIs" dxfId="370" priority="1729" operator="greaterThan">
      <formula>0.7</formula>
    </cfRule>
  </conditionalFormatting>
  <conditionalFormatting sqref="BG69">
    <cfRule type="cellIs" dxfId="369" priority="1735" operator="greaterThan">
      <formula>0.1</formula>
    </cfRule>
    <cfRule type="cellIs" dxfId="368" priority="1738" operator="lessThan">
      <formula>0.1</formula>
    </cfRule>
  </conditionalFormatting>
  <conditionalFormatting sqref="BG77">
    <cfRule type="cellIs" dxfId="367" priority="1742" operator="lessThan">
      <formula>0.2</formula>
    </cfRule>
  </conditionalFormatting>
  <conditionalFormatting sqref="BG86">
    <cfRule type="cellIs" dxfId="366" priority="1740" operator="lessThan">
      <formula>0.2</formula>
    </cfRule>
    <cfRule type="cellIs" dxfId="365" priority="1741" operator="greaterThan">
      <formula>-0.2</formula>
    </cfRule>
  </conditionalFormatting>
  <conditionalFormatting sqref="BG104">
    <cfRule type="cellIs" dxfId="364" priority="1734" operator="greaterThan">
      <formula>0.25</formula>
    </cfRule>
    <cfRule type="cellIs" dxfId="363" priority="1739" operator="lessThan">
      <formula>0.25</formula>
    </cfRule>
  </conditionalFormatting>
  <conditionalFormatting sqref="BG110">
    <cfRule type="cellIs" dxfId="362" priority="1726" operator="lessThan">
      <formula>2</formula>
    </cfRule>
    <cfRule type="cellIs" dxfId="361" priority="1727" operator="greaterThan">
      <formula>2</formula>
    </cfRule>
  </conditionalFormatting>
  <conditionalFormatting sqref="BG116">
    <cfRule type="cellIs" dxfId="360" priority="1724" operator="lessThan">
      <formula>0.2</formula>
    </cfRule>
    <cfRule type="cellIs" dxfId="359" priority="1725" operator="greaterThan">
      <formula>0.2</formula>
    </cfRule>
  </conditionalFormatting>
  <conditionalFormatting sqref="BG122">
    <cfRule type="cellIs" dxfId="358" priority="1720" operator="lessThan">
      <formula>0</formula>
    </cfRule>
    <cfRule type="cellIs" dxfId="357" priority="1721" operator="greaterThan">
      <formula>0</formula>
    </cfRule>
  </conditionalFormatting>
  <conditionalFormatting sqref="BI7">
    <cfRule type="cellIs" dxfId="356" priority="1835" operator="greaterThan">
      <formula>7</formula>
    </cfRule>
    <cfRule type="cellIs" dxfId="355" priority="1851" operator="lessThan">
      <formula>7</formula>
    </cfRule>
  </conditionalFormatting>
  <conditionalFormatting sqref="BI13">
    <cfRule type="cellIs" dxfId="354" priority="1836" operator="lessThan">
      <formula>0.15</formula>
    </cfRule>
    <cfRule type="cellIs" dxfId="353" priority="1850" operator="greaterThan">
      <formula>0.15</formula>
    </cfRule>
  </conditionalFormatting>
  <conditionalFormatting sqref="BI18">
    <cfRule type="cellIs" dxfId="352" priority="1821" operator="lessThan">
      <formula>1</formula>
    </cfRule>
    <cfRule type="cellIs" dxfId="351" priority="1822" operator="greaterThan">
      <formula>1</formula>
    </cfRule>
  </conditionalFormatting>
  <conditionalFormatting sqref="BI24">
    <cfRule type="cellIs" dxfId="350" priority="1819" operator="lessThan">
      <formula>0.15</formula>
    </cfRule>
    <cfRule type="cellIs" dxfId="349" priority="1820" operator="greaterThan">
      <formula>0.15</formula>
    </cfRule>
  </conditionalFormatting>
  <conditionalFormatting sqref="BI30">
    <cfRule type="cellIs" dxfId="348" priority="1823" operator="lessThan">
      <formula>0.05</formula>
    </cfRule>
    <cfRule type="cellIs" dxfId="347" priority="1824" operator="greaterThan">
      <formula>0.05</formula>
    </cfRule>
  </conditionalFormatting>
  <conditionalFormatting sqref="BI37">
    <cfRule type="cellIs" dxfId="346" priority="1837" operator="greaterThan">
      <formula>0.08</formula>
    </cfRule>
    <cfRule type="cellIs" dxfId="345" priority="1849" operator="lessThan">
      <formula>0.08</formula>
    </cfRule>
  </conditionalFormatting>
  <conditionalFormatting sqref="BI42">
    <cfRule type="cellIs" dxfId="344" priority="1841" operator="lessThan">
      <formula>0.12</formula>
    </cfRule>
    <cfRule type="cellIs" dxfId="343" priority="1842" operator="greaterThan">
      <formula>0.12</formula>
    </cfRule>
  </conditionalFormatting>
  <conditionalFormatting sqref="BI48">
    <cfRule type="cellIs" dxfId="342" priority="1827" operator="greaterThan">
      <formula>1</formula>
    </cfRule>
    <cfRule type="cellIs" dxfId="341" priority="1828" operator="lessThan">
      <formula>1</formula>
    </cfRule>
  </conditionalFormatting>
  <conditionalFormatting sqref="BI55">
    <cfRule type="cellIs" dxfId="340" priority="1838" operator="lessThan">
      <formula>0.15</formula>
    </cfRule>
    <cfRule type="cellIs" dxfId="339" priority="1848" operator="greaterThan">
      <formula>0.15</formula>
    </cfRule>
  </conditionalFormatting>
  <conditionalFormatting sqref="BI61">
    <cfRule type="cellIs" dxfId="338" priority="1833" operator="lessThan">
      <formula>0.7</formula>
    </cfRule>
    <cfRule type="cellIs" dxfId="337" priority="1834" operator="greaterThan">
      <formula>0.7</formula>
    </cfRule>
  </conditionalFormatting>
  <conditionalFormatting sqref="BI69">
    <cfRule type="cellIs" dxfId="336" priority="1840" operator="greaterThan">
      <formula>0.1</formula>
    </cfRule>
    <cfRule type="cellIs" dxfId="335" priority="1843" operator="lessThan">
      <formula>0.1</formula>
    </cfRule>
  </conditionalFormatting>
  <conditionalFormatting sqref="BI77">
    <cfRule type="cellIs" dxfId="334" priority="1847" operator="lessThan">
      <formula>0.2</formula>
    </cfRule>
  </conditionalFormatting>
  <conditionalFormatting sqref="BI86">
    <cfRule type="cellIs" dxfId="333" priority="1845" operator="lessThan">
      <formula>0.2</formula>
    </cfRule>
    <cfRule type="cellIs" dxfId="332" priority="1846" operator="greaterThan">
      <formula>-0.2</formula>
    </cfRule>
  </conditionalFormatting>
  <conditionalFormatting sqref="BI104">
    <cfRule type="cellIs" dxfId="331" priority="1839" operator="greaterThan">
      <formula>0.25</formula>
    </cfRule>
    <cfRule type="cellIs" dxfId="330" priority="1844" operator="lessThan">
      <formula>0.25</formula>
    </cfRule>
  </conditionalFormatting>
  <conditionalFormatting sqref="BI110">
    <cfRule type="cellIs" dxfId="329" priority="1831" operator="lessThan">
      <formula>2</formula>
    </cfRule>
    <cfRule type="cellIs" dxfId="328" priority="1832" operator="greaterThan">
      <formula>2</formula>
    </cfRule>
  </conditionalFormatting>
  <conditionalFormatting sqref="BI116">
    <cfRule type="cellIs" dxfId="327" priority="1829" operator="lessThan">
      <formula>0.2</formula>
    </cfRule>
    <cfRule type="cellIs" dxfId="326" priority="1830" operator="greaterThan">
      <formula>0.2</formula>
    </cfRule>
  </conditionalFormatting>
  <conditionalFormatting sqref="BI122">
    <cfRule type="cellIs" dxfId="325" priority="1825" operator="lessThan">
      <formula>0</formula>
    </cfRule>
    <cfRule type="cellIs" dxfId="324" priority="1826" operator="greaterThan">
      <formula>0</formula>
    </cfRule>
  </conditionalFormatting>
  <conditionalFormatting sqref="BK7">
    <cfRule type="cellIs" dxfId="323" priority="1870" operator="greaterThan">
      <formula>7</formula>
    </cfRule>
    <cfRule type="cellIs" dxfId="322" priority="1886" operator="lessThan">
      <formula>7</formula>
    </cfRule>
  </conditionalFormatting>
  <conditionalFormatting sqref="BK13">
    <cfRule type="cellIs" dxfId="321" priority="1871" operator="lessThan">
      <formula>0.15</formula>
    </cfRule>
    <cfRule type="cellIs" dxfId="320" priority="1885" operator="greaterThan">
      <formula>0.15</formula>
    </cfRule>
  </conditionalFormatting>
  <conditionalFormatting sqref="BK18">
    <cfRule type="cellIs" dxfId="319" priority="1856" operator="lessThan">
      <formula>1</formula>
    </cfRule>
    <cfRule type="cellIs" dxfId="318" priority="1857" operator="greaterThan">
      <formula>1</formula>
    </cfRule>
  </conditionalFormatting>
  <conditionalFormatting sqref="BK24">
    <cfRule type="cellIs" dxfId="317" priority="1854" operator="lessThan">
      <formula>0.15</formula>
    </cfRule>
    <cfRule type="cellIs" dxfId="316" priority="1855" operator="greaterThan">
      <formula>0.15</formula>
    </cfRule>
  </conditionalFormatting>
  <conditionalFormatting sqref="BK30">
    <cfRule type="cellIs" dxfId="315" priority="1858" operator="lessThan">
      <formula>0.05</formula>
    </cfRule>
    <cfRule type="cellIs" dxfId="314" priority="1859" operator="greaterThan">
      <formula>0.05</formula>
    </cfRule>
  </conditionalFormatting>
  <conditionalFormatting sqref="BK37">
    <cfRule type="cellIs" dxfId="313" priority="1872" operator="greaterThan">
      <formula>0.08</formula>
    </cfRule>
    <cfRule type="cellIs" dxfId="312" priority="1884" operator="lessThan">
      <formula>0.08</formula>
    </cfRule>
  </conditionalFormatting>
  <conditionalFormatting sqref="BK42">
    <cfRule type="cellIs" dxfId="311" priority="1876" operator="lessThan">
      <formula>0.12</formula>
    </cfRule>
    <cfRule type="cellIs" dxfId="310" priority="1877" operator="greaterThan">
      <formula>0.12</formula>
    </cfRule>
  </conditionalFormatting>
  <conditionalFormatting sqref="BK48">
    <cfRule type="cellIs" dxfId="309" priority="1862" operator="greaterThan">
      <formula>1</formula>
    </cfRule>
    <cfRule type="cellIs" dxfId="308" priority="1863" operator="lessThan">
      <formula>1</formula>
    </cfRule>
  </conditionalFormatting>
  <conditionalFormatting sqref="BK55">
    <cfRule type="cellIs" dxfId="307" priority="1873" operator="lessThan">
      <formula>0.15</formula>
    </cfRule>
    <cfRule type="cellIs" dxfId="306" priority="1883" operator="greaterThan">
      <formula>0.15</formula>
    </cfRule>
  </conditionalFormatting>
  <conditionalFormatting sqref="BK61">
    <cfRule type="cellIs" dxfId="305" priority="1868" operator="lessThan">
      <formula>0.7</formula>
    </cfRule>
    <cfRule type="cellIs" dxfId="304" priority="1869" operator="greaterThan">
      <formula>0.7</formula>
    </cfRule>
  </conditionalFormatting>
  <conditionalFormatting sqref="BK69">
    <cfRule type="cellIs" dxfId="303" priority="1875" operator="greaterThan">
      <formula>0.1</formula>
    </cfRule>
    <cfRule type="cellIs" dxfId="302" priority="1878" operator="lessThan">
      <formula>0.1</formula>
    </cfRule>
  </conditionalFormatting>
  <conditionalFormatting sqref="BK77">
    <cfRule type="cellIs" dxfId="301" priority="1882" operator="lessThan">
      <formula>0.2</formula>
    </cfRule>
  </conditionalFormatting>
  <conditionalFormatting sqref="BK86">
    <cfRule type="cellIs" dxfId="300" priority="1880" operator="lessThan">
      <formula>0.2</formula>
    </cfRule>
    <cfRule type="cellIs" dxfId="299" priority="1881" operator="greaterThan">
      <formula>-0.2</formula>
    </cfRule>
  </conditionalFormatting>
  <conditionalFormatting sqref="BK104">
    <cfRule type="cellIs" dxfId="298" priority="1874" operator="greaterThan">
      <formula>0.25</formula>
    </cfRule>
    <cfRule type="cellIs" dxfId="297" priority="1879" operator="lessThan">
      <formula>0.25</formula>
    </cfRule>
  </conditionalFormatting>
  <conditionalFormatting sqref="BK110">
    <cfRule type="cellIs" dxfId="296" priority="1866" operator="lessThan">
      <formula>2</formula>
    </cfRule>
    <cfRule type="cellIs" dxfId="295" priority="1867" operator="greaterThan">
      <formula>2</formula>
    </cfRule>
  </conditionalFormatting>
  <conditionalFormatting sqref="BK116">
    <cfRule type="cellIs" dxfId="294" priority="1864" operator="lessThan">
      <formula>0.2</formula>
    </cfRule>
    <cfRule type="cellIs" dxfId="293" priority="1865" operator="greaterThan">
      <formula>0.2</formula>
    </cfRule>
  </conditionalFormatting>
  <conditionalFormatting sqref="BK122">
    <cfRule type="cellIs" dxfId="292" priority="1860" operator="lessThan">
      <formula>0</formula>
    </cfRule>
    <cfRule type="cellIs" dxfId="291" priority="1861" operator="greaterThan">
      <formula>0</formula>
    </cfRule>
  </conditionalFormatting>
  <conditionalFormatting sqref="BM7">
    <cfRule type="cellIs" dxfId="290" priority="1905" operator="greaterThan">
      <formula>7</formula>
    </cfRule>
    <cfRule type="cellIs" dxfId="289" priority="1921" operator="lessThan">
      <formula>7</formula>
    </cfRule>
  </conditionalFormatting>
  <conditionalFormatting sqref="BM13">
    <cfRule type="cellIs" dxfId="288" priority="1906" operator="lessThan">
      <formula>0.15</formula>
    </cfRule>
    <cfRule type="cellIs" dxfId="287" priority="1920" operator="greaterThan">
      <formula>0.15</formula>
    </cfRule>
  </conditionalFormatting>
  <conditionalFormatting sqref="BM18">
    <cfRule type="cellIs" dxfId="286" priority="1891" operator="lessThan">
      <formula>1</formula>
    </cfRule>
    <cfRule type="cellIs" dxfId="285" priority="1892" operator="greaterThan">
      <formula>1</formula>
    </cfRule>
  </conditionalFormatting>
  <conditionalFormatting sqref="BM24">
    <cfRule type="cellIs" dxfId="284" priority="1889" operator="lessThan">
      <formula>0.15</formula>
    </cfRule>
    <cfRule type="cellIs" dxfId="283" priority="1890" operator="greaterThan">
      <formula>0.15</formula>
    </cfRule>
  </conditionalFormatting>
  <conditionalFormatting sqref="BM30">
    <cfRule type="cellIs" dxfId="282" priority="1893" operator="lessThan">
      <formula>0.05</formula>
    </cfRule>
    <cfRule type="cellIs" dxfId="281" priority="1894" operator="greaterThan">
      <formula>0.05</formula>
    </cfRule>
  </conditionalFormatting>
  <conditionalFormatting sqref="BM37">
    <cfRule type="cellIs" dxfId="280" priority="1907" operator="greaterThan">
      <formula>0.08</formula>
    </cfRule>
    <cfRule type="cellIs" dxfId="279" priority="1919" operator="lessThan">
      <formula>0.08</formula>
    </cfRule>
  </conditionalFormatting>
  <conditionalFormatting sqref="BM42">
    <cfRule type="cellIs" dxfId="278" priority="1911" operator="lessThan">
      <formula>0.12</formula>
    </cfRule>
    <cfRule type="cellIs" dxfId="277" priority="1912" operator="greaterThan">
      <formula>0.12</formula>
    </cfRule>
  </conditionalFormatting>
  <conditionalFormatting sqref="BM48">
    <cfRule type="cellIs" dxfId="276" priority="1897" operator="greaterThan">
      <formula>1</formula>
    </cfRule>
    <cfRule type="cellIs" dxfId="275" priority="1898" operator="lessThan">
      <formula>1</formula>
    </cfRule>
  </conditionalFormatting>
  <conditionalFormatting sqref="BM55">
    <cfRule type="cellIs" dxfId="274" priority="1908" operator="lessThan">
      <formula>0.15</formula>
    </cfRule>
    <cfRule type="cellIs" dxfId="273" priority="1918" operator="greaterThan">
      <formula>0.15</formula>
    </cfRule>
  </conditionalFormatting>
  <conditionalFormatting sqref="BM61">
    <cfRule type="cellIs" dxfId="272" priority="1903" operator="lessThan">
      <formula>0.7</formula>
    </cfRule>
    <cfRule type="cellIs" dxfId="271" priority="1904" operator="greaterThan">
      <formula>0.7</formula>
    </cfRule>
  </conditionalFormatting>
  <conditionalFormatting sqref="BM69">
    <cfRule type="cellIs" dxfId="270" priority="1910" operator="greaterThan">
      <formula>0.1</formula>
    </cfRule>
    <cfRule type="cellIs" dxfId="269" priority="1913" operator="lessThan">
      <formula>0.1</formula>
    </cfRule>
  </conditionalFormatting>
  <conditionalFormatting sqref="BM77">
    <cfRule type="cellIs" dxfId="268" priority="1917" operator="lessThan">
      <formula>0.2</formula>
    </cfRule>
  </conditionalFormatting>
  <conditionalFormatting sqref="BM86">
    <cfRule type="cellIs" dxfId="267" priority="1915" operator="lessThan">
      <formula>0.2</formula>
    </cfRule>
    <cfRule type="cellIs" dxfId="266" priority="1916" operator="greaterThan">
      <formula>-0.2</formula>
    </cfRule>
  </conditionalFormatting>
  <conditionalFormatting sqref="BM104">
    <cfRule type="cellIs" dxfId="265" priority="1909" operator="greaterThan">
      <formula>0.25</formula>
    </cfRule>
    <cfRule type="cellIs" dxfId="264" priority="1914" operator="lessThan">
      <formula>0.25</formula>
    </cfRule>
  </conditionalFormatting>
  <conditionalFormatting sqref="BM110">
    <cfRule type="cellIs" dxfId="263" priority="1901" operator="lessThan">
      <formula>2</formula>
    </cfRule>
    <cfRule type="cellIs" dxfId="262" priority="1902" operator="greaterThan">
      <formula>2</formula>
    </cfRule>
  </conditionalFormatting>
  <conditionalFormatting sqref="BM116">
    <cfRule type="cellIs" dxfId="261" priority="1899" operator="lessThan">
      <formula>0.2</formula>
    </cfRule>
    <cfRule type="cellIs" dxfId="260" priority="1900" operator="greaterThan">
      <formula>0.2</formula>
    </cfRule>
  </conditionalFormatting>
  <conditionalFormatting sqref="BM122">
    <cfRule type="cellIs" dxfId="259" priority="1895" operator="lessThan">
      <formula>0</formula>
    </cfRule>
    <cfRule type="cellIs" dxfId="258" priority="1896" operator="greaterThan">
      <formula>0</formula>
    </cfRule>
  </conditionalFormatting>
  <conditionalFormatting sqref="BO7">
    <cfRule type="cellIs" dxfId="257" priority="1940" operator="greaterThan">
      <formula>7</formula>
    </cfRule>
    <cfRule type="cellIs" dxfId="256" priority="1958" operator="lessThan">
      <formula>7</formula>
    </cfRule>
  </conditionalFormatting>
  <conditionalFormatting sqref="BO13">
    <cfRule type="cellIs" dxfId="255" priority="1941" operator="lessThan">
      <formula>0.15</formula>
    </cfRule>
    <cfRule type="cellIs" dxfId="254" priority="1957" operator="greaterThan">
      <formula>0.15</formula>
    </cfRule>
  </conditionalFormatting>
  <conditionalFormatting sqref="BO18">
    <cfRule type="cellIs" dxfId="253" priority="1926" operator="lessThan">
      <formula>1</formula>
    </cfRule>
    <cfRule type="cellIs" dxfId="252" priority="1927" operator="greaterThan">
      <formula>1</formula>
    </cfRule>
  </conditionalFormatting>
  <conditionalFormatting sqref="BO24">
    <cfRule type="cellIs" dxfId="251" priority="1924" operator="lessThan">
      <formula>0.15</formula>
    </cfRule>
    <cfRule type="cellIs" dxfId="250" priority="1925" operator="greaterThan">
      <formula>0.15</formula>
    </cfRule>
  </conditionalFormatting>
  <conditionalFormatting sqref="BO30">
    <cfRule type="cellIs" dxfId="249" priority="1928" operator="lessThan">
      <formula>0.05</formula>
    </cfRule>
    <cfRule type="cellIs" dxfId="248" priority="1929" operator="greaterThan">
      <formula>0.05</formula>
    </cfRule>
  </conditionalFormatting>
  <conditionalFormatting sqref="BO37">
    <cfRule type="cellIs" dxfId="247" priority="1942" operator="greaterThan">
      <formula>0.08</formula>
    </cfRule>
    <cfRule type="cellIs" dxfId="246" priority="1956" operator="lessThan">
      <formula>0.08</formula>
    </cfRule>
  </conditionalFormatting>
  <conditionalFormatting sqref="BO42">
    <cfRule type="cellIs" dxfId="245" priority="1946" operator="lessThan">
      <formula>0.12</formula>
    </cfRule>
    <cfRule type="cellIs" dxfId="244" priority="1947" operator="greaterThan">
      <formula>0.12</formula>
    </cfRule>
  </conditionalFormatting>
  <conditionalFormatting sqref="BO48">
    <cfRule type="cellIs" dxfId="243" priority="1932" operator="greaterThan">
      <formula>1</formula>
    </cfRule>
    <cfRule type="cellIs" dxfId="242" priority="1933" operator="lessThan">
      <formula>1</formula>
    </cfRule>
  </conditionalFormatting>
  <conditionalFormatting sqref="BO55">
    <cfRule type="cellIs" dxfId="241" priority="1943" operator="lessThan">
      <formula>0.15</formula>
    </cfRule>
    <cfRule type="cellIs" dxfId="240" priority="1955" operator="greaterThan">
      <formula>0.15</formula>
    </cfRule>
  </conditionalFormatting>
  <conditionalFormatting sqref="BO61">
    <cfRule type="cellIs" dxfId="239" priority="1938" operator="lessThan">
      <formula>0.7</formula>
    </cfRule>
    <cfRule type="cellIs" dxfId="238" priority="1939" operator="greaterThan">
      <formula>0.7</formula>
    </cfRule>
  </conditionalFormatting>
  <conditionalFormatting sqref="BO69">
    <cfRule type="cellIs" dxfId="237" priority="1945" operator="greaterThan">
      <formula>0.1</formula>
    </cfRule>
    <cfRule type="cellIs" dxfId="236" priority="1950" operator="lessThan">
      <formula>0.1</formula>
    </cfRule>
  </conditionalFormatting>
  <conditionalFormatting sqref="BO77">
    <cfRule type="cellIs" dxfId="235" priority="1954" operator="lessThan">
      <formula>0.2</formula>
    </cfRule>
  </conditionalFormatting>
  <conditionalFormatting sqref="BO86">
    <cfRule type="cellIs" dxfId="234" priority="1952" operator="lessThan">
      <formula>0.2</formula>
    </cfRule>
    <cfRule type="cellIs" dxfId="233" priority="1953" operator="greaterThan">
      <formula>-0.2</formula>
    </cfRule>
  </conditionalFormatting>
  <conditionalFormatting sqref="BO104">
    <cfRule type="cellIs" dxfId="232" priority="1944" operator="greaterThan">
      <formula>0.25</formula>
    </cfRule>
    <cfRule type="cellIs" dxfId="231" priority="1951" operator="lessThan">
      <formula>0.25</formula>
    </cfRule>
  </conditionalFormatting>
  <conditionalFormatting sqref="BO110">
    <cfRule type="cellIs" dxfId="230" priority="1936" operator="lessThan">
      <formula>2</formula>
    </cfRule>
    <cfRule type="cellIs" dxfId="229" priority="1937" operator="greaterThan">
      <formula>2</formula>
    </cfRule>
  </conditionalFormatting>
  <conditionalFormatting sqref="BO116">
    <cfRule type="cellIs" dxfId="228" priority="1934" operator="lessThan">
      <formula>0.2</formula>
    </cfRule>
    <cfRule type="cellIs" dxfId="227" priority="1935" operator="greaterThan">
      <formula>0.2</formula>
    </cfRule>
  </conditionalFormatting>
  <conditionalFormatting sqref="BO122">
    <cfRule type="cellIs" dxfId="226" priority="1930" operator="lessThan">
      <formula>0</formula>
    </cfRule>
    <cfRule type="cellIs" dxfId="225" priority="1931" operator="greaterThan">
      <formula>0</formula>
    </cfRule>
  </conditionalFormatting>
  <conditionalFormatting sqref="BQ7">
    <cfRule type="cellIs" dxfId="224" priority="1975" operator="greaterThan">
      <formula>7</formula>
    </cfRule>
    <cfRule type="cellIs" dxfId="223" priority="1993" operator="lessThan">
      <formula>7</formula>
    </cfRule>
  </conditionalFormatting>
  <conditionalFormatting sqref="BQ13">
    <cfRule type="cellIs" dxfId="222" priority="1976" operator="lessThan">
      <formula>0.15</formula>
    </cfRule>
    <cfRule type="cellIs" dxfId="221" priority="1992" operator="greaterThan">
      <formula>0.15</formula>
    </cfRule>
  </conditionalFormatting>
  <conditionalFormatting sqref="BQ18">
    <cfRule type="cellIs" dxfId="220" priority="1961" operator="lessThan">
      <formula>1</formula>
    </cfRule>
    <cfRule type="cellIs" dxfId="219" priority="1962" operator="greaterThan">
      <formula>1</formula>
    </cfRule>
  </conditionalFormatting>
  <conditionalFormatting sqref="BQ24">
    <cfRule type="cellIs" dxfId="218" priority="1959" operator="lessThan">
      <formula>0.15</formula>
    </cfRule>
    <cfRule type="cellIs" dxfId="217" priority="1960" operator="greaterThan">
      <formula>0.15</formula>
    </cfRule>
  </conditionalFormatting>
  <conditionalFormatting sqref="BQ30">
    <cfRule type="cellIs" dxfId="216" priority="1963" operator="lessThan">
      <formula>0.05</formula>
    </cfRule>
    <cfRule type="cellIs" dxfId="215" priority="1964" operator="greaterThan">
      <formula>0.05</formula>
    </cfRule>
  </conditionalFormatting>
  <conditionalFormatting sqref="BQ37">
    <cfRule type="cellIs" dxfId="214" priority="1977" operator="greaterThan">
      <formula>0.08</formula>
    </cfRule>
    <cfRule type="cellIs" dxfId="213" priority="1991" operator="lessThan">
      <formula>0.08</formula>
    </cfRule>
  </conditionalFormatting>
  <conditionalFormatting sqref="BQ42">
    <cfRule type="cellIs" dxfId="212" priority="1981" operator="lessThan">
      <formula>0.12</formula>
    </cfRule>
    <cfRule type="cellIs" dxfId="211" priority="1982" operator="greaterThan">
      <formula>0.12</formula>
    </cfRule>
  </conditionalFormatting>
  <conditionalFormatting sqref="BQ48">
    <cfRule type="cellIs" dxfId="210" priority="1967" operator="greaterThan">
      <formula>1</formula>
    </cfRule>
    <cfRule type="cellIs" dxfId="209" priority="1968" operator="lessThan">
      <formula>1</formula>
    </cfRule>
  </conditionalFormatting>
  <conditionalFormatting sqref="BQ55">
    <cfRule type="cellIs" dxfId="208" priority="1978" operator="lessThan">
      <formula>0.15</formula>
    </cfRule>
    <cfRule type="cellIs" dxfId="207" priority="1990" operator="greaterThan">
      <formula>0.15</formula>
    </cfRule>
  </conditionalFormatting>
  <conditionalFormatting sqref="BQ61">
    <cfRule type="cellIs" dxfId="206" priority="1973" operator="lessThan">
      <formula>0.7</formula>
    </cfRule>
    <cfRule type="cellIs" dxfId="205" priority="1974" operator="greaterThan">
      <formula>0.7</formula>
    </cfRule>
  </conditionalFormatting>
  <conditionalFormatting sqref="BQ69">
    <cfRule type="cellIs" dxfId="204" priority="1980" operator="greaterThan">
      <formula>0.1</formula>
    </cfRule>
    <cfRule type="cellIs" dxfId="203" priority="1985" operator="lessThan">
      <formula>0.1</formula>
    </cfRule>
  </conditionalFormatting>
  <conditionalFormatting sqref="BQ77">
    <cfRule type="cellIs" dxfId="202" priority="1989" operator="lessThan">
      <formula>0.2</formula>
    </cfRule>
  </conditionalFormatting>
  <conditionalFormatting sqref="BQ86">
    <cfRule type="cellIs" dxfId="201" priority="1987" operator="lessThan">
      <formula>0.2</formula>
    </cfRule>
    <cfRule type="cellIs" dxfId="200" priority="1988" operator="greaterThan">
      <formula>-0.2</formula>
    </cfRule>
  </conditionalFormatting>
  <conditionalFormatting sqref="BQ104">
    <cfRule type="cellIs" dxfId="199" priority="1979" operator="greaterThan">
      <formula>0.25</formula>
    </cfRule>
    <cfRule type="cellIs" dxfId="198" priority="1986" operator="lessThan">
      <formula>0.25</formula>
    </cfRule>
  </conditionalFormatting>
  <conditionalFormatting sqref="BQ110">
    <cfRule type="cellIs" dxfId="197" priority="1971" operator="lessThan">
      <formula>2</formula>
    </cfRule>
    <cfRule type="cellIs" dxfId="196" priority="1972" operator="greaterThan">
      <formula>2</formula>
    </cfRule>
  </conditionalFormatting>
  <conditionalFormatting sqref="BQ116">
    <cfRule type="cellIs" dxfId="195" priority="1969" operator="lessThan">
      <formula>0.2</formula>
    </cfRule>
    <cfRule type="cellIs" dxfId="194" priority="1970" operator="greaterThan">
      <formula>0.2</formula>
    </cfRule>
  </conditionalFormatting>
  <conditionalFormatting sqref="BQ122">
    <cfRule type="cellIs" dxfId="193" priority="1965" operator="lessThan">
      <formula>0</formula>
    </cfRule>
    <cfRule type="cellIs" dxfId="192" priority="1966" operator="greaterThan">
      <formula>0</formula>
    </cfRule>
  </conditionalFormatting>
  <conditionalFormatting sqref="BS7">
    <cfRule type="cellIs" dxfId="191" priority="2010" operator="greaterThan">
      <formula>7</formula>
    </cfRule>
    <cfRule type="cellIs" dxfId="190" priority="2028" operator="lessThan">
      <formula>7</formula>
    </cfRule>
  </conditionalFormatting>
  <conditionalFormatting sqref="BS13">
    <cfRule type="cellIs" dxfId="189" priority="2011" operator="lessThan">
      <formula>0.15</formula>
    </cfRule>
    <cfRule type="cellIs" dxfId="188" priority="2027" operator="greaterThan">
      <formula>0.15</formula>
    </cfRule>
  </conditionalFormatting>
  <conditionalFormatting sqref="BS18">
    <cfRule type="cellIs" dxfId="187" priority="1996" operator="lessThan">
      <formula>1</formula>
    </cfRule>
    <cfRule type="cellIs" dxfId="186" priority="1997" operator="greaterThan">
      <formula>1</formula>
    </cfRule>
  </conditionalFormatting>
  <conditionalFormatting sqref="BS24">
    <cfRule type="cellIs" dxfId="185" priority="1994" operator="lessThan">
      <formula>0.15</formula>
    </cfRule>
    <cfRule type="cellIs" dxfId="184" priority="1995" operator="greaterThan">
      <formula>0.15</formula>
    </cfRule>
  </conditionalFormatting>
  <conditionalFormatting sqref="BS30">
    <cfRule type="cellIs" dxfId="183" priority="1998" operator="lessThan">
      <formula>0.05</formula>
    </cfRule>
    <cfRule type="cellIs" dxfId="182" priority="1999" operator="greaterThan">
      <formula>0.05</formula>
    </cfRule>
  </conditionalFormatting>
  <conditionalFormatting sqref="BS37">
    <cfRule type="cellIs" dxfId="181" priority="2012" operator="greaterThan">
      <formula>0.08</formula>
    </cfRule>
    <cfRule type="cellIs" dxfId="180" priority="2026" operator="lessThan">
      <formula>0.08</formula>
    </cfRule>
  </conditionalFormatting>
  <conditionalFormatting sqref="BS42">
    <cfRule type="cellIs" dxfId="179" priority="2016" operator="lessThan">
      <formula>0.12</formula>
    </cfRule>
    <cfRule type="cellIs" dxfId="178" priority="2017" operator="greaterThan">
      <formula>0.12</formula>
    </cfRule>
  </conditionalFormatting>
  <conditionalFormatting sqref="BS48">
    <cfRule type="cellIs" dxfId="177" priority="2002" operator="greaterThan">
      <formula>1</formula>
    </cfRule>
    <cfRule type="cellIs" dxfId="176" priority="2003" operator="lessThan">
      <formula>1</formula>
    </cfRule>
  </conditionalFormatting>
  <conditionalFormatting sqref="BS55">
    <cfRule type="cellIs" dxfId="175" priority="2013" operator="lessThan">
      <formula>0.15</formula>
    </cfRule>
    <cfRule type="cellIs" dxfId="174" priority="2025" operator="greaterThan">
      <formula>0.15</formula>
    </cfRule>
  </conditionalFormatting>
  <conditionalFormatting sqref="BS61">
    <cfRule type="cellIs" dxfId="173" priority="2008" operator="lessThan">
      <formula>0.7</formula>
    </cfRule>
    <cfRule type="cellIs" dxfId="172" priority="2009" operator="greaterThan">
      <formula>0.7</formula>
    </cfRule>
  </conditionalFormatting>
  <conditionalFormatting sqref="BS69">
    <cfRule type="cellIs" dxfId="171" priority="2015" operator="greaterThan">
      <formula>0.1</formula>
    </cfRule>
    <cfRule type="cellIs" dxfId="170" priority="2020" operator="lessThan">
      <formula>0.1</formula>
    </cfRule>
  </conditionalFormatting>
  <conditionalFormatting sqref="BS77">
    <cfRule type="cellIs" dxfId="169" priority="2024" operator="lessThan">
      <formula>0.2</formula>
    </cfRule>
  </conditionalFormatting>
  <conditionalFormatting sqref="BS86">
    <cfRule type="cellIs" dxfId="168" priority="2022" operator="lessThan">
      <formula>0.2</formula>
    </cfRule>
    <cfRule type="cellIs" dxfId="167" priority="2023" operator="greaterThan">
      <formula>-0.2</formula>
    </cfRule>
  </conditionalFormatting>
  <conditionalFormatting sqref="BS104">
    <cfRule type="cellIs" dxfId="166" priority="2014" operator="greaterThan">
      <formula>0.25</formula>
    </cfRule>
    <cfRule type="cellIs" dxfId="165" priority="2021" operator="lessThan">
      <formula>0.25</formula>
    </cfRule>
  </conditionalFormatting>
  <conditionalFormatting sqref="BS110">
    <cfRule type="cellIs" dxfId="164" priority="2006" operator="lessThan">
      <formula>2</formula>
    </cfRule>
    <cfRule type="cellIs" dxfId="163" priority="2007" operator="greaterThan">
      <formula>2</formula>
    </cfRule>
  </conditionalFormatting>
  <conditionalFormatting sqref="BS116">
    <cfRule type="cellIs" dxfId="162" priority="2004" operator="lessThan">
      <formula>0.2</formula>
    </cfRule>
    <cfRule type="cellIs" dxfId="161" priority="2005" operator="greaterThan">
      <formula>0.2</formula>
    </cfRule>
  </conditionalFormatting>
  <conditionalFormatting sqref="BS122">
    <cfRule type="cellIs" dxfId="160" priority="2000" operator="lessThan">
      <formula>0</formula>
    </cfRule>
    <cfRule type="cellIs" dxfId="159" priority="2001" operator="greaterThan">
      <formula>0</formula>
    </cfRule>
  </conditionalFormatting>
  <conditionalFormatting sqref="BU7">
    <cfRule type="cellIs" dxfId="158" priority="2080" operator="greaterThan">
      <formula>7</formula>
    </cfRule>
    <cfRule type="cellIs" dxfId="157" priority="2098" operator="lessThan">
      <formula>7</formula>
    </cfRule>
  </conditionalFormatting>
  <conditionalFormatting sqref="BU13">
    <cfRule type="cellIs" dxfId="156" priority="2081" operator="lessThan">
      <formula>0.15</formula>
    </cfRule>
    <cfRule type="cellIs" dxfId="155" priority="2097" operator="greaterThan">
      <formula>0.15</formula>
    </cfRule>
  </conditionalFormatting>
  <conditionalFormatting sqref="BU18">
    <cfRule type="cellIs" dxfId="154" priority="2066" operator="lessThan">
      <formula>1</formula>
    </cfRule>
    <cfRule type="cellIs" dxfId="153" priority="2067" operator="greaterThan">
      <formula>1</formula>
    </cfRule>
  </conditionalFormatting>
  <conditionalFormatting sqref="BU24">
    <cfRule type="cellIs" dxfId="152" priority="2064" operator="lessThan">
      <formula>0.15</formula>
    </cfRule>
    <cfRule type="cellIs" dxfId="151" priority="2065" operator="greaterThan">
      <formula>0.15</formula>
    </cfRule>
  </conditionalFormatting>
  <conditionalFormatting sqref="BU30">
    <cfRule type="cellIs" dxfId="150" priority="2068" operator="lessThan">
      <formula>0.05</formula>
    </cfRule>
    <cfRule type="cellIs" dxfId="149" priority="2069" operator="greaterThan">
      <formula>0.05</formula>
    </cfRule>
  </conditionalFormatting>
  <conditionalFormatting sqref="BU37">
    <cfRule type="cellIs" dxfId="148" priority="2082" operator="greaterThan">
      <formula>0.08</formula>
    </cfRule>
    <cfRule type="cellIs" dxfId="147" priority="2096" operator="lessThan">
      <formula>0.08</formula>
    </cfRule>
  </conditionalFormatting>
  <conditionalFormatting sqref="BU42">
    <cfRule type="cellIs" dxfId="146" priority="2086" operator="lessThan">
      <formula>0.12</formula>
    </cfRule>
    <cfRule type="cellIs" dxfId="145" priority="2087" operator="greaterThan">
      <formula>0.12</formula>
    </cfRule>
  </conditionalFormatting>
  <conditionalFormatting sqref="BU48">
    <cfRule type="cellIs" dxfId="144" priority="2072" operator="greaterThan">
      <formula>1</formula>
    </cfRule>
    <cfRule type="cellIs" dxfId="143" priority="2073" operator="lessThan">
      <formula>1</formula>
    </cfRule>
  </conditionalFormatting>
  <conditionalFormatting sqref="BU55">
    <cfRule type="cellIs" dxfId="142" priority="2083" operator="lessThan">
      <formula>0.15</formula>
    </cfRule>
    <cfRule type="cellIs" dxfId="141" priority="2095" operator="greaterThan">
      <formula>0.15</formula>
    </cfRule>
  </conditionalFormatting>
  <conditionalFormatting sqref="BU61">
    <cfRule type="cellIs" dxfId="140" priority="2078" operator="lessThan">
      <formula>0.7</formula>
    </cfRule>
    <cfRule type="cellIs" dxfId="139" priority="2079" operator="greaterThan">
      <formula>0.7</formula>
    </cfRule>
  </conditionalFormatting>
  <conditionalFormatting sqref="BU69">
    <cfRule type="cellIs" dxfId="138" priority="2085" operator="greaterThan">
      <formula>0.1</formula>
    </cfRule>
    <cfRule type="cellIs" dxfId="137" priority="2090" operator="lessThan">
      <formula>0.1</formula>
    </cfRule>
  </conditionalFormatting>
  <conditionalFormatting sqref="BU77">
    <cfRule type="cellIs" dxfId="136" priority="2094" operator="lessThan">
      <formula>0.2</formula>
    </cfRule>
  </conditionalFormatting>
  <conditionalFormatting sqref="BU86">
    <cfRule type="cellIs" dxfId="135" priority="2092" operator="lessThan">
      <formula>0.2</formula>
    </cfRule>
    <cfRule type="cellIs" dxfId="134" priority="2093" operator="greaterThan">
      <formula>-0.2</formula>
    </cfRule>
  </conditionalFormatting>
  <conditionalFormatting sqref="BU104">
    <cfRule type="cellIs" dxfId="133" priority="2084" operator="greaterThan">
      <formula>0.25</formula>
    </cfRule>
    <cfRule type="cellIs" dxfId="132" priority="2091" operator="lessThan">
      <formula>0.25</formula>
    </cfRule>
  </conditionalFormatting>
  <conditionalFormatting sqref="BU110">
    <cfRule type="cellIs" dxfId="131" priority="2076" operator="lessThan">
      <formula>2</formula>
    </cfRule>
    <cfRule type="cellIs" dxfId="130" priority="2077" operator="greaterThan">
      <formula>2</formula>
    </cfRule>
  </conditionalFormatting>
  <conditionalFormatting sqref="BU116">
    <cfRule type="cellIs" dxfId="129" priority="2074" operator="lessThan">
      <formula>0.2</formula>
    </cfRule>
    <cfRule type="cellIs" dxfId="128" priority="2075" operator="greaterThan">
      <formula>0.2</formula>
    </cfRule>
  </conditionalFormatting>
  <conditionalFormatting sqref="BU122">
    <cfRule type="cellIs" dxfId="127" priority="2070" operator="lessThan">
      <formula>0</formula>
    </cfRule>
    <cfRule type="cellIs" dxfId="126" priority="2071" operator="greaterThan">
      <formula>0</formula>
    </cfRule>
  </conditionalFormatting>
  <conditionalFormatting sqref="BW7">
    <cfRule type="cellIs" dxfId="125" priority="2045" operator="greaterThan">
      <formula>7</formula>
    </cfRule>
    <cfRule type="cellIs" dxfId="124" priority="2063" operator="lessThan">
      <formula>7</formula>
    </cfRule>
  </conditionalFormatting>
  <conditionalFormatting sqref="BW13">
    <cfRule type="cellIs" dxfId="123" priority="2046" operator="lessThan">
      <formula>0.15</formula>
    </cfRule>
    <cfRule type="cellIs" dxfId="122" priority="2062" operator="greaterThan">
      <formula>0.15</formula>
    </cfRule>
  </conditionalFormatting>
  <conditionalFormatting sqref="BW18">
    <cfRule type="cellIs" dxfId="121" priority="2031" operator="lessThan">
      <formula>1</formula>
    </cfRule>
    <cfRule type="cellIs" dxfId="120" priority="2032" operator="greaterThan">
      <formula>1</formula>
    </cfRule>
  </conditionalFormatting>
  <conditionalFormatting sqref="BW24">
    <cfRule type="cellIs" dxfId="119" priority="2029" operator="lessThan">
      <formula>0.15</formula>
    </cfRule>
    <cfRule type="cellIs" dxfId="118" priority="2030" operator="greaterThan">
      <formula>0.15</formula>
    </cfRule>
  </conditionalFormatting>
  <conditionalFormatting sqref="BW30">
    <cfRule type="cellIs" dxfId="117" priority="2033" operator="lessThan">
      <formula>0.05</formula>
    </cfRule>
    <cfRule type="cellIs" dxfId="116" priority="2034" operator="greaterThan">
      <formula>0.05</formula>
    </cfRule>
  </conditionalFormatting>
  <conditionalFormatting sqref="BW37">
    <cfRule type="cellIs" dxfId="115" priority="2047" operator="greaterThan">
      <formula>0.08</formula>
    </cfRule>
    <cfRule type="cellIs" dxfId="114" priority="2061" operator="lessThan">
      <formula>0.08</formula>
    </cfRule>
  </conditionalFormatting>
  <conditionalFormatting sqref="BW42">
    <cfRule type="cellIs" dxfId="113" priority="2051" operator="lessThan">
      <formula>0.12</formula>
    </cfRule>
    <cfRule type="cellIs" dxfId="112" priority="2052" operator="greaterThan">
      <formula>0.12</formula>
    </cfRule>
  </conditionalFormatting>
  <conditionalFormatting sqref="BW48">
    <cfRule type="cellIs" dxfId="111" priority="2037" operator="greaterThan">
      <formula>1</formula>
    </cfRule>
    <cfRule type="cellIs" dxfId="110" priority="2038" operator="lessThan">
      <formula>1</formula>
    </cfRule>
  </conditionalFormatting>
  <conditionalFormatting sqref="BW55">
    <cfRule type="cellIs" dxfId="109" priority="2048" operator="lessThan">
      <formula>0.15</formula>
    </cfRule>
    <cfRule type="cellIs" dxfId="108" priority="2060" operator="greaterThan">
      <formula>0.15</formula>
    </cfRule>
  </conditionalFormatting>
  <conditionalFormatting sqref="BW61">
    <cfRule type="cellIs" dxfId="107" priority="2043" operator="lessThan">
      <formula>0.7</formula>
    </cfRule>
    <cfRule type="cellIs" dxfId="106" priority="2044" operator="greaterThan">
      <formula>0.7</formula>
    </cfRule>
  </conditionalFormatting>
  <conditionalFormatting sqref="BW69">
    <cfRule type="cellIs" dxfId="105" priority="2050" operator="greaterThan">
      <formula>0.1</formula>
    </cfRule>
    <cfRule type="cellIs" dxfId="104" priority="2055" operator="lessThan">
      <formula>0.1</formula>
    </cfRule>
  </conditionalFormatting>
  <conditionalFormatting sqref="BW77">
    <cfRule type="cellIs" dxfId="103" priority="2059" operator="lessThan">
      <formula>0.2</formula>
    </cfRule>
  </conditionalFormatting>
  <conditionalFormatting sqref="BW86">
    <cfRule type="cellIs" dxfId="102" priority="2057" operator="lessThan">
      <formula>0.2</formula>
    </cfRule>
    <cfRule type="cellIs" dxfId="101" priority="2058" operator="greaterThan">
      <formula>-0.2</formula>
    </cfRule>
  </conditionalFormatting>
  <conditionalFormatting sqref="BW104">
    <cfRule type="cellIs" dxfId="100" priority="2049" operator="greaterThan">
      <formula>0.25</formula>
    </cfRule>
    <cfRule type="cellIs" dxfId="99" priority="2056" operator="lessThan">
      <formula>0.25</formula>
    </cfRule>
  </conditionalFormatting>
  <conditionalFormatting sqref="BW110">
    <cfRule type="cellIs" dxfId="98" priority="2041" operator="lessThan">
      <formula>2</formula>
    </cfRule>
    <cfRule type="cellIs" dxfId="97" priority="2042" operator="greaterThan">
      <formula>2</formula>
    </cfRule>
  </conditionalFormatting>
  <conditionalFormatting sqref="BW116">
    <cfRule type="cellIs" dxfId="96" priority="2039" operator="lessThan">
      <formula>0.2</formula>
    </cfRule>
    <cfRule type="cellIs" dxfId="95" priority="2040" operator="greaterThan">
      <formula>0.2</formula>
    </cfRule>
  </conditionalFormatting>
  <conditionalFormatting sqref="BW122">
    <cfRule type="cellIs" dxfId="94" priority="2035" operator="lessThan">
      <formula>0</formula>
    </cfRule>
    <cfRule type="cellIs" dxfId="93" priority="2036" operator="greaterThan">
      <formula>0</formula>
    </cfRule>
  </conditionalFormatting>
  <conditionalFormatting sqref="BY7 CA7 CC7 CE7 CG7 CI7 CK7 CM7 CO7 CQ7 CS7">
    <cfRule type="cellIs" dxfId="92" priority="2170" operator="greaterThan">
      <formula>7</formula>
    </cfRule>
    <cfRule type="cellIs" dxfId="91" priority="2228" operator="lessThan">
      <formula>7</formula>
    </cfRule>
  </conditionalFormatting>
  <conditionalFormatting sqref="BY13 CA13 CC13 CE13 CG13 CI13 CK13 CM13 CO13 CQ13 CS13">
    <cfRule type="cellIs" dxfId="90" priority="2171" operator="lessThan">
      <formula>0.15</formula>
    </cfRule>
    <cfRule type="cellIs" dxfId="89" priority="2227" operator="greaterThan">
      <formula>0.15</formula>
    </cfRule>
  </conditionalFormatting>
  <conditionalFormatting sqref="BY18">
    <cfRule type="cellIs" dxfId="88" priority="2156" operator="lessThan">
      <formula>1</formula>
    </cfRule>
    <cfRule type="cellIs" dxfId="87" priority="2157" operator="greaterThan">
      <formula>1</formula>
    </cfRule>
  </conditionalFormatting>
  <conditionalFormatting sqref="BY24 CA24 CC24 CE24 CG24 CI24 CK24 CM24 CO24 CQ24 CS24">
    <cfRule type="cellIs" dxfId="86" priority="2154" operator="lessThan">
      <formula>0.15</formula>
    </cfRule>
    <cfRule type="cellIs" dxfId="85" priority="2155" operator="greaterThan">
      <formula>0.15</formula>
    </cfRule>
  </conditionalFormatting>
  <conditionalFormatting sqref="BY30 CA30 CC30 CE30 CG30 CI30 CK30 CM30 CO30 CQ30 CS30">
    <cfRule type="cellIs" dxfId="84" priority="2158" operator="lessThan">
      <formula>0.05</formula>
    </cfRule>
    <cfRule type="cellIs" dxfId="83" priority="2159" operator="greaterThan">
      <formula>0.05</formula>
    </cfRule>
  </conditionalFormatting>
  <conditionalFormatting sqref="BY37 CA37 CC37 CE37 CG37 CI37 CK37 CM37 CO37 CQ37 CS37">
    <cfRule type="cellIs" dxfId="82" priority="2172" operator="greaterThan">
      <formula>0.08</formula>
    </cfRule>
    <cfRule type="cellIs" dxfId="81" priority="2226" operator="lessThan">
      <formula>0.08</formula>
    </cfRule>
  </conditionalFormatting>
  <conditionalFormatting sqref="BY42 CA42 CC42 CE42 CG42 CI42 CK42 CM42 CO42 CQ42 CS42">
    <cfRule type="cellIs" dxfId="80" priority="2176" operator="lessThan">
      <formula>0.12</formula>
    </cfRule>
    <cfRule type="cellIs" dxfId="79" priority="2177" operator="greaterThan">
      <formula>0.12</formula>
    </cfRule>
  </conditionalFormatting>
  <conditionalFormatting sqref="BY48 CA48 CC48 CE48 CG48 CI48 CK48 CM48 CO48 CQ48 CS48">
    <cfRule type="cellIs" dxfId="78" priority="2162" operator="greaterThan">
      <formula>1</formula>
    </cfRule>
    <cfRule type="cellIs" dxfId="77" priority="2163" operator="lessThan">
      <formula>1</formula>
    </cfRule>
  </conditionalFormatting>
  <conditionalFormatting sqref="BY55 CA55 CC55 CE55 CG55 CI55 CK55 CM55 CO55 CQ55 CS55">
    <cfRule type="cellIs" dxfId="76" priority="2173" operator="lessThan">
      <formula>0.15</formula>
    </cfRule>
    <cfRule type="cellIs" dxfId="75" priority="2225" operator="greaterThan">
      <formula>0.15</formula>
    </cfRule>
  </conditionalFormatting>
  <conditionalFormatting sqref="BY61 CA61 CC61 CE61 CG61 CI61 CK61 CM61 CO61 CQ61 CS61">
    <cfRule type="cellIs" dxfId="74" priority="2168" operator="lessThan">
      <formula>0.7</formula>
    </cfRule>
    <cfRule type="cellIs" dxfId="73" priority="2169" operator="greaterThan">
      <formula>0.7</formula>
    </cfRule>
  </conditionalFormatting>
  <conditionalFormatting sqref="BY69 CA69 CC69 CE69 CG69 CI69 CK69 CM69 CO69 CQ69 CS69">
    <cfRule type="cellIs" dxfId="72" priority="2175" operator="greaterThan">
      <formula>0.1</formula>
    </cfRule>
  </conditionalFormatting>
  <conditionalFormatting sqref="BY69">
    <cfRule type="cellIs" dxfId="71" priority="2190" operator="lessThan">
      <formula>0.1</formula>
    </cfRule>
  </conditionalFormatting>
  <conditionalFormatting sqref="BY77 CA77 CC77 CE77 CG77 CI77 CK77 CM77 CO77 CQ77 CS77">
    <cfRule type="cellIs" dxfId="70" priority="2224" operator="lessThan">
      <formula>0.2</formula>
    </cfRule>
  </conditionalFormatting>
  <conditionalFormatting sqref="BY86">
    <cfRule type="cellIs" dxfId="69" priority="2222" operator="lessThan">
      <formula>0.2</formula>
    </cfRule>
    <cfRule type="cellIs" dxfId="68" priority="2223" operator="greaterThan">
      <formula>-0.2</formula>
    </cfRule>
  </conditionalFormatting>
  <conditionalFormatting sqref="BY104 CA104 CC104 CE104 CG104 CI104 CK104 CM104 CO104 CQ104 CS104">
    <cfRule type="cellIs" dxfId="67" priority="2174" operator="greaterThan">
      <formula>0.25</formula>
    </cfRule>
  </conditionalFormatting>
  <conditionalFormatting sqref="BY104">
    <cfRule type="cellIs" dxfId="66" priority="2201" operator="lessThan">
      <formula>0.25</formula>
    </cfRule>
  </conditionalFormatting>
  <conditionalFormatting sqref="BY110 CA110 CC110 CE110 CG110 CI110 CK110 CM110 CO110 CQ110 CS110">
    <cfRule type="cellIs" dxfId="65" priority="2166" operator="lessThan">
      <formula>2</formula>
    </cfRule>
    <cfRule type="cellIs" dxfId="64" priority="2167" operator="greaterThan">
      <formula>2</formula>
    </cfRule>
  </conditionalFormatting>
  <conditionalFormatting sqref="BY116 CA116 CC116 CE116 CG116 CI116 CK116 CM116 CO116 CQ116 CS116">
    <cfRule type="cellIs" dxfId="63" priority="2164" operator="lessThan">
      <formula>0.2</formula>
    </cfRule>
    <cfRule type="cellIs" dxfId="62" priority="2165" operator="greaterThan">
      <formula>0.2</formula>
    </cfRule>
  </conditionalFormatting>
  <conditionalFormatting sqref="BY122 CA122 CC122 CE122 CG122 CI122 CK122 CM122 CO122 CQ122 CS122">
    <cfRule type="cellIs" dxfId="61" priority="2160" operator="lessThan">
      <formula>0</formula>
    </cfRule>
    <cfRule type="cellIs" dxfId="60" priority="2161" operator="greaterThan">
      <formula>0</formula>
    </cfRule>
  </conditionalFormatting>
  <conditionalFormatting sqref="CA18">
    <cfRule type="cellIs" dxfId="59" priority="2152" operator="lessThan">
      <formula>1</formula>
    </cfRule>
    <cfRule type="cellIs" dxfId="58" priority="2153" operator="greaterThan">
      <formula>1</formula>
    </cfRule>
  </conditionalFormatting>
  <conditionalFormatting sqref="CA69">
    <cfRule type="cellIs" dxfId="57" priority="2189" operator="lessThan">
      <formula>0.1</formula>
    </cfRule>
  </conditionalFormatting>
  <conditionalFormatting sqref="CA86">
    <cfRule type="cellIs" dxfId="56" priority="2220" operator="lessThan">
      <formula>0.2</formula>
    </cfRule>
    <cfRule type="cellIs" dxfId="55" priority="2221" operator="greaterThan">
      <formula>-0.2</formula>
    </cfRule>
  </conditionalFormatting>
  <conditionalFormatting sqref="CA104">
    <cfRule type="cellIs" dxfId="54" priority="2200" operator="lessThan">
      <formula>0.25</formula>
    </cfRule>
  </conditionalFormatting>
  <conditionalFormatting sqref="CC18">
    <cfRule type="cellIs" dxfId="53" priority="2150" operator="lessThan">
      <formula>1</formula>
    </cfRule>
    <cfRule type="cellIs" dxfId="52" priority="2151" operator="greaterThan">
      <formula>1</formula>
    </cfRule>
  </conditionalFormatting>
  <conditionalFormatting sqref="CC69">
    <cfRule type="cellIs" dxfId="51" priority="2188" operator="lessThan">
      <formula>0.1</formula>
    </cfRule>
  </conditionalFormatting>
  <conditionalFormatting sqref="CC86">
    <cfRule type="cellIs" dxfId="50" priority="2218" operator="lessThan">
      <formula>0.2</formula>
    </cfRule>
    <cfRule type="cellIs" dxfId="49" priority="2219" operator="greaterThan">
      <formula>-0.2</formula>
    </cfRule>
  </conditionalFormatting>
  <conditionalFormatting sqref="CC104">
    <cfRule type="cellIs" dxfId="48" priority="2199" operator="lessThan">
      <formula>0.25</formula>
    </cfRule>
  </conditionalFormatting>
  <conditionalFormatting sqref="CE18">
    <cfRule type="cellIs" dxfId="47" priority="2148" operator="lessThan">
      <formula>1</formula>
    </cfRule>
    <cfRule type="cellIs" dxfId="46" priority="2149" operator="greaterThan">
      <formula>1</formula>
    </cfRule>
  </conditionalFormatting>
  <conditionalFormatting sqref="CE69">
    <cfRule type="cellIs" dxfId="45" priority="2187" operator="lessThan">
      <formula>0.1</formula>
    </cfRule>
  </conditionalFormatting>
  <conditionalFormatting sqref="CE86">
    <cfRule type="cellIs" dxfId="44" priority="2216" operator="lessThan">
      <formula>0.2</formula>
    </cfRule>
    <cfRule type="cellIs" dxfId="43" priority="2217" operator="greaterThan">
      <formula>-0.2</formula>
    </cfRule>
  </conditionalFormatting>
  <conditionalFormatting sqref="CE104">
    <cfRule type="cellIs" dxfId="42" priority="2198" operator="lessThan">
      <formula>0.25</formula>
    </cfRule>
  </conditionalFormatting>
  <conditionalFormatting sqref="CG18">
    <cfRule type="cellIs" dxfId="41" priority="2146" operator="lessThan">
      <formula>1</formula>
    </cfRule>
    <cfRule type="cellIs" dxfId="40" priority="2147" operator="greaterThan">
      <formula>1</formula>
    </cfRule>
  </conditionalFormatting>
  <conditionalFormatting sqref="CG69">
    <cfRule type="cellIs" dxfId="39" priority="2186" operator="lessThan">
      <formula>0.1</formula>
    </cfRule>
  </conditionalFormatting>
  <conditionalFormatting sqref="CG86">
    <cfRule type="cellIs" dxfId="38" priority="2214" operator="lessThan">
      <formula>0.2</formula>
    </cfRule>
    <cfRule type="cellIs" dxfId="37" priority="2215" operator="greaterThan">
      <formula>-0.2</formula>
    </cfRule>
  </conditionalFormatting>
  <conditionalFormatting sqref="CG104">
    <cfRule type="cellIs" dxfId="36" priority="2197" operator="lessThan">
      <formula>0.25</formula>
    </cfRule>
  </conditionalFormatting>
  <conditionalFormatting sqref="CI18">
    <cfRule type="cellIs" dxfId="35" priority="2144" operator="lessThan">
      <formula>1</formula>
    </cfRule>
    <cfRule type="cellIs" dxfId="34" priority="2145" operator="greaterThan">
      <formula>1</formula>
    </cfRule>
  </conditionalFormatting>
  <conditionalFormatting sqref="CI69">
    <cfRule type="cellIs" dxfId="33" priority="2185" operator="lessThan">
      <formula>0.1</formula>
    </cfRule>
  </conditionalFormatting>
  <conditionalFormatting sqref="CI86">
    <cfRule type="cellIs" dxfId="32" priority="2212" operator="lessThan">
      <formula>0.2</formula>
    </cfRule>
    <cfRule type="cellIs" dxfId="31" priority="2213" operator="greaterThan">
      <formula>-0.2</formula>
    </cfRule>
  </conditionalFormatting>
  <conditionalFormatting sqref="CI104">
    <cfRule type="cellIs" dxfId="30" priority="2196" operator="lessThan">
      <formula>0.25</formula>
    </cfRule>
  </conditionalFormatting>
  <conditionalFormatting sqref="CK18">
    <cfRule type="cellIs" dxfId="29" priority="2142" operator="lessThan">
      <formula>1</formula>
    </cfRule>
    <cfRule type="cellIs" dxfId="28" priority="2143" operator="greaterThan">
      <formula>1</formula>
    </cfRule>
  </conditionalFormatting>
  <conditionalFormatting sqref="CK69">
    <cfRule type="cellIs" dxfId="27" priority="2184" operator="lessThan">
      <formula>0.1</formula>
    </cfRule>
  </conditionalFormatting>
  <conditionalFormatting sqref="CK86">
    <cfRule type="cellIs" dxfId="26" priority="2210" operator="lessThan">
      <formula>0.2</formula>
    </cfRule>
    <cfRule type="cellIs" dxfId="25" priority="2211" operator="greaterThan">
      <formula>-0.2</formula>
    </cfRule>
  </conditionalFormatting>
  <conditionalFormatting sqref="CK104">
    <cfRule type="cellIs" dxfId="24" priority="2195" operator="lessThan">
      <formula>0.25</formula>
    </cfRule>
  </conditionalFormatting>
  <conditionalFormatting sqref="CM18">
    <cfRule type="cellIs" dxfId="23" priority="2140" operator="lessThan">
      <formula>1</formula>
    </cfRule>
    <cfRule type="cellIs" dxfId="22" priority="2141" operator="greaterThan">
      <formula>1</formula>
    </cfRule>
  </conditionalFormatting>
  <conditionalFormatting sqref="CM69">
    <cfRule type="cellIs" dxfId="21" priority="2183" operator="lessThan">
      <formula>0.1</formula>
    </cfRule>
  </conditionalFormatting>
  <conditionalFormatting sqref="CM86">
    <cfRule type="cellIs" dxfId="20" priority="2208" operator="lessThan">
      <formula>0.2</formula>
    </cfRule>
    <cfRule type="cellIs" dxfId="19" priority="2209" operator="greaterThan">
      <formula>-0.2</formula>
    </cfRule>
  </conditionalFormatting>
  <conditionalFormatting sqref="CM104">
    <cfRule type="cellIs" dxfId="18" priority="2194" operator="lessThan">
      <formula>0.25</formula>
    </cfRule>
  </conditionalFormatting>
  <conditionalFormatting sqref="CO18">
    <cfRule type="cellIs" dxfId="17" priority="2138" operator="lessThan">
      <formula>1</formula>
    </cfRule>
    <cfRule type="cellIs" dxfId="16" priority="2139" operator="greaterThan">
      <formula>1</formula>
    </cfRule>
  </conditionalFormatting>
  <conditionalFormatting sqref="CO69">
    <cfRule type="cellIs" dxfId="15" priority="2182" operator="lessThan">
      <formula>0.1</formula>
    </cfRule>
  </conditionalFormatting>
  <conditionalFormatting sqref="CO86">
    <cfRule type="cellIs" dxfId="14" priority="2206" operator="lessThan">
      <formula>0.2</formula>
    </cfRule>
    <cfRule type="cellIs" dxfId="13" priority="2207" operator="greaterThan">
      <formula>-0.2</formula>
    </cfRule>
  </conditionalFormatting>
  <conditionalFormatting sqref="CO104">
    <cfRule type="cellIs" dxfId="12" priority="2193" operator="lessThan">
      <formula>0.25</formula>
    </cfRule>
  </conditionalFormatting>
  <conditionalFormatting sqref="CQ18">
    <cfRule type="cellIs" dxfId="11" priority="2136" operator="lessThan">
      <formula>1</formula>
    </cfRule>
    <cfRule type="cellIs" dxfId="10" priority="2137" operator="greaterThan">
      <formula>1</formula>
    </cfRule>
  </conditionalFormatting>
  <conditionalFormatting sqref="CQ69">
    <cfRule type="cellIs" dxfId="9" priority="2181" operator="lessThan">
      <formula>0.1</formula>
    </cfRule>
  </conditionalFormatting>
  <conditionalFormatting sqref="CQ86">
    <cfRule type="cellIs" dxfId="8" priority="2204" operator="lessThan">
      <formula>0.2</formula>
    </cfRule>
    <cfRule type="cellIs" dxfId="7" priority="2205" operator="greaterThan">
      <formula>-0.2</formula>
    </cfRule>
  </conditionalFormatting>
  <conditionalFormatting sqref="CQ104">
    <cfRule type="cellIs" dxfId="6" priority="2192" operator="lessThan">
      <formula>0.25</formula>
    </cfRule>
  </conditionalFormatting>
  <conditionalFormatting sqref="CS18">
    <cfRule type="cellIs" dxfId="5" priority="2134" operator="lessThan">
      <formula>1</formula>
    </cfRule>
    <cfRule type="cellIs" dxfId="4" priority="2135" operator="greaterThan">
      <formula>1</formula>
    </cfRule>
  </conditionalFormatting>
  <conditionalFormatting sqref="CS69">
    <cfRule type="cellIs" dxfId="3" priority="2180" operator="lessThan">
      <formula>0.1</formula>
    </cfRule>
  </conditionalFormatting>
  <conditionalFormatting sqref="CS86">
    <cfRule type="cellIs" dxfId="2" priority="2202" operator="lessThan">
      <formula>0.2</formula>
    </cfRule>
    <cfRule type="cellIs" dxfId="1" priority="2203" operator="greaterThan">
      <formula>-0.2</formula>
    </cfRule>
  </conditionalFormatting>
  <conditionalFormatting sqref="CS104">
    <cfRule type="cellIs" dxfId="0" priority="2191" operator="lessThan">
      <formula>0.25</formula>
    </cfRule>
  </conditionalFormatting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90E9-90D7-434F-8386-8623A18385AA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KPI's</vt:lpstr>
      <vt:lpstr>P&amp;L -Dec25</vt:lpstr>
      <vt:lpstr>Balance Sheet - Dec25</vt:lpstr>
      <vt:lpstr>Notes - Dec25</vt:lpstr>
      <vt:lpstr>Debt funding - Dec25</vt:lpstr>
      <vt:lpstr>Advance Analysis - Dec25</vt:lpstr>
      <vt:lpstr>Exposure Analysis - Dec25</vt:lpstr>
      <vt:lpstr>Liquidity Gap Analysis - Dec25</vt:lpstr>
      <vt:lpstr>Covenants - Dec25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</dc:creator>
  <cp:lastModifiedBy>Shaheeda Solomon</cp:lastModifiedBy>
  <cp:lastPrinted>2024-03-15T06:33:36Z</cp:lastPrinted>
  <dcterms:created xsi:type="dcterms:W3CDTF">2021-09-09T12:14:56Z</dcterms:created>
  <dcterms:modified xsi:type="dcterms:W3CDTF">2026-01-30T13:31:06Z</dcterms:modified>
</cp:coreProperties>
</file>